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шко\Desktop\ПРАЙС ПРОМВАТЕК\"/>
    </mc:Choice>
  </mc:AlternateContent>
  <bookViews>
    <workbookView xWindow="0" yWindow="0" windowWidth="15360" windowHeight="7155" tabRatio="866" firstSheet="19" activeTab="26"/>
  </bookViews>
  <sheets>
    <sheet name="Старий прайс" sheetId="1" r:id="rId1"/>
    <sheet name="Абразивні круги, головки" sheetId="6" r:id="rId2"/>
    <sheet name="Алмазний і ельборовий інструм." sheetId="10" r:id="rId3"/>
    <sheet name="Болти, гайки, шайби, цвяхи" sheetId="29" r:id="rId4"/>
    <sheet name="Вимірювальний інструмент" sheetId="18" r:id="rId5"/>
    <sheet name="Воротки, плашко-мітчикотримачі" sheetId="22" r:id="rId6"/>
    <sheet name="Відрізні,зачисні круги,шкурка" sheetId="9" r:id="rId7"/>
    <sheet name="Деревообний інструмент" sheetId="5" r:id="rId8"/>
    <sheet name="Довбяки" sheetId="36" r:id="rId9"/>
    <sheet name="Ел.обл, насоси, кол.мет" sheetId="7" r:id="rId10"/>
    <sheet name="Зінківки, зенкера, цековки" sheetId="31" r:id="rId11"/>
    <sheet name="Зварювальне обладнаня" sheetId="4" r:id="rId12"/>
    <sheet name="Ланцюги,набивка,сальники" sheetId="26" r:id="rId13"/>
    <sheet name=" Мала механ., лещата, станочне " sheetId="2" r:id="rId14"/>
    <sheet name="Манометр,термометр, ареометр" sheetId="25" r:id="rId15"/>
    <sheet name="Мітчики" sheetId="20" r:id="rId16"/>
    <sheet name="Металоріжучий інструмент" sheetId="32" r:id="rId17"/>
    <sheet name="Оправки, головки,втулки,центра" sheetId="17" r:id="rId18"/>
    <sheet name="Патрони різьні" sheetId="30" r:id="rId19"/>
    <sheet name="Плашки, гребінки, ролики" sheetId="21" r:id="rId20"/>
    <sheet name="Пластини твердосплав." sheetId="15" r:id="rId21"/>
    <sheet name="Пожеж інвентар" sheetId="27" r:id="rId22"/>
    <sheet name="Різці" sheetId="14" r:id="rId23"/>
    <sheet name="Ремені-техстропи, хомути" sheetId="28" r:id="rId24"/>
    <sheet name="Розгортки" sheetId="16" r:id="rId25"/>
    <sheet name="Сантехнічні матер." sheetId="34" r:id="rId26"/>
    <sheet name="Свердла" sheetId="13" r:id="rId27"/>
    <sheet name="Слюсарний, ручний інструмент" sheetId="3" r:id="rId28"/>
    <sheet name="Спецодяг" sheetId="24" r:id="rId29"/>
    <sheet name="Хоз,хім товари, побут. хімія" sheetId="23" r:id="rId30"/>
    <sheet name="Фрези, борфрези" sheetId="19" r:id="rId31"/>
  </sheets>
  <calcPr calcId="152511"/>
</workbook>
</file>

<file path=xl/calcChain.xml><?xml version="1.0" encoding="utf-8"?>
<calcChain xmlns="http://schemas.openxmlformats.org/spreadsheetml/2006/main">
  <c r="A288" i="13" l="1"/>
  <c r="A289" i="13" s="1"/>
  <c r="A290" i="13" s="1"/>
  <c r="A263" i="3"/>
  <c r="A264" i="3" s="1"/>
  <c r="B266" i="18"/>
  <c r="B758" i="13"/>
  <c r="B289" i="13"/>
  <c r="B288" i="13"/>
  <c r="A66" i="14" l="1"/>
  <c r="A67" i="14"/>
  <c r="B263" i="3"/>
  <c r="A366" i="18" l="1"/>
  <c r="A367" i="18" s="1"/>
  <c r="A187" i="19"/>
  <c r="A188" i="19" s="1"/>
  <c r="B66" i="14"/>
  <c r="B319" i="6"/>
  <c r="B252" i="20"/>
  <c r="B65" i="14"/>
  <c r="B129" i="19"/>
  <c r="A93" i="7" l="1"/>
  <c r="A94" i="7" s="1"/>
  <c r="A616" i="13"/>
  <c r="A617" i="13" s="1"/>
  <c r="B138" i="19"/>
  <c r="B90" i="19"/>
  <c r="B228" i="14"/>
  <c r="B477" i="14"/>
  <c r="B792" i="19"/>
  <c r="B552" i="14"/>
  <c r="B210" i="16"/>
  <c r="B616" i="13"/>
  <c r="B708" i="19"/>
  <c r="B131" i="16"/>
  <c r="B226" i="18"/>
  <c r="B794" i="19"/>
  <c r="B584" i="19"/>
  <c r="B745" i="19"/>
  <c r="B411" i="14"/>
  <c r="B142" i="19"/>
  <c r="B795" i="19"/>
  <c r="B788" i="19"/>
  <c r="B10" i="26"/>
  <c r="B588" i="19"/>
  <c r="B75" i="18"/>
  <c r="B137" i="19"/>
  <c r="B141" i="19"/>
  <c r="B586" i="19"/>
  <c r="B25" i="2"/>
  <c r="B139" i="19"/>
  <c r="B791" i="19"/>
  <c r="B787" i="19"/>
  <c r="B786" i="19"/>
  <c r="B209" i="6"/>
  <c r="B132" i="16"/>
  <c r="B639" i="13"/>
  <c r="B475" i="14"/>
  <c r="B227" i="14"/>
  <c r="B587" i="19"/>
  <c r="B707" i="19"/>
  <c r="B167" i="18"/>
  <c r="B143" i="19"/>
  <c r="B91" i="19"/>
  <c r="B168" i="18"/>
  <c r="B785" i="19"/>
  <c r="B784" i="19"/>
  <c r="B301" i="18"/>
  <c r="B790" i="19"/>
  <c r="A18" i="32" l="1"/>
  <c r="A19" i="32" s="1"/>
  <c r="B19" i="32"/>
  <c r="B18" i="32"/>
  <c r="A8" i="22" l="1"/>
  <c r="B229" i="13"/>
  <c r="B226" i="13"/>
  <c r="A19" i="15" l="1"/>
  <c r="A20" i="15"/>
  <c r="A21" i="15"/>
  <c r="B213" i="13"/>
  <c r="B19" i="15"/>
  <c r="B202" i="13"/>
  <c r="B193" i="13"/>
  <c r="B182" i="13"/>
  <c r="B200" i="13"/>
  <c r="B205" i="13"/>
  <c r="A200" i="29" l="1"/>
  <c r="A201" i="29"/>
  <c r="B201" i="29"/>
  <c r="B200" i="29"/>
  <c r="B176" i="19"/>
  <c r="B538" i="18"/>
  <c r="B341" i="13"/>
  <c r="B204" i="18"/>
  <c r="B537" i="18"/>
  <c r="B207" i="13"/>
  <c r="B141" i="18"/>
  <c r="B540" i="18"/>
  <c r="B111" i="18"/>
  <c r="B539" i="18"/>
  <c r="A45" i="17" l="1"/>
  <c r="A46" i="17"/>
  <c r="A204" i="20"/>
  <c r="A205" i="20" s="1"/>
  <c r="A91" i="23"/>
  <c r="B261" i="18"/>
  <c r="B134" i="18"/>
  <c r="B282" i="19"/>
  <c r="B280" i="19"/>
  <c r="B3" i="14"/>
  <c r="B308" i="14"/>
  <c r="B223" i="20"/>
  <c r="B259" i="18"/>
  <c r="B210" i="18"/>
  <c r="B283" i="19"/>
  <c r="B122" i="20"/>
  <c r="B292" i="20"/>
  <c r="B127" i="18"/>
  <c r="B203" i="20"/>
  <c r="B279" i="19"/>
  <c r="B205" i="20"/>
  <c r="B114" i="18"/>
  <c r="B249" i="20"/>
  <c r="B113" i="18"/>
  <c r="A8" i="30" l="1"/>
  <c r="A9" i="30" s="1"/>
  <c r="A147" i="16"/>
  <c r="A148" i="16"/>
  <c r="A144" i="16"/>
  <c r="A145" i="16"/>
  <c r="B864" i="13"/>
  <c r="B839" i="13"/>
  <c r="B18" i="7"/>
  <c r="B415" i="20"/>
  <c r="B852" i="13"/>
  <c r="B363" i="18"/>
  <c r="B437" i="19"/>
  <c r="B362" i="18"/>
  <c r="B8" i="32"/>
  <c r="B385" i="14"/>
  <c r="B701" i="13"/>
  <c r="B163" i="19"/>
  <c r="B88" i="16"/>
  <c r="B8" i="30"/>
  <c r="B193" i="3"/>
  <c r="B191" i="3"/>
  <c r="B840" i="13"/>
  <c r="B419" i="19"/>
  <c r="B192" i="3"/>
  <c r="B164" i="19"/>
  <c r="B853" i="13"/>
  <c r="B799" i="13"/>
  <c r="B194" i="3"/>
  <c r="B327" i="19"/>
  <c r="B326" i="19"/>
  <c r="B490" i="18"/>
  <c r="B690" i="13"/>
  <c r="B76" i="7"/>
  <c r="B854" i="13"/>
  <c r="B152" i="3"/>
  <c r="B189" i="3"/>
  <c r="B519" i="14"/>
  <c r="B188" i="3"/>
  <c r="B143" i="16"/>
  <c r="B146" i="16"/>
  <c r="B325" i="19"/>
  <c r="B421" i="19"/>
  <c r="B146" i="7"/>
  <c r="B195" i="3"/>
  <c r="B196" i="3"/>
  <c r="B11" i="30"/>
  <c r="A13" i="2" l="1"/>
  <c r="A14" i="2" s="1"/>
  <c r="A15" i="2" s="1"/>
  <c r="A16" i="2" s="1"/>
  <c r="B35" i="9"/>
  <c r="B514" i="18"/>
  <c r="B26" i="13"/>
  <c r="B518" i="18"/>
  <c r="B520" i="18"/>
  <c r="B387" i="18"/>
  <c r="B32" i="9"/>
  <c r="B11" i="13"/>
  <c r="B285" i="18"/>
  <c r="B53" i="30"/>
  <c r="B47" i="18"/>
  <c r="B158" i="19"/>
  <c r="B582" i="19"/>
  <c r="B243" i="13"/>
  <c r="B364" i="14"/>
  <c r="B38" i="23"/>
  <c r="B697" i="13"/>
  <c r="B143" i="18"/>
  <c r="B17" i="13"/>
  <c r="B365" i="14"/>
  <c r="B46" i="14"/>
  <c r="B517" i="18"/>
  <c r="B516" i="18"/>
  <c r="B412" i="18"/>
  <c r="B67" i="2"/>
  <c r="B513" i="18"/>
  <c r="B52" i="30"/>
  <c r="B147" i="18"/>
  <c r="B169" i="19"/>
  <c r="B147" i="19"/>
  <c r="B591" i="19"/>
  <c r="B130" i="19"/>
  <c r="B171" i="19"/>
  <c r="B590" i="19"/>
  <c r="B33" i="9"/>
  <c r="B755" i="13"/>
  <c r="B100" i="18"/>
  <c r="B581" i="19"/>
  <c r="B695" i="13"/>
  <c r="B705" i="13"/>
  <c r="B37" i="18"/>
  <c r="B515" i="18"/>
  <c r="B780" i="19"/>
  <c r="B145" i="18"/>
  <c r="B244" i="19"/>
  <c r="B637" i="19"/>
  <c r="B168" i="19"/>
  <c r="B144" i="18"/>
  <c r="B12" i="30"/>
  <c r="B239" i="19"/>
  <c r="B142" i="18"/>
  <c r="B27" i="13"/>
  <c r="A4" i="4" l="1"/>
  <c r="A5" i="4" s="1"/>
  <c r="B167" i="20"/>
  <c r="B74" i="30"/>
  <c r="B177" i="20"/>
  <c r="B79" i="30"/>
  <c r="B131" i="20"/>
  <c r="B154" i="20"/>
  <c r="B268" i="18"/>
  <c r="B540" i="14"/>
  <c r="B138" i="20"/>
  <c r="B253" i="20"/>
  <c r="B155" i="20"/>
  <c r="B228" i="20"/>
  <c r="B260" i="20"/>
  <c r="B72" i="30"/>
  <c r="B164" i="20"/>
  <c r="B1" i="36"/>
  <c r="B496" i="18"/>
  <c r="B227" i="20"/>
  <c r="B137" i="20"/>
  <c r="B633" i="13"/>
  <c r="B185" i="20"/>
  <c r="B451" i="18"/>
  <c r="B559" i="14"/>
  <c r="B267" i="20"/>
  <c r="B266" i="20"/>
  <c r="B174" i="20"/>
  <c r="B192" i="20"/>
  <c r="B184" i="20"/>
  <c r="B130" i="20"/>
  <c r="B163" i="20"/>
  <c r="B218" i="20"/>
  <c r="B198" i="20"/>
  <c r="B153" i="20"/>
  <c r="B151" i="14"/>
  <c r="B445" i="14"/>
  <c r="B176" i="20"/>
  <c r="B191" i="20"/>
  <c r="B132" i="10"/>
  <c r="B227" i="18"/>
  <c r="B152" i="14"/>
  <c r="B436" i="18"/>
  <c r="B2" i="18"/>
  <c r="B502" i="18"/>
  <c r="B10" i="18"/>
  <c r="B267" i="18"/>
  <c r="B261" i="20"/>
  <c r="B162" i="7"/>
  <c r="B509" i="13"/>
  <c r="B265" i="20"/>
  <c r="B73" i="30"/>
  <c r="B150" i="20"/>
  <c r="B158" i="18"/>
  <c r="B152" i="18"/>
  <c r="B296" i="18"/>
  <c r="B168" i="20"/>
  <c r="B156" i="18"/>
  <c r="B151" i="20"/>
  <c r="B558" i="14"/>
  <c r="B140" i="20"/>
  <c r="B175" i="20"/>
  <c r="B217" i="20"/>
  <c r="B46" i="18"/>
  <c r="B194" i="20"/>
  <c r="B127" i="20"/>
  <c r="B32" i="18"/>
  <c r="B160" i="18"/>
  <c r="B31" i="2"/>
  <c r="B183" i="20"/>
  <c r="B48" i="18"/>
  <c r="B75" i="30"/>
  <c r="B76" i="30"/>
  <c r="B264" i="20"/>
  <c r="B166" i="20"/>
  <c r="B169" i="20"/>
  <c r="B602" i="19"/>
  <c r="B126" i="20"/>
  <c r="B152" i="20"/>
  <c r="B173" i="20"/>
  <c r="B196" i="20"/>
  <c r="B161" i="7"/>
  <c r="B157" i="18"/>
  <c r="B228" i="18"/>
  <c r="B257" i="20"/>
  <c r="B49" i="18"/>
  <c r="B502" i="14"/>
  <c r="B139" i="20"/>
  <c r="B640" i="13"/>
  <c r="B182" i="20"/>
  <c r="A197" i="21" l="1"/>
  <c r="A198" i="21" s="1"/>
  <c r="A112" i="31" l="1"/>
  <c r="A113" i="31" s="1"/>
  <c r="A136" i="10" l="1"/>
  <c r="A137" i="10" s="1"/>
  <c r="A138" i="10" s="1"/>
  <c r="A139" i="10" l="1"/>
  <c r="A140" i="10" s="1"/>
  <c r="A141" i="10" s="1"/>
  <c r="A142" i="10" s="1"/>
  <c r="A85" i="13"/>
  <c r="A86" i="13" s="1"/>
  <c r="A87" i="13" s="1"/>
  <c r="A88" i="13" s="1"/>
  <c r="A89" i="13" s="1"/>
  <c r="A90" i="13" s="1"/>
  <c r="A91" i="13" s="1"/>
  <c r="A92" i="13" s="1"/>
  <c r="A93" i="13" s="1"/>
  <c r="A94" i="13" s="1"/>
  <c r="A95" i="13" s="1"/>
  <c r="A96" i="13" s="1"/>
  <c r="A97" i="13" s="1"/>
  <c r="A98" i="13" s="1"/>
  <c r="A99" i="13" s="1"/>
  <c r="A100" i="13" s="1"/>
  <c r="A101" i="13" s="1"/>
  <c r="A102" i="13" s="1"/>
  <c r="A103" i="13" s="1"/>
  <c r="A3" i="34" l="1"/>
  <c r="A4" i="34" s="1"/>
  <c r="A5" i="34" s="1"/>
  <c r="A6" i="34" s="1"/>
  <c r="A7" i="34" s="1"/>
  <c r="A8" i="34" s="1"/>
  <c r="A9" i="34" s="1"/>
  <c r="A10" i="34" s="1"/>
  <c r="A11" i="34" s="1"/>
  <c r="A12" i="34" s="1"/>
  <c r="A13" i="34" s="1"/>
  <c r="A14" i="34" s="1"/>
  <c r="A15" i="34" s="1"/>
  <c r="A16" i="34" s="1"/>
  <c r="A17" i="34" s="1"/>
  <c r="A18" i="34" s="1"/>
  <c r="A19" i="34" s="1"/>
  <c r="A20" i="34" s="1"/>
  <c r="A21" i="34" s="1"/>
  <c r="A22" i="34" s="1"/>
  <c r="A23" i="34" s="1"/>
  <c r="A24" i="34" s="1"/>
  <c r="A25" i="34" s="1"/>
  <c r="A26" i="34" s="1"/>
  <c r="A27" i="34" s="1"/>
  <c r="A28" i="34" s="1"/>
  <c r="A29" i="34" s="1"/>
  <c r="A30" i="34" s="1"/>
  <c r="A31" i="34" s="1"/>
  <c r="A32" i="34" s="1"/>
  <c r="A33" i="34" s="1"/>
  <c r="A34" i="34" s="1"/>
  <c r="A35" i="34" s="1"/>
  <c r="A36" i="34" s="1"/>
  <c r="A37" i="34" s="1"/>
  <c r="A38" i="34" s="1"/>
  <c r="A39" i="34" s="1"/>
  <c r="A40" i="34" s="1"/>
  <c r="A41" i="34" s="1"/>
  <c r="A42" i="34" s="1"/>
  <c r="A43" i="34" s="1"/>
  <c r="A44" i="34" s="1"/>
  <c r="A45" i="34" s="1"/>
  <c r="A46" i="34" s="1"/>
  <c r="A47" i="34" s="1"/>
  <c r="A48" i="34" s="1"/>
  <c r="A49" i="34" s="1"/>
  <c r="A50" i="34" s="1"/>
  <c r="A51" i="34" s="1"/>
  <c r="A52" i="34" s="1"/>
  <c r="A53" i="34" s="1"/>
  <c r="A54" i="34" s="1"/>
  <c r="A55" i="34" s="1"/>
  <c r="A56" i="34" s="1"/>
  <c r="A57" i="34" s="1"/>
  <c r="A58" i="34" s="1"/>
  <c r="A59" i="34" s="1"/>
  <c r="A60" i="34" s="1"/>
  <c r="A61" i="34" s="1"/>
  <c r="A62" i="34" s="1"/>
  <c r="A63" i="34" s="1"/>
  <c r="A64" i="34" s="1"/>
  <c r="A65" i="34" s="1"/>
  <c r="A66" i="34" s="1"/>
  <c r="A67" i="34" s="1"/>
  <c r="A68" i="34" s="1"/>
  <c r="A69" i="34" s="1"/>
  <c r="A70" i="34" s="1"/>
  <c r="A71" i="34" s="1"/>
  <c r="A72" i="34" s="1"/>
  <c r="A73" i="34" s="1"/>
  <c r="A74" i="34" s="1"/>
  <c r="A75" i="34" s="1"/>
  <c r="A76" i="34" s="1"/>
  <c r="A77" i="34" s="1"/>
  <c r="A78" i="34" s="1"/>
  <c r="A79" i="34" s="1"/>
  <c r="A80" i="34" s="1"/>
  <c r="A81" i="34" s="1"/>
  <c r="A82" i="34" s="1"/>
  <c r="A83" i="34" s="1"/>
  <c r="A84" i="34" s="1"/>
  <c r="A85" i="34" s="1"/>
  <c r="A86" i="34" s="1"/>
  <c r="A87" i="34" s="1"/>
  <c r="A88" i="34" s="1"/>
  <c r="A89" i="34" s="1"/>
  <c r="A90" i="34" s="1"/>
  <c r="A91" i="34" s="1"/>
  <c r="A92" i="34" s="1"/>
  <c r="A93" i="34" s="1"/>
  <c r="A94" i="34" s="1"/>
  <c r="A95" i="34" s="1"/>
  <c r="A96" i="34" s="1"/>
  <c r="A97" i="34" s="1"/>
  <c r="A98" i="34" s="1"/>
  <c r="A99" i="34" s="1"/>
  <c r="A100" i="34" s="1"/>
  <c r="A101" i="34" s="1"/>
  <c r="A38" i="13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A74" i="13" l="1"/>
  <c r="A75" i="13" s="1"/>
  <c r="A76" i="13" s="1"/>
  <c r="A77" i="13" s="1"/>
  <c r="A78" i="13" s="1"/>
  <c r="A79" i="13" s="1"/>
  <c r="A80" i="13" s="1"/>
  <c r="A81" i="13" s="1"/>
  <c r="A82" i="13" s="1"/>
  <c r="A3" i="32"/>
  <c r="A4" i="32" s="1"/>
  <c r="A5" i="32" s="1"/>
  <c r="A6" i="32" s="1"/>
  <c r="A7" i="32" s="1"/>
  <c r="B23" i="18"/>
  <c r="B16" i="9"/>
  <c r="B208" i="16"/>
  <c r="B563" i="19"/>
  <c r="B433" i="18"/>
  <c r="B482" i="18"/>
  <c r="B157" i="20"/>
  <c r="B209" i="18"/>
  <c r="B37" i="6"/>
  <c r="B494" i="13"/>
  <c r="B137" i="16"/>
  <c r="B180" i="6"/>
  <c r="B159" i="6"/>
  <c r="B50" i="18"/>
  <c r="B380" i="18"/>
  <c r="B189" i="16"/>
  <c r="B585" i="14"/>
  <c r="B297" i="18"/>
  <c r="B86" i="31"/>
  <c r="B43" i="30"/>
  <c r="B214" i="18"/>
  <c r="B565" i="18"/>
  <c r="B49" i="30"/>
  <c r="B93" i="14"/>
  <c r="B328" i="6"/>
  <c r="B70" i="30"/>
  <c r="B39" i="18"/>
  <c r="B273" i="19"/>
  <c r="B245" i="20"/>
  <c r="B275" i="18"/>
  <c r="B28" i="13"/>
  <c r="B17" i="9"/>
  <c r="B101" i="20"/>
  <c r="B112" i="18"/>
  <c r="B305" i="18"/>
  <c r="B4" i="18"/>
  <c r="B44" i="19"/>
  <c r="B330" i="18"/>
  <c r="B201" i="20"/>
  <c r="B298" i="18"/>
  <c r="B123" i="19"/>
  <c r="B374" i="18"/>
  <c r="B384" i="18"/>
  <c r="B326" i="14"/>
  <c r="B156" i="19"/>
  <c r="B570" i="19"/>
  <c r="B54" i="18"/>
  <c r="B564" i="19"/>
  <c r="B331" i="18"/>
  <c r="B107" i="14"/>
  <c r="B135" i="16"/>
  <c r="B45" i="6"/>
  <c r="B208" i="18"/>
  <c r="B82" i="18"/>
  <c r="B123" i="18"/>
  <c r="B65" i="19"/>
  <c r="B100" i="6"/>
  <c r="B224" i="20"/>
  <c r="B22" i="13"/>
  <c r="B97" i="20"/>
  <c r="B58" i="30"/>
  <c r="B516" i="13"/>
  <c r="B139" i="16"/>
  <c r="B52" i="18"/>
  <c r="B220" i="21"/>
  <c r="B582" i="14"/>
  <c r="B70" i="23"/>
  <c r="B644" i="19"/>
  <c r="B459" i="13"/>
  <c r="B188" i="20"/>
  <c r="B168" i="17"/>
  <c r="B124" i="18"/>
  <c r="B185" i="16"/>
  <c r="B56" i="30"/>
  <c r="B44" i="6"/>
  <c r="B85" i="18"/>
  <c r="B71" i="2"/>
  <c r="B166" i="18"/>
  <c r="B91" i="6"/>
  <c r="B221" i="20"/>
  <c r="B569" i="19"/>
  <c r="B463" i="13"/>
  <c r="B89" i="6"/>
  <c r="B68" i="10"/>
  <c r="B356" i="13"/>
  <c r="B568" i="14"/>
  <c r="B142" i="10"/>
  <c r="B256" i="20"/>
  <c r="B57" i="6"/>
  <c r="B167" i="17"/>
  <c r="B31" i="13"/>
  <c r="B127" i="6"/>
  <c r="B223" i="13"/>
  <c r="B114" i="19"/>
  <c r="B222" i="18"/>
  <c r="B128" i="17"/>
  <c r="B21" i="5"/>
  <c r="B64" i="6"/>
  <c r="B221" i="16"/>
  <c r="B199" i="20"/>
  <c r="B67" i="10"/>
  <c r="B329" i="6"/>
  <c r="B250" i="19"/>
  <c r="B125" i="6"/>
  <c r="B378" i="14"/>
  <c r="B168" i="13"/>
  <c r="B72" i="6"/>
  <c r="B251" i="6"/>
  <c r="B591" i="14"/>
  <c r="B24" i="18"/>
  <c r="B170" i="16"/>
  <c r="B133" i="18"/>
  <c r="B437" i="20"/>
  <c r="B109" i="14"/>
  <c r="B147" i="20"/>
  <c r="B217" i="16"/>
  <c r="B65" i="30"/>
  <c r="B375" i="14"/>
  <c r="B117" i="19"/>
  <c r="B24" i="30"/>
  <c r="B34" i="13"/>
  <c r="B42" i="30"/>
  <c r="B222" i="20"/>
  <c r="B557" i="13"/>
  <c r="B359" i="14"/>
  <c r="B581" i="14"/>
  <c r="B50" i="19"/>
  <c r="B83" i="13"/>
  <c r="B303" i="18"/>
  <c r="B126" i="6"/>
  <c r="B300" i="18"/>
  <c r="B197" i="21"/>
  <c r="B239" i="6"/>
  <c r="B80" i="17"/>
  <c r="B36" i="18"/>
  <c r="B346" i="18"/>
  <c r="B67" i="30"/>
  <c r="B62" i="30"/>
  <c r="B43" i="28"/>
  <c r="B142" i="6"/>
  <c r="B25" i="19"/>
  <c r="B20" i="5"/>
  <c r="B38" i="30"/>
  <c r="B45" i="30"/>
  <c r="B24" i="15"/>
  <c r="B294" i="19"/>
  <c r="B357" i="14"/>
  <c r="B39" i="30"/>
  <c r="B82" i="17"/>
  <c r="B249" i="18"/>
  <c r="B445" i="18"/>
  <c r="B92" i="6"/>
  <c r="B571" i="19"/>
  <c r="B365" i="18"/>
  <c r="B579" i="14"/>
  <c r="B41" i="30"/>
  <c r="B197" i="20"/>
  <c r="B129" i="18"/>
  <c r="B53" i="20"/>
  <c r="B138" i="16"/>
  <c r="B60" i="19"/>
  <c r="B9" i="13"/>
  <c r="B65" i="6"/>
  <c r="B148" i="19"/>
  <c r="B445" i="13"/>
  <c r="B38" i="2"/>
  <c r="B408" i="18"/>
  <c r="B567" i="14"/>
  <c r="B592" i="14"/>
  <c r="B484" i="18"/>
  <c r="B58" i="6"/>
  <c r="B447" i="13"/>
  <c r="B238" i="6"/>
  <c r="B179" i="6"/>
  <c r="B200" i="20"/>
  <c r="B35" i="17"/>
  <c r="B320" i="20"/>
  <c r="B260" i="18"/>
  <c r="B41" i="19"/>
  <c r="B69" i="30"/>
  <c r="B131" i="17"/>
  <c r="B44" i="30"/>
  <c r="B365" i="13"/>
  <c r="B136" i="16"/>
  <c r="B241" i="16"/>
  <c r="B28" i="6"/>
  <c r="B150" i="19"/>
  <c r="B153" i="19"/>
  <c r="B140" i="10"/>
  <c r="B87" i="18"/>
  <c r="B517" i="13"/>
  <c r="B562" i="19"/>
  <c r="B240" i="13"/>
  <c r="B166" i="17"/>
  <c r="B29" i="9"/>
  <c r="B201" i="18"/>
  <c r="B213" i="20"/>
  <c r="B57" i="30"/>
  <c r="B3" i="18"/>
  <c r="B274" i="19"/>
  <c r="B40" i="30"/>
  <c r="B310" i="18"/>
  <c r="B157" i="19"/>
  <c r="B53" i="19"/>
  <c r="B601" i="19"/>
  <c r="B25" i="18"/>
  <c r="B327" i="18"/>
  <c r="B125" i="18"/>
  <c r="B321" i="18"/>
  <c r="B352" i="13"/>
  <c r="B259" i="20"/>
  <c r="B52" i="20"/>
  <c r="B125" i="3"/>
  <c r="B64" i="19"/>
  <c r="B187" i="20"/>
  <c r="B400" i="18"/>
  <c r="B59" i="23"/>
  <c r="B162" i="18"/>
  <c r="B141" i="10"/>
  <c r="B46" i="17"/>
  <c r="B143" i="6"/>
  <c r="B154" i="19"/>
  <c r="B192" i="6"/>
  <c r="B60" i="6"/>
  <c r="B87" i="6"/>
  <c r="B302" i="18"/>
  <c r="B258" i="20"/>
  <c r="B568" i="19"/>
  <c r="B118" i="19"/>
  <c r="B191" i="21"/>
  <c r="B34" i="19"/>
  <c r="B566" i="18"/>
  <c r="B446" i="18"/>
  <c r="B238" i="16"/>
  <c r="B362" i="14"/>
  <c r="B586" i="14"/>
  <c r="B377" i="14"/>
  <c r="B112" i="31"/>
  <c r="B458" i="13"/>
  <c r="B329" i="18"/>
  <c r="B96" i="17"/>
  <c r="B61" i="30"/>
  <c r="B289" i="18"/>
  <c r="B472" i="18"/>
  <c r="B360" i="14"/>
  <c r="B501" i="18"/>
  <c r="B36" i="19"/>
  <c r="B407" i="18"/>
  <c r="B361" i="14"/>
  <c r="B83" i="6"/>
  <c r="B379" i="18"/>
  <c r="B89" i="31"/>
  <c r="B13" i="30"/>
  <c r="B52" i="19"/>
  <c r="B26" i="15"/>
  <c r="B308" i="19"/>
  <c r="B222" i="6"/>
  <c r="B216" i="20"/>
  <c r="B191" i="6"/>
  <c r="B207" i="6"/>
  <c r="B272" i="19"/>
  <c r="B63" i="30"/>
  <c r="B271" i="19"/>
  <c r="B51" i="18"/>
  <c r="B90" i="6"/>
  <c r="B422" i="20"/>
  <c r="B276" i="20"/>
  <c r="B512" i="13"/>
  <c r="B314" i="18"/>
  <c r="B449" i="18"/>
  <c r="B132" i="18"/>
  <c r="B244" i="20"/>
  <c r="B330" i="6"/>
  <c r="B33" i="13"/>
  <c r="B100" i="16"/>
  <c r="B215" i="20"/>
  <c r="B464" i="13"/>
  <c r="B8" i="19"/>
  <c r="B168" i="6"/>
  <c r="B492" i="18"/>
  <c r="B223" i="6"/>
  <c r="B332" i="18"/>
  <c r="B251" i="19"/>
  <c r="B54" i="17"/>
  <c r="B135" i="18"/>
  <c r="B71" i="6"/>
  <c r="B93" i="6"/>
  <c r="B295" i="19"/>
  <c r="B186" i="20"/>
  <c r="B144" i="14"/>
  <c r="B66" i="30"/>
  <c r="B32" i="13"/>
  <c r="B869" i="13"/>
  <c r="B225" i="20"/>
  <c r="B158" i="6"/>
  <c r="B82" i="6"/>
  <c r="B566" i="19"/>
  <c r="B23" i="13"/>
  <c r="B46" i="19"/>
  <c r="B564" i="14"/>
  <c r="B471" i="13"/>
  <c r="B275" i="20"/>
  <c r="B565" i="19"/>
  <c r="B56" i="6"/>
  <c r="B333" i="18"/>
  <c r="B206" i="6"/>
  <c r="B44" i="14"/>
  <c r="B870" i="13"/>
  <c r="B686" i="19"/>
  <c r="B567" i="19"/>
  <c r="B61" i="19"/>
  <c r="B269" i="18"/>
  <c r="B68" i="20"/>
  <c r="B239" i="20"/>
  <c r="B138" i="18"/>
  <c r="B111" i="31"/>
  <c r="B10" i="9"/>
  <c r="B33" i="19"/>
  <c r="B435" i="13"/>
  <c r="B79" i="18"/>
  <c r="B61" i="6"/>
  <c r="B531" i="18"/>
  <c r="B39" i="14"/>
  <c r="B180" i="20"/>
  <c r="B214" i="20"/>
  <c r="B30" i="13"/>
  <c r="B203" i="16"/>
  <c r="B446" i="13"/>
  <c r="B94" i="6"/>
  <c r="B7" i="2"/>
  <c r="B59" i="30"/>
  <c r="B580" i="14"/>
  <c r="B563" i="14"/>
  <c r="B29" i="13"/>
  <c r="A8" i="32" l="1"/>
  <c r="A9" i="32" s="1"/>
  <c r="A10" i="32" s="1"/>
  <c r="A11" i="32" s="1"/>
  <c r="A12" i="32" s="1"/>
  <c r="A13" i="32" s="1"/>
  <c r="A14" i="32" s="1"/>
  <c r="A15" i="32" s="1"/>
  <c r="A16" i="32" s="1"/>
  <c r="A17" i="32" s="1"/>
  <c r="A20" i="32" s="1"/>
  <c r="A21" i="32" s="1"/>
  <c r="A33" i="31"/>
  <c r="A34" i="31" s="1"/>
  <c r="A35" i="31" s="1"/>
  <c r="A36" i="31" s="1"/>
  <c r="A37" i="31" s="1"/>
  <c r="A38" i="31" s="1"/>
  <c r="A39" i="31" s="1"/>
  <c r="A40" i="31" s="1"/>
  <c r="A41" i="31" s="1"/>
  <c r="A42" i="31" s="1"/>
  <c r="A43" i="31" s="1"/>
  <c r="A44" i="31" s="1"/>
  <c r="A22" i="32" l="1"/>
  <c r="A23" i="32" s="1"/>
  <c r="A24" i="32" s="1"/>
  <c r="A25" i="32" s="1"/>
  <c r="A26" i="32" s="1"/>
  <c r="A27" i="32" s="1"/>
  <c r="A28" i="32" s="1"/>
  <c r="A29" i="32" s="1"/>
  <c r="A30" i="32" s="1"/>
  <c r="A31" i="32" s="1"/>
  <c r="A32" i="32" s="1"/>
  <c r="A33" i="32" s="1"/>
  <c r="A34" i="32" s="1"/>
  <c r="A717" i="13"/>
  <c r="A718" i="13" s="1"/>
  <c r="A719" i="13" s="1"/>
  <c r="A720" i="13" s="1"/>
  <c r="A721" i="13" s="1"/>
  <c r="A722" i="13" s="1"/>
  <c r="A723" i="13" s="1"/>
  <c r="A724" i="13" s="1"/>
  <c r="A725" i="13" s="1"/>
  <c r="A726" i="13" s="1"/>
  <c r="A727" i="13" s="1"/>
  <c r="A728" i="13" s="1"/>
  <c r="A729" i="13" s="1"/>
  <c r="A730" i="13" s="1"/>
  <c r="A731" i="13" s="1"/>
  <c r="A732" i="13" s="1"/>
  <c r="A733" i="13" s="1"/>
  <c r="A734" i="13" s="1"/>
  <c r="A735" i="13" s="1"/>
  <c r="A736" i="13" s="1"/>
  <c r="A737" i="13" s="1"/>
  <c r="A738" i="13" s="1"/>
  <c r="A739" i="13" s="1"/>
  <c r="A740" i="13" s="1"/>
  <c r="A741" i="13" s="1"/>
  <c r="A742" i="13" s="1"/>
  <c r="A743" i="13" s="1"/>
  <c r="A744" i="13" s="1"/>
  <c r="A745" i="13" s="1"/>
  <c r="A746" i="13" s="1"/>
  <c r="A747" i="13" s="1"/>
  <c r="A748" i="13" s="1"/>
  <c r="A749" i="13" s="1"/>
  <c r="A750" i="13" s="1"/>
  <c r="A751" i="13" s="1"/>
  <c r="A752" i="13" s="1"/>
  <c r="A753" i="13" l="1"/>
  <c r="A3" i="16"/>
  <c r="A4" i="16" s="1"/>
  <c r="A5" i="16" s="1"/>
  <c r="A6" i="16" s="1"/>
  <c r="A7" i="16" s="1"/>
  <c r="A8" i="16" s="1"/>
  <c r="A9" i="16" s="1"/>
  <c r="A10" i="16" s="1"/>
  <c r="A11" i="16" s="1"/>
  <c r="A12" i="16" s="1"/>
  <c r="A13" i="16" s="1"/>
  <c r="A14" i="16" s="1"/>
  <c r="A15" i="16" s="1"/>
  <c r="A16" i="16" s="1"/>
  <c r="A17" i="16" s="1"/>
  <c r="A754" i="13" l="1"/>
  <c r="A18" i="16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A53" i="16" s="1"/>
  <c r="A54" i="16" s="1"/>
  <c r="A55" i="16" s="1"/>
  <c r="A56" i="16" s="1"/>
  <c r="A57" i="16" s="1"/>
  <c r="A58" i="16" s="1"/>
  <c r="A59" i="16" s="1"/>
  <c r="A60" i="16" s="1"/>
  <c r="A61" i="16" s="1"/>
  <c r="A62" i="16" s="1"/>
  <c r="A63" i="16" s="1"/>
  <c r="A64" i="16" s="1"/>
  <c r="A65" i="16" s="1"/>
  <c r="A66" i="16" s="1"/>
  <c r="A67" i="16" s="1"/>
  <c r="A68" i="16" s="1"/>
  <c r="A69" i="16" s="1"/>
  <c r="A70" i="16" s="1"/>
  <c r="A71" i="16" s="1"/>
  <c r="A72" i="16" s="1"/>
  <c r="A73" i="16" s="1"/>
  <c r="A74" i="16" s="1"/>
  <c r="A75" i="16" s="1"/>
  <c r="A76" i="16" s="1"/>
  <c r="A77" i="16" s="1"/>
  <c r="A78" i="16" s="1"/>
  <c r="A79" i="16" s="1"/>
  <c r="A80" i="16" s="1"/>
  <c r="A81" i="16" s="1"/>
  <c r="A82" i="16" s="1"/>
  <c r="A755" i="13" l="1"/>
  <c r="A756" i="13" s="1"/>
  <c r="A757" i="13" s="1"/>
  <c r="A758" i="13" s="1"/>
  <c r="A759" i="13" s="1"/>
  <c r="A760" i="13" s="1"/>
  <c r="A761" i="13" s="1"/>
  <c r="A762" i="13" s="1"/>
  <c r="A763" i="13" s="1"/>
  <c r="A764" i="13" s="1"/>
  <c r="A765" i="13" s="1"/>
  <c r="A766" i="13" s="1"/>
  <c r="A767" i="13" s="1"/>
  <c r="A768" i="13" s="1"/>
  <c r="A769" i="13" s="1"/>
  <c r="A770" i="13" s="1"/>
  <c r="A771" i="13" s="1"/>
  <c r="A772" i="13" s="1"/>
  <c r="A773" i="13" s="1"/>
  <c r="A774" i="13" s="1"/>
  <c r="A775" i="13" s="1"/>
  <c r="A776" i="13" s="1"/>
  <c r="A777" i="13" s="1"/>
  <c r="A778" i="13" s="1"/>
  <c r="A779" i="13" s="1"/>
  <c r="A780" i="13" s="1"/>
  <c r="A781" i="13" s="1"/>
  <c r="A782" i="13" s="1"/>
  <c r="A783" i="13" s="1"/>
  <c r="A784" i="13" s="1"/>
  <c r="A785" i="13" s="1"/>
  <c r="A786" i="13" s="1"/>
  <c r="A787" i="13" s="1"/>
  <c r="A788" i="13" s="1"/>
  <c r="A789" i="13" s="1"/>
  <c r="A790" i="13" s="1"/>
  <c r="A791" i="13" s="1"/>
  <c r="A792" i="13" s="1"/>
  <c r="A83" i="16"/>
  <c r="A84" i="16" s="1"/>
  <c r="A85" i="16" s="1"/>
  <c r="A86" i="16" s="1"/>
  <c r="A87" i="16" s="1"/>
  <c r="A88" i="16" l="1"/>
  <c r="A89" i="16" s="1"/>
  <c r="A90" i="16" s="1"/>
  <c r="A91" i="16" s="1"/>
  <c r="A92" i="16" s="1"/>
  <c r="A93" i="16" s="1"/>
  <c r="A94" i="16" s="1"/>
  <c r="A95" i="16" s="1"/>
  <c r="A793" i="13"/>
  <c r="A794" i="13" s="1"/>
  <c r="A795" i="13" s="1"/>
  <c r="A796" i="13" s="1"/>
  <c r="A797" i="13" s="1"/>
  <c r="A798" i="13" s="1"/>
  <c r="A11" i="21"/>
  <c r="A96" i="16" l="1"/>
  <c r="A97" i="16" s="1"/>
  <c r="A98" i="16" s="1"/>
  <c r="A99" i="16" s="1"/>
  <c r="A100" i="16" s="1"/>
  <c r="A101" i="16" s="1"/>
  <c r="A102" i="16" s="1"/>
  <c r="A103" i="16" s="1"/>
  <c r="A104" i="16" s="1"/>
  <c r="A105" i="16" s="1"/>
  <c r="A106" i="16" s="1"/>
  <c r="A107" i="16" s="1"/>
  <c r="A108" i="16" s="1"/>
  <c r="A109" i="16" s="1"/>
  <c r="A110" i="16" s="1"/>
  <c r="A111" i="16" s="1"/>
  <c r="A112" i="16" s="1"/>
  <c r="A113" i="16" s="1"/>
  <c r="A114" i="16" s="1"/>
  <c r="A115" i="16" s="1"/>
  <c r="A116" i="16" s="1"/>
  <c r="A117" i="16" s="1"/>
  <c r="A118" i="16" s="1"/>
  <c r="A119" i="16" s="1"/>
  <c r="A120" i="16" s="1"/>
  <c r="A121" i="16" s="1"/>
  <c r="A122" i="16" s="1"/>
  <c r="A123" i="16" s="1"/>
  <c r="A124" i="16" s="1"/>
  <c r="A125" i="16" s="1"/>
  <c r="A126" i="16" s="1"/>
  <c r="A127" i="16" s="1"/>
  <c r="A128" i="16" s="1"/>
  <c r="A129" i="16" s="1"/>
  <c r="A130" i="16" s="1"/>
  <c r="A799" i="13"/>
  <c r="A800" i="13" s="1"/>
  <c r="A801" i="13" s="1"/>
  <c r="A802" i="13" s="1"/>
  <c r="A803" i="13" s="1"/>
  <c r="A804" i="13" s="1"/>
  <c r="A805" i="13" s="1"/>
  <c r="A806" i="13" s="1"/>
  <c r="A807" i="13" s="1"/>
  <c r="A808" i="13" s="1"/>
  <c r="A809" i="13" s="1"/>
  <c r="A810" i="13" s="1"/>
  <c r="A811" i="13" s="1"/>
  <c r="A812" i="13" s="1"/>
  <c r="A813" i="13" s="1"/>
  <c r="A12" i="21"/>
  <c r="A13" i="21" s="1"/>
  <c r="A14" i="21" s="1"/>
  <c r="A15" i="21" s="1"/>
  <c r="A16" i="21" s="1"/>
  <c r="A17" i="21" s="1"/>
  <c r="A18" i="21" s="1"/>
  <c r="A19" i="21" s="1"/>
  <c r="A20" i="21" s="1"/>
  <c r="A21" i="21" s="1"/>
  <c r="A22" i="21" s="1"/>
  <c r="A23" i="21" s="1"/>
  <c r="A814" i="13" l="1"/>
  <c r="A815" i="13" s="1"/>
  <c r="A816" i="13" s="1"/>
  <c r="A817" i="13" s="1"/>
  <c r="A818" i="13" s="1"/>
  <c r="A819" i="13" s="1"/>
  <c r="A820" i="13" l="1"/>
  <c r="A821" i="13" s="1"/>
  <c r="A822" i="13" s="1"/>
  <c r="A823" i="13" s="1"/>
  <c r="A824" i="13" s="1"/>
  <c r="A825" i="13" s="1"/>
  <c r="A826" i="13" s="1"/>
  <c r="A24" i="21"/>
  <c r="A25" i="21" s="1"/>
  <c r="A26" i="21" l="1"/>
  <c r="A27" i="21" s="1"/>
  <c r="A28" i="21" s="1"/>
  <c r="A29" i="21" s="1"/>
  <c r="A30" i="21" s="1"/>
  <c r="A31" i="21" s="1"/>
  <c r="A32" i="21" s="1"/>
  <c r="A33" i="21" s="1"/>
  <c r="A34" i="21" s="1"/>
  <c r="A35" i="21" l="1"/>
  <c r="A36" i="21" s="1"/>
  <c r="A37" i="21" s="1"/>
  <c r="A38" i="21" s="1"/>
  <c r="A39" i="21" s="1"/>
  <c r="A40" i="21" s="1"/>
  <c r="A41" i="21" s="1"/>
  <c r="A42" i="21" s="1"/>
  <c r="A43" i="21" s="1"/>
  <c r="A44" i="21" s="1"/>
  <c r="A3" i="30"/>
  <c r="A4" i="30" s="1"/>
  <c r="A5" i="30" s="1"/>
  <c r="A6" i="30" s="1"/>
  <c r="A7" i="30" s="1"/>
  <c r="A10" i="30" s="1"/>
  <c r="A13" i="9"/>
  <c r="A14" i="9" s="1"/>
  <c r="A15" i="9" s="1"/>
  <c r="A16" i="9" s="1"/>
  <c r="A17" i="9" s="1"/>
  <c r="A18" i="9" s="1"/>
  <c r="A19" i="9" s="1"/>
  <c r="A11" i="30" l="1"/>
  <c r="A12" i="30" s="1"/>
  <c r="A13" i="30" s="1"/>
  <c r="A14" i="30" s="1"/>
  <c r="A15" i="30" s="1"/>
  <c r="A16" i="30" s="1"/>
  <c r="A17" i="30" s="1"/>
  <c r="A18" i="30" s="1"/>
  <c r="A19" i="30" s="1"/>
  <c r="A20" i="9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" i="7"/>
  <c r="A8" i="29"/>
  <c r="A9" i="29" s="1"/>
  <c r="A10" i="29" s="1"/>
  <c r="A11" i="29" s="1"/>
  <c r="A12" i="29" s="1"/>
  <c r="A13" i="29" s="1"/>
  <c r="A14" i="29" s="1"/>
  <c r="A15" i="29" s="1"/>
  <c r="A16" i="29" s="1"/>
  <c r="A17" i="29" s="1"/>
  <c r="A18" i="29" s="1"/>
  <c r="A19" i="29" s="1"/>
  <c r="A20" i="29" s="1"/>
  <c r="A21" i="29" s="1"/>
  <c r="A22" i="29" s="1"/>
  <c r="A23" i="29" s="1"/>
  <c r="A24" i="29" s="1"/>
  <c r="A25" i="29" s="1"/>
  <c r="A26" i="29" s="1"/>
  <c r="A27" i="29" s="1"/>
  <c r="A28" i="29" s="1"/>
  <c r="A29" i="29" s="1"/>
  <c r="A30" i="29" s="1"/>
  <c r="A31" i="29" s="1"/>
  <c r="A32" i="29" s="1"/>
  <c r="A33" i="29" s="1"/>
  <c r="A34" i="29" s="1"/>
  <c r="A35" i="29" s="1"/>
  <c r="A36" i="29" s="1"/>
  <c r="A37" i="29" s="1"/>
  <c r="A38" i="29" s="1"/>
  <c r="A39" i="29" s="1"/>
  <c r="A40" i="29" s="1"/>
  <c r="A41" i="29" s="1"/>
  <c r="A42" i="29" s="1"/>
  <c r="A43" i="29" s="1"/>
  <c r="A44" i="29" s="1"/>
  <c r="A45" i="29" s="1"/>
  <c r="A46" i="29" s="1"/>
  <c r="A47" i="29" s="1"/>
  <c r="A48" i="29" s="1"/>
  <c r="A49" i="29" s="1"/>
  <c r="A50" i="29" s="1"/>
  <c r="A51" i="29" s="1"/>
  <c r="A52" i="29" s="1"/>
  <c r="A53" i="29" s="1"/>
  <c r="A54" i="29" s="1"/>
  <c r="A55" i="29" s="1"/>
  <c r="A107" i="23"/>
  <c r="A108" i="23" s="1"/>
  <c r="A109" i="23" s="1"/>
  <c r="A37" i="23"/>
  <c r="A38" i="23" s="1"/>
  <c r="A39" i="23" s="1"/>
  <c r="A40" i="23" s="1"/>
  <c r="A41" i="23" s="1"/>
  <c r="A42" i="23" s="1"/>
  <c r="A43" i="23" s="1"/>
  <c r="A44" i="23" s="1"/>
  <c r="A3" i="23"/>
  <c r="A4" i="23" s="1"/>
  <c r="A5" i="23" s="1"/>
  <c r="A6" i="23" s="1"/>
  <c r="A7" i="23" s="1"/>
  <c r="A8" i="23" s="1"/>
  <c r="A9" i="23" s="1"/>
  <c r="A10" i="23" s="1"/>
  <c r="A11" i="23" s="1"/>
  <c r="A12" i="23" s="1"/>
  <c r="A13" i="23" s="1"/>
  <c r="A14" i="23" s="1"/>
  <c r="A15" i="23" s="1"/>
  <c r="A16" i="23" s="1"/>
  <c r="A17" i="23" s="1"/>
  <c r="A18" i="23" s="1"/>
  <c r="A2" i="22"/>
  <c r="A3" i="22" s="1"/>
  <c r="A4" i="22" s="1"/>
  <c r="A5" i="22" s="1"/>
  <c r="A6" i="22" s="1"/>
  <c r="A7" i="22" s="1"/>
  <c r="A11" i="20"/>
  <c r="A12" i="20" s="1"/>
  <c r="A761" i="19"/>
  <c r="A762" i="19" s="1"/>
  <c r="A763" i="19" s="1"/>
  <c r="A657" i="19"/>
  <c r="A658" i="19" s="1"/>
  <c r="A659" i="19" s="1"/>
  <c r="A660" i="19" s="1"/>
  <c r="A661" i="19" s="1"/>
  <c r="A662" i="19" s="1"/>
  <c r="A663" i="19" s="1"/>
  <c r="A664" i="19" s="1"/>
  <c r="A665" i="19" s="1"/>
  <c r="A666" i="19" s="1"/>
  <c r="A667" i="19" s="1"/>
  <c r="A668" i="19" s="1"/>
  <c r="A669" i="19" s="1"/>
  <c r="A670" i="19" s="1"/>
  <c r="A671" i="19" s="1"/>
  <c r="A672" i="19" s="1"/>
  <c r="A673" i="19" s="1"/>
  <c r="A674" i="19" s="1"/>
  <c r="A675" i="19" s="1"/>
  <c r="A676" i="19" s="1"/>
  <c r="A677" i="19" s="1"/>
  <c r="A678" i="19" s="1"/>
  <c r="A679" i="19" s="1"/>
  <c r="A680" i="19" s="1"/>
  <c r="A681" i="19" s="1"/>
  <c r="A682" i="19" s="1"/>
  <c r="A683" i="19" s="1"/>
  <c r="A354" i="19"/>
  <c r="A321" i="19"/>
  <c r="A205" i="19"/>
  <c r="A206" i="19" s="1"/>
  <c r="A207" i="19" s="1"/>
  <c r="A208" i="19" s="1"/>
  <c r="A209" i="19" s="1"/>
  <c r="A210" i="19" s="1"/>
  <c r="A211" i="19" s="1"/>
  <c r="A212" i="19" s="1"/>
  <c r="A213" i="19" s="1"/>
  <c r="A132" i="19"/>
  <c r="A133" i="19" s="1"/>
  <c r="A134" i="19" s="1"/>
  <c r="A135" i="19" s="1"/>
  <c r="A136" i="19" s="1"/>
  <c r="A137" i="19" s="1"/>
  <c r="A138" i="19" s="1"/>
  <c r="A139" i="19" s="1"/>
  <c r="A140" i="19" s="1"/>
  <c r="A94" i="19"/>
  <c r="A95" i="19" s="1"/>
  <c r="A96" i="19" s="1"/>
  <c r="A97" i="19" s="1"/>
  <c r="A3" i="19"/>
  <c r="A4" i="19" s="1"/>
  <c r="A5" i="19" s="1"/>
  <c r="A6" i="19" s="1"/>
  <c r="A3" i="17"/>
  <c r="A4" i="17" s="1"/>
  <c r="A5" i="17" s="1"/>
  <c r="A6" i="17" s="1"/>
  <c r="A7" i="17" s="1"/>
  <c r="A8" i="17" s="1"/>
  <c r="A9" i="17" s="1"/>
  <c r="A9" i="15"/>
  <c r="A10" i="15" s="1"/>
  <c r="A11" i="15" s="1"/>
  <c r="A12" i="15" s="1"/>
  <c r="A13" i="15" s="1"/>
  <c r="A567" i="14"/>
  <c r="A11" i="14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405" i="13"/>
  <c r="A11" i="13"/>
  <c r="A12" i="13" s="1"/>
  <c r="A13" i="13" s="1"/>
  <c r="A14" i="13" s="1"/>
  <c r="A15" i="13" s="1"/>
  <c r="A2" i="4"/>
  <c r="A3" i="4" s="1"/>
  <c r="A2" i="3"/>
  <c r="A3" i="3" s="1"/>
  <c r="A4" i="3" s="1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3" i="2"/>
  <c r="A4" i="2" s="1"/>
  <c r="A5" i="2" s="1"/>
  <c r="A6" i="2" s="1"/>
  <c r="A7" i="2" s="1"/>
  <c r="A8" i="2" s="1"/>
  <c r="A56" i="29" l="1"/>
  <c r="A57" i="29" s="1"/>
  <c r="A58" i="29" s="1"/>
  <c r="A59" i="29" s="1"/>
  <c r="A60" i="29" s="1"/>
  <c r="A61" i="29" s="1"/>
  <c r="A62" i="29" s="1"/>
  <c r="A63" i="29" s="1"/>
  <c r="A64" i="29" s="1"/>
  <c r="A65" i="29" s="1"/>
  <c r="A66" i="29" s="1"/>
  <c r="A67" i="29" s="1"/>
  <c r="A68" i="29" s="1"/>
  <c r="A69" i="29" s="1"/>
  <c r="A70" i="29" s="1"/>
  <c r="A71" i="29" s="1"/>
  <c r="A72" i="29" s="1"/>
  <c r="A73" i="29" s="1"/>
  <c r="A74" i="29" s="1"/>
  <c r="A75" i="29" s="1"/>
  <c r="A76" i="29" s="1"/>
  <c r="A77" i="29" s="1"/>
  <c r="A78" i="29" s="1"/>
  <c r="A79" i="29" s="1"/>
  <c r="A80" i="29" s="1"/>
  <c r="A81" i="29" s="1"/>
  <c r="A82" i="29" s="1"/>
  <c r="A83" i="29" s="1"/>
  <c r="A84" i="29" s="1"/>
  <c r="A85" i="29" s="1"/>
  <c r="A86" i="29" s="1"/>
  <c r="A87" i="29" s="1"/>
  <c r="A88" i="29" s="1"/>
  <c r="A89" i="29" s="1"/>
  <c r="A90" i="29" s="1"/>
  <c r="A91" i="29" s="1"/>
  <c r="A92" i="29" s="1"/>
  <c r="A93" i="29" s="1"/>
  <c r="A94" i="29" s="1"/>
  <c r="A95" i="29" s="1"/>
  <c r="A96" i="29" s="1"/>
  <c r="A97" i="29" s="1"/>
  <c r="A98" i="29" s="1"/>
  <c r="A99" i="29" s="1"/>
  <c r="A100" i="29" s="1"/>
  <c r="A101" i="29" s="1"/>
  <c r="A102" i="29" s="1"/>
  <c r="A103" i="29" s="1"/>
  <c r="A104" i="29" s="1"/>
  <c r="A105" i="29" s="1"/>
  <c r="A106" i="29" s="1"/>
  <c r="A107" i="29" s="1"/>
  <c r="A108" i="29" s="1"/>
  <c r="A109" i="29" s="1"/>
  <c r="A110" i="29" s="1"/>
  <c r="A111" i="29" s="1"/>
  <c r="A112" i="29" s="1"/>
  <c r="A113" i="29" s="1"/>
  <c r="A114" i="29" s="1"/>
  <c r="A115" i="29" s="1"/>
  <c r="A116" i="29" s="1"/>
  <c r="A117" i="29" s="1"/>
  <c r="A118" i="29" s="1"/>
  <c r="A119" i="29" s="1"/>
  <c r="A120" i="29" s="1"/>
  <c r="A121" i="29" s="1"/>
  <c r="A122" i="29" s="1"/>
  <c r="A123" i="29" s="1"/>
  <c r="A124" i="29" s="1"/>
  <c r="A125" i="29" s="1"/>
  <c r="A126" i="29" s="1"/>
  <c r="A127" i="29" s="1"/>
  <c r="A128" i="29" s="1"/>
  <c r="A129" i="29" s="1"/>
  <c r="A130" i="29" s="1"/>
  <c r="A131" i="29" s="1"/>
  <c r="A132" i="29" s="1"/>
  <c r="A133" i="29" s="1"/>
  <c r="A134" i="29" s="1"/>
  <c r="A135" i="29" s="1"/>
  <c r="A136" i="29" s="1"/>
  <c r="A137" i="29" s="1"/>
  <c r="A138" i="29" s="1"/>
  <c r="A139" i="29" s="1"/>
  <c r="A140" i="29" s="1"/>
  <c r="A141" i="29" s="1"/>
  <c r="A142" i="29" s="1"/>
  <c r="A143" i="29" s="1"/>
  <c r="A144" i="29" s="1"/>
  <c r="A145" i="29" s="1"/>
  <c r="A146" i="29" s="1"/>
  <c r="A147" i="29" s="1"/>
  <c r="A148" i="29" s="1"/>
  <c r="A149" i="29" s="1"/>
  <c r="A150" i="29" s="1"/>
  <c r="A151" i="29" s="1"/>
  <c r="A152" i="29" s="1"/>
  <c r="A153" i="29" s="1"/>
  <c r="A154" i="29" s="1"/>
  <c r="A155" i="29" s="1"/>
  <c r="A156" i="29" s="1"/>
  <c r="A157" i="29" s="1"/>
  <c r="A158" i="29" s="1"/>
  <c r="A159" i="29" s="1"/>
  <c r="A160" i="29" s="1"/>
  <c r="A161" i="29" s="1"/>
  <c r="A162" i="29" s="1"/>
  <c r="A163" i="29" s="1"/>
  <c r="A164" i="29" s="1"/>
  <c r="A165" i="29" s="1"/>
  <c r="A166" i="29" s="1"/>
  <c r="A167" i="29" s="1"/>
  <c r="A168" i="29" s="1"/>
  <c r="A169" i="29" s="1"/>
  <c r="A170" i="29" s="1"/>
  <c r="A171" i="29" s="1"/>
  <c r="A172" i="29" s="1"/>
  <c r="A173" i="29" s="1"/>
  <c r="A174" i="29" s="1"/>
  <c r="A175" i="29" s="1"/>
  <c r="A176" i="29" s="1"/>
  <c r="A177" i="29" s="1"/>
  <c r="A178" i="29" s="1"/>
  <c r="A179" i="29" s="1"/>
  <c r="A180" i="29" s="1"/>
  <c r="A181" i="29" s="1"/>
  <c r="A182" i="29" s="1"/>
  <c r="A183" i="29" s="1"/>
  <c r="A184" i="29" s="1"/>
  <c r="A185" i="29" s="1"/>
  <c r="A186" i="29" s="1"/>
  <c r="A187" i="29" s="1"/>
  <c r="A188" i="29" s="1"/>
  <c r="A189" i="29" s="1"/>
  <c r="A190" i="29" s="1"/>
  <c r="A191" i="29" s="1"/>
  <c r="A192" i="29" s="1"/>
  <c r="A193" i="29" s="1"/>
  <c r="A194" i="29" s="1"/>
  <c r="A195" i="29" s="1"/>
  <c r="A196" i="29" s="1"/>
  <c r="A197" i="29" s="1"/>
  <c r="A198" i="29" s="1"/>
  <c r="A199" i="29" s="1"/>
  <c r="A568" i="14"/>
  <c r="A569" i="14" s="1"/>
  <c r="A570" i="14" s="1"/>
  <c r="A571" i="14" s="1"/>
  <c r="A572" i="14" s="1"/>
  <c r="A573" i="14" s="1"/>
  <c r="A574" i="14" s="1"/>
  <c r="A575" i="14" s="1"/>
  <c r="A576" i="14" s="1"/>
  <c r="A577" i="14" s="1"/>
  <c r="A578" i="14" s="1"/>
  <c r="A579" i="14" s="1"/>
  <c r="A20" i="30"/>
  <c r="A21" i="30" s="1"/>
  <c r="A22" i="30" s="1"/>
  <c r="A23" i="30" s="1"/>
  <c r="A24" i="30" s="1"/>
  <c r="A25" i="30" s="1"/>
  <c r="A26" i="30" s="1"/>
  <c r="A27" i="30" s="1"/>
  <c r="A28" i="30" s="1"/>
  <c r="A29" i="30" s="1"/>
  <c r="A30" i="30" s="1"/>
  <c r="A31" i="30" s="1"/>
  <c r="A32" i="30" s="1"/>
  <c r="A33" i="30" s="1"/>
  <c r="A34" i="30" s="1"/>
  <c r="A35" i="30" s="1"/>
  <c r="A36" i="30" s="1"/>
  <c r="A37" i="30" s="1"/>
  <c r="A38" i="30" s="1"/>
  <c r="A39" i="30" s="1"/>
  <c r="A40" i="30" s="1"/>
  <c r="A41" i="30" s="1"/>
  <c r="A42" i="30" s="1"/>
  <c r="A43" i="30" s="1"/>
  <c r="A44" i="30" s="1"/>
  <c r="A45" i="30" s="1"/>
  <c r="A46" i="30" s="1"/>
  <c r="A47" i="30" s="1"/>
  <c r="A48" i="30" s="1"/>
  <c r="A49" i="30" s="1"/>
  <c r="A50" i="30" s="1"/>
  <c r="A51" i="30" s="1"/>
  <c r="A52" i="30" s="1"/>
  <c r="A19" i="23"/>
  <c r="A20" i="23" s="1"/>
  <c r="A21" i="23" s="1"/>
  <c r="A22" i="23" s="1"/>
  <c r="A23" i="23" s="1"/>
  <c r="A24" i="23" s="1"/>
  <c r="A25" i="23" s="1"/>
  <c r="A26" i="23" s="1"/>
  <c r="A27" i="23" s="1"/>
  <c r="A28" i="23" s="1"/>
  <c r="A29" i="23" s="1"/>
  <c r="A30" i="23" s="1"/>
  <c r="A31" i="23" s="1"/>
  <c r="A32" i="23" s="1"/>
  <c r="A33" i="23" s="1"/>
  <c r="A34" i="23" s="1"/>
  <c r="A9" i="2"/>
  <c r="A10" i="2" s="1"/>
  <c r="A11" i="2" s="1"/>
  <c r="A12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45" i="23"/>
  <c r="A46" i="23" s="1"/>
  <c r="A47" i="23" s="1"/>
  <c r="A110" i="23"/>
  <c r="A111" i="23" s="1"/>
  <c r="A112" i="23" s="1"/>
  <c r="A113" i="23" s="1"/>
  <c r="A114" i="23" s="1"/>
  <c r="A115" i="23" s="1"/>
  <c r="A116" i="23" s="1"/>
  <c r="A117" i="23" s="1"/>
  <c r="A118" i="23" s="1"/>
  <c r="A141" i="19"/>
  <c r="A214" i="19"/>
  <c r="A215" i="19" s="1"/>
  <c r="A216" i="19" s="1"/>
  <c r="A217" i="19" s="1"/>
  <c r="A218" i="19" s="1"/>
  <c r="A219" i="19" s="1"/>
  <c r="A220" i="19" s="1"/>
  <c r="A221" i="19" s="1"/>
  <c r="A222" i="19" s="1"/>
  <c r="A223" i="19" s="1"/>
  <c r="A224" i="19" s="1"/>
  <c r="A225" i="19" s="1"/>
  <c r="A226" i="19" s="1"/>
  <c r="A227" i="19" s="1"/>
  <c r="A228" i="19" s="1"/>
  <c r="A229" i="19" s="1"/>
  <c r="A230" i="19" s="1"/>
  <c r="A231" i="19" s="1"/>
  <c r="A232" i="19" s="1"/>
  <c r="A233" i="19" s="1"/>
  <c r="A234" i="19" s="1"/>
  <c r="A235" i="19" s="1"/>
  <c r="A236" i="19" s="1"/>
  <c r="A237" i="19" s="1"/>
  <c r="A238" i="19" s="1"/>
  <c r="A239" i="19" s="1"/>
  <c r="A240" i="19" s="1"/>
  <c r="A241" i="19" s="1"/>
  <c r="A242" i="19" s="1"/>
  <c r="A243" i="19" s="1"/>
  <c r="A244" i="19" s="1"/>
  <c r="A4" i="7"/>
  <c r="A5" i="7" s="1"/>
  <c r="A7" i="19"/>
  <c r="A8" i="19" s="1"/>
  <c r="A9" i="19" s="1"/>
  <c r="A10" i="19" s="1"/>
  <c r="A11" i="19" s="1"/>
  <c r="A12" i="19" s="1"/>
  <c r="A98" i="19"/>
  <c r="A99" i="19" s="1"/>
  <c r="A100" i="19" s="1"/>
  <c r="A101" i="19" s="1"/>
  <c r="A102" i="19" s="1"/>
  <c r="A103" i="19" s="1"/>
  <c r="A104" i="19" s="1"/>
  <c r="A105" i="19" s="1"/>
  <c r="A106" i="19" s="1"/>
  <c r="A107" i="19" s="1"/>
  <c r="A108" i="19" s="1"/>
  <c r="A109" i="19" s="1"/>
  <c r="A110" i="19" s="1"/>
  <c r="A111" i="19" s="1"/>
  <c r="A112" i="19" s="1"/>
  <c r="A113" i="19" s="1"/>
  <c r="A114" i="19" s="1"/>
  <c r="A115" i="19" s="1"/>
  <c r="A116" i="19" s="1"/>
  <c r="A117" i="19" s="1"/>
  <c r="A684" i="19"/>
  <c r="A685" i="19" s="1"/>
  <c r="A686" i="19" s="1"/>
  <c r="A687" i="19" s="1"/>
  <c r="A688" i="19" s="1"/>
  <c r="A689" i="19" s="1"/>
  <c r="A690" i="19" s="1"/>
  <c r="A691" i="19" s="1"/>
  <c r="A692" i="19" s="1"/>
  <c r="A693" i="19" s="1"/>
  <c r="A694" i="19" s="1"/>
  <c r="A695" i="19" s="1"/>
  <c r="A696" i="19" s="1"/>
  <c r="A697" i="19" s="1"/>
  <c r="A698" i="19" s="1"/>
  <c r="A699" i="19" s="1"/>
  <c r="A700" i="19" s="1"/>
  <c r="A701" i="19" s="1"/>
  <c r="A702" i="19" s="1"/>
  <c r="A703" i="19" s="1"/>
  <c r="A704" i="19" s="1"/>
  <c r="A705" i="19" s="1"/>
  <c r="A706" i="19" s="1"/>
  <c r="A707" i="19" s="1"/>
  <c r="A13" i="20"/>
  <c r="A14" i="20" s="1"/>
  <c r="A10" i="17"/>
  <c r="A22" i="14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45" i="3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14" i="15"/>
  <c r="A15" i="15" s="1"/>
  <c r="A16" i="15" s="1"/>
  <c r="A17" i="15" s="1"/>
  <c r="A18" i="15" s="1"/>
  <c r="A22" i="15" s="1"/>
  <c r="A23" i="15" s="1"/>
  <c r="A24" i="15" s="1"/>
  <c r="A25" i="15" s="1"/>
  <c r="A26" i="15" s="1"/>
  <c r="A27" i="15" s="1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322" i="19"/>
  <c r="A16" i="13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406" i="13"/>
  <c r="A407" i="13" s="1"/>
  <c r="A408" i="13" s="1"/>
  <c r="A355" i="19"/>
  <c r="A356" i="19" s="1"/>
  <c r="A357" i="19" s="1"/>
  <c r="A358" i="19" s="1"/>
  <c r="A359" i="19" s="1"/>
  <c r="A360" i="19" s="1"/>
  <c r="A361" i="19" s="1"/>
  <c r="A362" i="19" s="1"/>
  <c r="A363" i="19" s="1"/>
  <c r="A364" i="19" s="1"/>
  <c r="A365" i="19" s="1"/>
  <c r="A366" i="19" s="1"/>
  <c r="A367" i="19" s="1"/>
  <c r="A368" i="19" s="1"/>
  <c r="A369" i="19" s="1"/>
  <c r="A370" i="19" s="1"/>
  <c r="A45" i="21"/>
  <c r="A3989" i="1"/>
  <c r="A3990" i="1"/>
  <c r="A3991" i="1"/>
  <c r="A3992" i="1"/>
  <c r="A3993" i="1" s="1"/>
  <c r="A3994" i="1" s="1"/>
  <c r="A3995" i="1" s="1"/>
  <c r="A3996" i="1" s="1"/>
  <c r="A3997" i="1" s="1"/>
  <c r="A3998" i="1" s="1"/>
  <c r="A3988" i="1"/>
  <c r="A3935" i="1"/>
  <c r="A3936" i="1" s="1"/>
  <c r="A3937" i="1" s="1"/>
  <c r="A3938" i="1" s="1"/>
  <c r="A3939" i="1" s="1"/>
  <c r="A3940" i="1" s="1"/>
  <c r="A3941" i="1" s="1"/>
  <c r="A3942" i="1" s="1"/>
  <c r="A3943" i="1" s="1"/>
  <c r="A3944" i="1" s="1"/>
  <c r="A3945" i="1" s="1"/>
  <c r="A3946" i="1" s="1"/>
  <c r="A3947" i="1" s="1"/>
  <c r="A3948" i="1" s="1"/>
  <c r="A3949" i="1" s="1"/>
  <c r="A3950" i="1" s="1"/>
  <c r="A3951" i="1" s="1"/>
  <c r="A3952" i="1" s="1"/>
  <c r="A3953" i="1" s="1"/>
  <c r="A3954" i="1" s="1"/>
  <c r="A3955" i="1" s="1"/>
  <c r="A3956" i="1" s="1"/>
  <c r="A3957" i="1" s="1"/>
  <c r="A3958" i="1" s="1"/>
  <c r="A3959" i="1" s="1"/>
  <c r="A3960" i="1" s="1"/>
  <c r="A3961" i="1" s="1"/>
  <c r="A3962" i="1" s="1"/>
  <c r="A3963" i="1" s="1"/>
  <c r="A3964" i="1" s="1"/>
  <c r="A3965" i="1" s="1"/>
  <c r="A3966" i="1" s="1"/>
  <c r="A3967" i="1" s="1"/>
  <c r="A3968" i="1" s="1"/>
  <c r="A3969" i="1" s="1"/>
  <c r="A3970" i="1" s="1"/>
  <c r="A3971" i="1" s="1"/>
  <c r="A3972" i="1" s="1"/>
  <c r="A3973" i="1" s="1"/>
  <c r="A3974" i="1" s="1"/>
  <c r="A3975" i="1" s="1"/>
  <c r="A3976" i="1" s="1"/>
  <c r="A3977" i="1" s="1"/>
  <c r="A3978" i="1" s="1"/>
  <c r="A3979" i="1" s="1"/>
  <c r="A3980" i="1" s="1"/>
  <c r="A3981" i="1" s="1"/>
  <c r="A3982" i="1" s="1"/>
  <c r="A3983" i="1" s="1"/>
  <c r="A3984" i="1" s="1"/>
  <c r="A3985" i="1" s="1"/>
  <c r="A3934" i="1"/>
  <c r="A3898" i="1"/>
  <c r="A3899" i="1" s="1"/>
  <c r="A3900" i="1" s="1"/>
  <c r="A3901" i="1" s="1"/>
  <c r="A3902" i="1" s="1"/>
  <c r="A3903" i="1" s="1"/>
  <c r="A3904" i="1" s="1"/>
  <c r="A3905" i="1" s="1"/>
  <c r="A3906" i="1" s="1"/>
  <c r="A3907" i="1" s="1"/>
  <c r="A3908" i="1" s="1"/>
  <c r="A3909" i="1" s="1"/>
  <c r="A3910" i="1" s="1"/>
  <c r="A3911" i="1" s="1"/>
  <c r="A3912" i="1" s="1"/>
  <c r="A3913" i="1" s="1"/>
  <c r="A3914" i="1" s="1"/>
  <c r="A3915" i="1" s="1"/>
  <c r="A3916" i="1" s="1"/>
  <c r="A3917" i="1" s="1"/>
  <c r="A3918" i="1" s="1"/>
  <c r="A3919" i="1" s="1"/>
  <c r="A3920" i="1" s="1"/>
  <c r="A3921" i="1" s="1"/>
  <c r="A3922" i="1" s="1"/>
  <c r="A3923" i="1" s="1"/>
  <c r="A3924" i="1" s="1"/>
  <c r="A3925" i="1" s="1"/>
  <c r="A3926" i="1" s="1"/>
  <c r="A3927" i="1" s="1"/>
  <c r="A3928" i="1" s="1"/>
  <c r="A3929" i="1" s="1"/>
  <c r="A3930" i="1" s="1"/>
  <c r="A3931" i="1" s="1"/>
  <c r="A3897" i="1"/>
  <c r="A3797" i="1"/>
  <c r="A3798" i="1"/>
  <c r="A3799" i="1"/>
  <c r="A3800" i="1"/>
  <c r="A3801" i="1" s="1"/>
  <c r="A3802" i="1" s="1"/>
  <c r="A3803" i="1" s="1"/>
  <c r="A3804" i="1" s="1"/>
  <c r="A3805" i="1" s="1"/>
  <c r="A3806" i="1" s="1"/>
  <c r="A3807" i="1" s="1"/>
  <c r="A3808" i="1" s="1"/>
  <c r="A3809" i="1" s="1"/>
  <c r="A3810" i="1" s="1"/>
  <c r="A3811" i="1" s="1"/>
  <c r="A3812" i="1" s="1"/>
  <c r="A3813" i="1" s="1"/>
  <c r="A3814" i="1" s="1"/>
  <c r="A3815" i="1" s="1"/>
  <c r="A3816" i="1" s="1"/>
  <c r="A3817" i="1" s="1"/>
  <c r="A3818" i="1" s="1"/>
  <c r="A3819" i="1" s="1"/>
  <c r="A3820" i="1" s="1"/>
  <c r="A3821" i="1" s="1"/>
  <c r="A3822" i="1" s="1"/>
  <c r="A3823" i="1" s="1"/>
  <c r="A3824" i="1" s="1"/>
  <c r="A3825" i="1" s="1"/>
  <c r="A3826" i="1" s="1"/>
  <c r="A3827" i="1" s="1"/>
  <c r="A3828" i="1" s="1"/>
  <c r="A3829" i="1" s="1"/>
  <c r="A3830" i="1" s="1"/>
  <c r="A3831" i="1" s="1"/>
  <c r="A3832" i="1" s="1"/>
  <c r="A3833" i="1" s="1"/>
  <c r="A3834" i="1" s="1"/>
  <c r="A3835" i="1" s="1"/>
  <c r="A3836" i="1" s="1"/>
  <c r="A3837" i="1" s="1"/>
  <c r="A3838" i="1" s="1"/>
  <c r="A3839" i="1" s="1"/>
  <c r="A3840" i="1" s="1"/>
  <c r="A3841" i="1" s="1"/>
  <c r="A3842" i="1" s="1"/>
  <c r="A3843" i="1" s="1"/>
  <c r="A3844" i="1" s="1"/>
  <c r="A3845" i="1" s="1"/>
  <c r="A3846" i="1" s="1"/>
  <c r="A3847" i="1" s="1"/>
  <c r="A3848" i="1" s="1"/>
  <c r="A3849" i="1" s="1"/>
  <c r="A3850" i="1" s="1"/>
  <c r="A3851" i="1" s="1"/>
  <c r="A3852" i="1" s="1"/>
  <c r="A3853" i="1" s="1"/>
  <c r="A3854" i="1" s="1"/>
  <c r="A3855" i="1" s="1"/>
  <c r="A3856" i="1" s="1"/>
  <c r="A3857" i="1" s="1"/>
  <c r="A3858" i="1" s="1"/>
  <c r="A3859" i="1" s="1"/>
  <c r="A3860" i="1" s="1"/>
  <c r="A3861" i="1" s="1"/>
  <c r="A3862" i="1" s="1"/>
  <c r="A3863" i="1" s="1"/>
  <c r="A3864" i="1" s="1"/>
  <c r="A3865" i="1" s="1"/>
  <c r="A3866" i="1" s="1"/>
  <c r="A3867" i="1" s="1"/>
  <c r="A3868" i="1" s="1"/>
  <c r="A3869" i="1" s="1"/>
  <c r="A3870" i="1" s="1"/>
  <c r="A3871" i="1" s="1"/>
  <c r="A3872" i="1" s="1"/>
  <c r="A3873" i="1" s="1"/>
  <c r="A3874" i="1" s="1"/>
  <c r="A3875" i="1" s="1"/>
  <c r="A3876" i="1" s="1"/>
  <c r="A3877" i="1" s="1"/>
  <c r="A3878" i="1" s="1"/>
  <c r="A3879" i="1" s="1"/>
  <c r="A3880" i="1" s="1"/>
  <c r="A3881" i="1" s="1"/>
  <c r="A3882" i="1" s="1"/>
  <c r="A3883" i="1" s="1"/>
  <c r="A3884" i="1" s="1"/>
  <c r="A3885" i="1" s="1"/>
  <c r="A3886" i="1" s="1"/>
  <c r="A3887" i="1" s="1"/>
  <c r="A3888" i="1" s="1"/>
  <c r="A3889" i="1" s="1"/>
  <c r="A3890" i="1" s="1"/>
  <c r="A3891" i="1" s="1"/>
  <c r="A3892" i="1" s="1"/>
  <c r="A3893" i="1" s="1"/>
  <c r="A3894" i="1" s="1"/>
  <c r="A3796" i="1"/>
  <c r="A3648" i="1"/>
  <c r="A3649" i="1"/>
  <c r="A3650" i="1"/>
  <c r="A3651" i="1"/>
  <c r="A3652" i="1" s="1"/>
  <c r="A3653" i="1" s="1"/>
  <c r="A3654" i="1" s="1"/>
  <c r="A3655" i="1" s="1"/>
  <c r="A3656" i="1" s="1"/>
  <c r="A3657" i="1" s="1"/>
  <c r="A3658" i="1" s="1"/>
  <c r="A3659" i="1" s="1"/>
  <c r="A3660" i="1" s="1"/>
  <c r="A3661" i="1" s="1"/>
  <c r="A3662" i="1" s="1"/>
  <c r="A3663" i="1" s="1"/>
  <c r="A3664" i="1" s="1"/>
  <c r="A3665" i="1" s="1"/>
  <c r="A3666" i="1" s="1"/>
  <c r="A3667" i="1" s="1"/>
  <c r="A3668" i="1" s="1"/>
  <c r="A3669" i="1" s="1"/>
  <c r="A3670" i="1" s="1"/>
  <c r="A3671" i="1" s="1"/>
  <c r="A3672" i="1" s="1"/>
  <c r="A3673" i="1" s="1"/>
  <c r="A3674" i="1" s="1"/>
  <c r="A3675" i="1" s="1"/>
  <c r="A3676" i="1" s="1"/>
  <c r="A3677" i="1" s="1"/>
  <c r="A3678" i="1" s="1"/>
  <c r="A3679" i="1" s="1"/>
  <c r="A3680" i="1" s="1"/>
  <c r="A3681" i="1" s="1"/>
  <c r="A3682" i="1" s="1"/>
  <c r="A3683" i="1" s="1"/>
  <c r="A3684" i="1" s="1"/>
  <c r="A3685" i="1" s="1"/>
  <c r="A3686" i="1" s="1"/>
  <c r="A3687" i="1" s="1"/>
  <c r="A3688" i="1" s="1"/>
  <c r="A3689" i="1" s="1"/>
  <c r="A3690" i="1" s="1"/>
  <c r="A3691" i="1" s="1"/>
  <c r="A3692" i="1" s="1"/>
  <c r="A3693" i="1" s="1"/>
  <c r="A3694" i="1" s="1"/>
  <c r="A3695" i="1" s="1"/>
  <c r="A3696" i="1" s="1"/>
  <c r="A3697" i="1" s="1"/>
  <c r="A3698" i="1" s="1"/>
  <c r="A3699" i="1" s="1"/>
  <c r="A3700" i="1" s="1"/>
  <c r="A3701" i="1" s="1"/>
  <c r="A3702" i="1" s="1"/>
  <c r="A3703" i="1" s="1"/>
  <c r="A3704" i="1" s="1"/>
  <c r="A3705" i="1" s="1"/>
  <c r="A3706" i="1" s="1"/>
  <c r="A3707" i="1" s="1"/>
  <c r="A3708" i="1" s="1"/>
  <c r="A3709" i="1" s="1"/>
  <c r="A3710" i="1" s="1"/>
  <c r="A3711" i="1" s="1"/>
  <c r="A3712" i="1" s="1"/>
  <c r="A3713" i="1" s="1"/>
  <c r="A3714" i="1" s="1"/>
  <c r="A3715" i="1" s="1"/>
  <c r="A3716" i="1" s="1"/>
  <c r="A3717" i="1" s="1"/>
  <c r="A3718" i="1" s="1"/>
  <c r="A3719" i="1" s="1"/>
  <c r="A3720" i="1" s="1"/>
  <c r="A3721" i="1" s="1"/>
  <c r="A3722" i="1" s="1"/>
  <c r="A3723" i="1" s="1"/>
  <c r="A3724" i="1" s="1"/>
  <c r="A3725" i="1" s="1"/>
  <c r="A3726" i="1" s="1"/>
  <c r="A3727" i="1" s="1"/>
  <c r="A3728" i="1" s="1"/>
  <c r="A3729" i="1" s="1"/>
  <c r="A3730" i="1" s="1"/>
  <c r="A3731" i="1" s="1"/>
  <c r="A3732" i="1" s="1"/>
  <c r="A3733" i="1" s="1"/>
  <c r="A3734" i="1" s="1"/>
  <c r="A3735" i="1" s="1"/>
  <c r="A3736" i="1" s="1"/>
  <c r="A3737" i="1" s="1"/>
  <c r="A3738" i="1" s="1"/>
  <c r="A3739" i="1" s="1"/>
  <c r="A3740" i="1" s="1"/>
  <c r="A3741" i="1" s="1"/>
  <c r="A3742" i="1" s="1"/>
  <c r="A3743" i="1" s="1"/>
  <c r="A3744" i="1" s="1"/>
  <c r="A3745" i="1" s="1"/>
  <c r="A3746" i="1" s="1"/>
  <c r="A3747" i="1" s="1"/>
  <c r="A3748" i="1" s="1"/>
  <c r="A3749" i="1" s="1"/>
  <c r="A3750" i="1" s="1"/>
  <c r="A3751" i="1" s="1"/>
  <c r="A3752" i="1" s="1"/>
  <c r="A3753" i="1" s="1"/>
  <c r="A3754" i="1" s="1"/>
  <c r="A3755" i="1" s="1"/>
  <c r="A3756" i="1" s="1"/>
  <c r="A3757" i="1" s="1"/>
  <c r="A3758" i="1" s="1"/>
  <c r="A3759" i="1" s="1"/>
  <c r="A3761" i="1" s="1"/>
  <c r="A3762" i="1" s="1"/>
  <c r="A3763" i="1" s="1"/>
  <c r="A3764" i="1" s="1"/>
  <c r="A3765" i="1" s="1"/>
  <c r="A3766" i="1" s="1"/>
  <c r="A3767" i="1" s="1"/>
  <c r="A3768" i="1" s="1"/>
  <c r="A3769" i="1" s="1"/>
  <c r="A3770" i="1" s="1"/>
  <c r="A3771" i="1" s="1"/>
  <c r="A3772" i="1" s="1"/>
  <c r="A3773" i="1" s="1"/>
  <c r="A3774" i="1" s="1"/>
  <c r="A3775" i="1" s="1"/>
  <c r="A3776" i="1" s="1"/>
  <c r="A3777" i="1" s="1"/>
  <c r="A3778" i="1" s="1"/>
  <c r="A3779" i="1" s="1"/>
  <c r="A3780" i="1" s="1"/>
  <c r="A3781" i="1" s="1"/>
  <c r="A3782" i="1" s="1"/>
  <c r="A3783" i="1" s="1"/>
  <c r="A3784" i="1" s="1"/>
  <c r="A3785" i="1" s="1"/>
  <c r="A3786" i="1" s="1"/>
  <c r="A3787" i="1" s="1"/>
  <c r="A3788" i="1" s="1"/>
  <c r="A3789" i="1" s="1"/>
  <c r="A3790" i="1" s="1"/>
  <c r="A3791" i="1" s="1"/>
  <c r="A3792" i="1" s="1"/>
  <c r="A3793" i="1" s="1"/>
  <c r="A3647" i="1"/>
  <c r="A3578" i="1"/>
  <c r="A3579" i="1"/>
  <c r="A3580" i="1"/>
  <c r="A3581" i="1"/>
  <c r="A3582" i="1" s="1"/>
  <c r="A3583" i="1" s="1"/>
  <c r="A3584" i="1" s="1"/>
  <c r="A3585" i="1" s="1"/>
  <c r="A3586" i="1" s="1"/>
  <c r="A3587" i="1" s="1"/>
  <c r="A3588" i="1" s="1"/>
  <c r="A3589" i="1" s="1"/>
  <c r="A3590" i="1" s="1"/>
  <c r="A3591" i="1" s="1"/>
  <c r="A3592" i="1" s="1"/>
  <c r="A3593" i="1" s="1"/>
  <c r="A3594" i="1" s="1"/>
  <c r="A3595" i="1" s="1"/>
  <c r="A3596" i="1" s="1"/>
  <c r="A3597" i="1" s="1"/>
  <c r="A3598" i="1" s="1"/>
  <c r="A3599" i="1" s="1"/>
  <c r="A3600" i="1" s="1"/>
  <c r="A3601" i="1" s="1"/>
  <c r="A3602" i="1" s="1"/>
  <c r="A3603" i="1" s="1"/>
  <c r="A3604" i="1" s="1"/>
  <c r="A3605" i="1" s="1"/>
  <c r="A3606" i="1" s="1"/>
  <c r="A3607" i="1" s="1"/>
  <c r="A3608" i="1" s="1"/>
  <c r="A3609" i="1" s="1"/>
  <c r="A3610" i="1" s="1"/>
  <c r="A3611" i="1" s="1"/>
  <c r="A3612" i="1" s="1"/>
  <c r="A3613" i="1" s="1"/>
  <c r="A3614" i="1" s="1"/>
  <c r="A3615" i="1" s="1"/>
  <c r="A3616" i="1" s="1"/>
  <c r="A3617" i="1" s="1"/>
  <c r="A3618" i="1" s="1"/>
  <c r="A3619" i="1" s="1"/>
  <c r="A3620" i="1" s="1"/>
  <c r="A3621" i="1" s="1"/>
  <c r="A3622" i="1" s="1"/>
  <c r="A3623" i="1" s="1"/>
  <c r="A3624" i="1" s="1"/>
  <c r="A3625" i="1" s="1"/>
  <c r="A3626" i="1" s="1"/>
  <c r="A3627" i="1" s="1"/>
  <c r="A3628" i="1" s="1"/>
  <c r="A3629" i="1" s="1"/>
  <c r="A3630" i="1" s="1"/>
  <c r="A3631" i="1" s="1"/>
  <c r="A3632" i="1" s="1"/>
  <c r="A3633" i="1" s="1"/>
  <c r="A3634" i="1" s="1"/>
  <c r="A3635" i="1" s="1"/>
  <c r="A3636" i="1" s="1"/>
  <c r="A3637" i="1" s="1"/>
  <c r="A3638" i="1" s="1"/>
  <c r="A3639" i="1" s="1"/>
  <c r="A3640" i="1" s="1"/>
  <c r="A3641" i="1" s="1"/>
  <c r="A3642" i="1" s="1"/>
  <c r="A3643" i="1" s="1"/>
  <c r="A3644" i="1" s="1"/>
  <c r="A3577" i="1"/>
  <c r="A3310" i="1"/>
  <c r="A3311" i="1"/>
  <c r="A3312" i="1"/>
  <c r="A3313" i="1" s="1"/>
  <c r="A3314" i="1" s="1"/>
  <c r="A3315" i="1"/>
  <c r="A3316" i="1" s="1"/>
  <c r="A3317" i="1" s="1"/>
  <c r="A3318" i="1" s="1"/>
  <c r="A3319" i="1" s="1"/>
  <c r="A3320" i="1" s="1"/>
  <c r="A3321" i="1" s="1"/>
  <c r="A3322" i="1" s="1"/>
  <c r="A3323" i="1" s="1"/>
  <c r="A3324" i="1" s="1"/>
  <c r="A3325" i="1" s="1"/>
  <c r="A3326" i="1" s="1"/>
  <c r="A3327" i="1" s="1"/>
  <c r="A3328" i="1" s="1"/>
  <c r="A3329" i="1" s="1"/>
  <c r="A3330" i="1" s="1"/>
  <c r="A3331" i="1" s="1"/>
  <c r="A3332" i="1" s="1"/>
  <c r="A3333" i="1" s="1"/>
  <c r="A3334" i="1" s="1"/>
  <c r="A3335" i="1" s="1"/>
  <c r="A3336" i="1" s="1"/>
  <c r="A3337" i="1" s="1"/>
  <c r="A3338" i="1" s="1"/>
  <c r="A3339" i="1" s="1"/>
  <c r="A3340" i="1" s="1"/>
  <c r="A3341" i="1" s="1"/>
  <c r="A3342" i="1" s="1"/>
  <c r="A3343" i="1" s="1"/>
  <c r="A3344" i="1" s="1"/>
  <c r="A3345" i="1" s="1"/>
  <c r="A3346" i="1" s="1"/>
  <c r="A3347" i="1" s="1"/>
  <c r="A3348" i="1" s="1"/>
  <c r="A3349" i="1" s="1"/>
  <c r="A3350" i="1" s="1"/>
  <c r="A3351" i="1" s="1"/>
  <c r="A3352" i="1" s="1"/>
  <c r="A3353" i="1" s="1"/>
  <c r="A3354" i="1" s="1"/>
  <c r="A3355" i="1" s="1"/>
  <c r="A3356" i="1" s="1"/>
  <c r="A3357" i="1" s="1"/>
  <c r="A3358" i="1" s="1"/>
  <c r="A3359" i="1" s="1"/>
  <c r="A3360" i="1" s="1"/>
  <c r="A3361" i="1" s="1"/>
  <c r="A3362" i="1" s="1"/>
  <c r="A3363" i="1" s="1"/>
  <c r="A3364" i="1" s="1"/>
  <c r="A3365" i="1" s="1"/>
  <c r="A3366" i="1" s="1"/>
  <c r="A3367" i="1" s="1"/>
  <c r="A3368" i="1" s="1"/>
  <c r="A3369" i="1" s="1"/>
  <c r="A3370" i="1" s="1"/>
  <c r="A3371" i="1" s="1"/>
  <c r="A3372" i="1" s="1"/>
  <c r="A3373" i="1" s="1"/>
  <c r="A3374" i="1" s="1"/>
  <c r="A3375" i="1" s="1"/>
  <c r="A3376" i="1" s="1"/>
  <c r="A3377" i="1" s="1"/>
  <c r="A3378" i="1" s="1"/>
  <c r="A3379" i="1" s="1"/>
  <c r="A3380" i="1" s="1"/>
  <c r="A3381" i="1" s="1"/>
  <c r="A3382" i="1" s="1"/>
  <c r="A3383" i="1" s="1"/>
  <c r="A3384" i="1" s="1"/>
  <c r="A3385" i="1" s="1"/>
  <c r="A3386" i="1" s="1"/>
  <c r="A3387" i="1" s="1"/>
  <c r="A3388" i="1" s="1"/>
  <c r="A3389" i="1" s="1"/>
  <c r="A3390" i="1" s="1"/>
  <c r="A3391" i="1" s="1"/>
  <c r="A3392" i="1" s="1"/>
  <c r="A3393" i="1" s="1"/>
  <c r="A3394" i="1" s="1"/>
  <c r="A3395" i="1" s="1"/>
  <c r="A3396" i="1" s="1"/>
  <c r="A3397" i="1" s="1"/>
  <c r="A3398" i="1" s="1"/>
  <c r="A3399" i="1" s="1"/>
  <c r="A3400" i="1" s="1"/>
  <c r="A3401" i="1" s="1"/>
  <c r="A3402" i="1" s="1"/>
  <c r="A3403" i="1" s="1"/>
  <c r="A3404" i="1" s="1"/>
  <c r="A3405" i="1" s="1"/>
  <c r="A3406" i="1" s="1"/>
  <c r="A3407" i="1" s="1"/>
  <c r="A3408" i="1" s="1"/>
  <c r="A3409" i="1" s="1"/>
  <c r="A3410" i="1" s="1"/>
  <c r="A3411" i="1" s="1"/>
  <c r="A3412" i="1" s="1"/>
  <c r="A3413" i="1" s="1"/>
  <c r="A3414" i="1" s="1"/>
  <c r="A3415" i="1" s="1"/>
  <c r="A3416" i="1" s="1"/>
  <c r="A3417" i="1" s="1"/>
  <c r="A3418" i="1" s="1"/>
  <c r="A3419" i="1" s="1"/>
  <c r="A3420" i="1" s="1"/>
  <c r="A3421" i="1" s="1"/>
  <c r="A3422" i="1" s="1"/>
  <c r="A3423" i="1" s="1"/>
  <c r="A3424" i="1" s="1"/>
  <c r="A3425" i="1" s="1"/>
  <c r="A3426" i="1" s="1"/>
  <c r="A3427" i="1" s="1"/>
  <c r="A3428" i="1" s="1"/>
  <c r="A3429" i="1" s="1"/>
  <c r="A3430" i="1" s="1"/>
  <c r="A3431" i="1" s="1"/>
  <c r="A3432" i="1" s="1"/>
  <c r="A3433" i="1" s="1"/>
  <c r="A3434" i="1" s="1"/>
  <c r="A3435" i="1" s="1"/>
  <c r="A3436" i="1" s="1"/>
  <c r="A3437" i="1" s="1"/>
  <c r="A3438" i="1" s="1"/>
  <c r="A3439" i="1" s="1"/>
  <c r="A3440" i="1" s="1"/>
  <c r="A3441" i="1" s="1"/>
  <c r="A3442" i="1" s="1"/>
  <c r="A3443" i="1" s="1"/>
  <c r="A3444" i="1" s="1"/>
  <c r="A3445" i="1" s="1"/>
  <c r="A3446" i="1" s="1"/>
  <c r="A3447" i="1" s="1"/>
  <c r="A3448" i="1" s="1"/>
  <c r="A3449" i="1" s="1"/>
  <c r="A3450" i="1" s="1"/>
  <c r="A3451" i="1" s="1"/>
  <c r="A3452" i="1" s="1"/>
  <c r="A3453" i="1" s="1"/>
  <c r="A3454" i="1" s="1"/>
  <c r="A3455" i="1" s="1"/>
  <c r="A3456" i="1" s="1"/>
  <c r="A3457" i="1" s="1"/>
  <c r="A3458" i="1" s="1"/>
  <c r="A3459" i="1" s="1"/>
  <c r="A3460" i="1" s="1"/>
  <c r="A3461" i="1" s="1"/>
  <c r="A3462" i="1" s="1"/>
  <c r="A3463" i="1" s="1"/>
  <c r="A3464" i="1" s="1"/>
  <c r="A3465" i="1" s="1"/>
  <c r="A3466" i="1" s="1"/>
  <c r="A3467" i="1" s="1"/>
  <c r="A3468" i="1" s="1"/>
  <c r="A3469" i="1" s="1"/>
  <c r="A3470" i="1" s="1"/>
  <c r="A3471" i="1" s="1"/>
  <c r="A3472" i="1" s="1"/>
  <c r="A3473" i="1" s="1"/>
  <c r="A3474" i="1" s="1"/>
  <c r="A3475" i="1" s="1"/>
  <c r="A3476" i="1" s="1"/>
  <c r="A3477" i="1" s="1"/>
  <c r="A3478" i="1" s="1"/>
  <c r="A3479" i="1" s="1"/>
  <c r="A3480" i="1" s="1"/>
  <c r="A3481" i="1" s="1"/>
  <c r="A3482" i="1" s="1"/>
  <c r="A3483" i="1" s="1"/>
  <c r="A3484" i="1" s="1"/>
  <c r="A3485" i="1" s="1"/>
  <c r="A3486" i="1" s="1"/>
  <c r="A3487" i="1" s="1"/>
  <c r="A3488" i="1" s="1"/>
  <c r="A3489" i="1" s="1"/>
  <c r="A3490" i="1" s="1"/>
  <c r="A3491" i="1" s="1"/>
  <c r="A3492" i="1" s="1"/>
  <c r="A3493" i="1" s="1"/>
  <c r="A3494" i="1" s="1"/>
  <c r="A3495" i="1" s="1"/>
  <c r="A3496" i="1" s="1"/>
  <c r="A3497" i="1" s="1"/>
  <c r="A3498" i="1" s="1"/>
  <c r="A3499" i="1" s="1"/>
  <c r="A3500" i="1" s="1"/>
  <c r="A3501" i="1" s="1"/>
  <c r="A3502" i="1" s="1"/>
  <c r="A3503" i="1" s="1"/>
  <c r="A3504" i="1" s="1"/>
  <c r="A3505" i="1" s="1"/>
  <c r="A3506" i="1" s="1"/>
  <c r="A3507" i="1" s="1"/>
  <c r="A3508" i="1" s="1"/>
  <c r="A3509" i="1" s="1"/>
  <c r="A3510" i="1" s="1"/>
  <c r="A3511" i="1" s="1"/>
  <c r="A3512" i="1" s="1"/>
  <c r="A3513" i="1" s="1"/>
  <c r="A3514" i="1" s="1"/>
  <c r="A3515" i="1" s="1"/>
  <c r="A3516" i="1" s="1"/>
  <c r="A3517" i="1" s="1"/>
  <c r="A3518" i="1" s="1"/>
  <c r="A3519" i="1" s="1"/>
  <c r="A3520" i="1" s="1"/>
  <c r="A3521" i="1" s="1"/>
  <c r="A3522" i="1" s="1"/>
  <c r="A3523" i="1" s="1"/>
  <c r="A3524" i="1" s="1"/>
  <c r="A3525" i="1" s="1"/>
  <c r="A3526" i="1" s="1"/>
  <c r="A3527" i="1" s="1"/>
  <c r="A3528" i="1" s="1"/>
  <c r="A3529" i="1" s="1"/>
  <c r="A3530" i="1" s="1"/>
  <c r="A3531" i="1" s="1"/>
  <c r="A3532" i="1" s="1"/>
  <c r="A3533" i="1" s="1"/>
  <c r="A3534" i="1" s="1"/>
  <c r="A3535" i="1" s="1"/>
  <c r="A3536" i="1" s="1"/>
  <c r="A3537" i="1" s="1"/>
  <c r="A3538" i="1" s="1"/>
  <c r="A3539" i="1" s="1"/>
  <c r="A3540" i="1" s="1"/>
  <c r="A3541" i="1" s="1"/>
  <c r="A3542" i="1" s="1"/>
  <c r="A3543" i="1" s="1"/>
  <c r="A3544" i="1" s="1"/>
  <c r="A3545" i="1" s="1"/>
  <c r="A3546" i="1" s="1"/>
  <c r="A3547" i="1" s="1"/>
  <c r="A3548" i="1" s="1"/>
  <c r="A3549" i="1" s="1"/>
  <c r="A3550" i="1" s="1"/>
  <c r="A3551" i="1" s="1"/>
  <c r="A3552" i="1" s="1"/>
  <c r="A3553" i="1" s="1"/>
  <c r="A3554" i="1" s="1"/>
  <c r="A3555" i="1" s="1"/>
  <c r="A3556" i="1" s="1"/>
  <c r="A3557" i="1" s="1"/>
  <c r="A3558" i="1" s="1"/>
  <c r="A3559" i="1" s="1"/>
  <c r="A3560" i="1" s="1"/>
  <c r="A3561" i="1" s="1"/>
  <c r="A3562" i="1" s="1"/>
  <c r="A3563" i="1" s="1"/>
  <c r="A3564" i="1" s="1"/>
  <c r="A3565" i="1" s="1"/>
  <c r="A3566" i="1" s="1"/>
  <c r="A3567" i="1" s="1"/>
  <c r="A3568" i="1" s="1"/>
  <c r="A3569" i="1" s="1"/>
  <c r="A3570" i="1" s="1"/>
  <c r="A3571" i="1" s="1"/>
  <c r="A3572" i="1" s="1"/>
  <c r="A3573" i="1" s="1"/>
  <c r="A3574" i="1" s="1"/>
  <c r="A3309" i="1"/>
  <c r="A3282" i="1"/>
  <c r="A3283" i="1"/>
  <c r="A3284" i="1"/>
  <c r="A3285" i="1"/>
  <c r="A3286" i="1" s="1"/>
  <c r="A3287" i="1" s="1"/>
  <c r="A3288" i="1" s="1"/>
  <c r="A3289" i="1" s="1"/>
  <c r="A3290" i="1" s="1"/>
  <c r="A3291" i="1" s="1"/>
  <c r="A3292" i="1" s="1"/>
  <c r="A3293" i="1" s="1"/>
  <c r="A3294" i="1" s="1"/>
  <c r="A3295" i="1" s="1"/>
  <c r="A3296" i="1" s="1"/>
  <c r="A3297" i="1" s="1"/>
  <c r="A3298" i="1" s="1"/>
  <c r="A3299" i="1" s="1"/>
  <c r="A3300" i="1" s="1"/>
  <c r="A3301" i="1" s="1"/>
  <c r="A3302" i="1" s="1"/>
  <c r="A3303" i="1" s="1"/>
  <c r="A3304" i="1" s="1"/>
  <c r="A3305" i="1" s="1"/>
  <c r="A3306" i="1" s="1"/>
  <c r="A3281" i="1"/>
  <c r="A3182" i="1"/>
  <c r="A3183" i="1"/>
  <c r="A3184" i="1"/>
  <c r="A3185" i="1"/>
  <c r="A3186" i="1" s="1"/>
  <c r="A3187" i="1" s="1"/>
  <c r="A3188" i="1" s="1"/>
  <c r="A3189" i="1" s="1"/>
  <c r="A3190" i="1" s="1"/>
  <c r="A3191" i="1" s="1"/>
  <c r="A3192" i="1" s="1"/>
  <c r="A3193" i="1" s="1"/>
  <c r="A3194" i="1" s="1"/>
  <c r="A3195" i="1" s="1"/>
  <c r="A3196" i="1" s="1"/>
  <c r="A3197" i="1" s="1"/>
  <c r="A3198" i="1" s="1"/>
  <c r="A3199" i="1" s="1"/>
  <c r="A3200" i="1" s="1"/>
  <c r="A3201" i="1" s="1"/>
  <c r="A3202" i="1" s="1"/>
  <c r="A3203" i="1" s="1"/>
  <c r="A3204" i="1" s="1"/>
  <c r="A3205" i="1" s="1"/>
  <c r="A3206" i="1" s="1"/>
  <c r="A3207" i="1" s="1"/>
  <c r="A3208" i="1" s="1"/>
  <c r="A3209" i="1" s="1"/>
  <c r="A3210" i="1" s="1"/>
  <c r="A3211" i="1" s="1"/>
  <c r="A3212" i="1" s="1"/>
  <c r="A3213" i="1" s="1"/>
  <c r="A3214" i="1" s="1"/>
  <c r="A3215" i="1" s="1"/>
  <c r="A3216" i="1" s="1"/>
  <c r="A3217" i="1" s="1"/>
  <c r="A3218" i="1" s="1"/>
  <c r="A3219" i="1" s="1"/>
  <c r="A3220" i="1" s="1"/>
  <c r="A3221" i="1" s="1"/>
  <c r="A3222" i="1" s="1"/>
  <c r="A3223" i="1" s="1"/>
  <c r="A3224" i="1" s="1"/>
  <c r="A3225" i="1" s="1"/>
  <c r="A3226" i="1" s="1"/>
  <c r="A3227" i="1" s="1"/>
  <c r="A3228" i="1" s="1"/>
  <c r="A3229" i="1" s="1"/>
  <c r="A3230" i="1" s="1"/>
  <c r="A3231" i="1" s="1"/>
  <c r="A3232" i="1" s="1"/>
  <c r="A3233" i="1" s="1"/>
  <c r="A3234" i="1" s="1"/>
  <c r="A3235" i="1" s="1"/>
  <c r="A3236" i="1" s="1"/>
  <c r="A3237" i="1" s="1"/>
  <c r="A3238" i="1" s="1"/>
  <c r="A3239" i="1" s="1"/>
  <c r="A3240" i="1" s="1"/>
  <c r="A3241" i="1" s="1"/>
  <c r="A3242" i="1" s="1"/>
  <c r="A3243" i="1" s="1"/>
  <c r="A3244" i="1" s="1"/>
  <c r="A3245" i="1" s="1"/>
  <c r="A3246" i="1" s="1"/>
  <c r="A3247" i="1" s="1"/>
  <c r="A3248" i="1" s="1"/>
  <c r="A3249" i="1" s="1"/>
  <c r="A3250" i="1" s="1"/>
  <c r="A3251" i="1" s="1"/>
  <c r="A3252" i="1" s="1"/>
  <c r="A3253" i="1" s="1"/>
  <c r="A3254" i="1" s="1"/>
  <c r="A3255" i="1" s="1"/>
  <c r="A3256" i="1" s="1"/>
  <c r="A3257" i="1" s="1"/>
  <c r="A3258" i="1" s="1"/>
  <c r="A3259" i="1" s="1"/>
  <c r="A3260" i="1" s="1"/>
  <c r="A3261" i="1" s="1"/>
  <c r="A3262" i="1" s="1"/>
  <c r="A3263" i="1" s="1"/>
  <c r="A3264" i="1" s="1"/>
  <c r="A3265" i="1" s="1"/>
  <c r="A3266" i="1" s="1"/>
  <c r="A3267" i="1" s="1"/>
  <c r="A3268" i="1" s="1"/>
  <c r="A3269" i="1" s="1"/>
  <c r="A3270" i="1" s="1"/>
  <c r="A3271" i="1" s="1"/>
  <c r="A3272" i="1" s="1"/>
  <c r="A3273" i="1" s="1"/>
  <c r="A3274" i="1" s="1"/>
  <c r="A3275" i="1" s="1"/>
  <c r="A3276" i="1" s="1"/>
  <c r="A3277" i="1" s="1"/>
  <c r="A3278" i="1" s="1"/>
  <c r="A3181" i="1"/>
  <c r="A3096" i="1"/>
  <c r="A3097" i="1"/>
  <c r="A3098" i="1"/>
  <c r="A3099" i="1"/>
  <c r="A3100" i="1" s="1"/>
  <c r="A3101" i="1" s="1"/>
  <c r="A3102" i="1" s="1"/>
  <c r="A3103" i="1" s="1"/>
  <c r="A3104" i="1" s="1"/>
  <c r="A3105" i="1" s="1"/>
  <c r="A3106" i="1" s="1"/>
  <c r="A3107" i="1" s="1"/>
  <c r="A3108" i="1" s="1"/>
  <c r="A3109" i="1" s="1"/>
  <c r="A3110" i="1" s="1"/>
  <c r="A3111" i="1" s="1"/>
  <c r="A3112" i="1" s="1"/>
  <c r="A3113" i="1" s="1"/>
  <c r="A3114" i="1" s="1"/>
  <c r="A3115" i="1" s="1"/>
  <c r="A3116" i="1" s="1"/>
  <c r="A3117" i="1" s="1"/>
  <c r="A3118" i="1" s="1"/>
  <c r="A3119" i="1" s="1"/>
  <c r="A3120" i="1" s="1"/>
  <c r="A3121" i="1" s="1"/>
  <c r="A3122" i="1" s="1"/>
  <c r="A3123" i="1" s="1"/>
  <c r="A3124" i="1" s="1"/>
  <c r="A3125" i="1" s="1"/>
  <c r="A3126" i="1" s="1"/>
  <c r="A3127" i="1" s="1"/>
  <c r="A3128" i="1" s="1"/>
  <c r="A3129" i="1" s="1"/>
  <c r="A3130" i="1" s="1"/>
  <c r="A3131" i="1" s="1"/>
  <c r="A3132" i="1" s="1"/>
  <c r="A3133" i="1" s="1"/>
  <c r="A3134" i="1" s="1"/>
  <c r="A3135" i="1" s="1"/>
  <c r="A3136" i="1" s="1"/>
  <c r="A3137" i="1" s="1"/>
  <c r="A3138" i="1" s="1"/>
  <c r="A3139" i="1" s="1"/>
  <c r="A3140" i="1" s="1"/>
  <c r="A3141" i="1" s="1"/>
  <c r="A3142" i="1" s="1"/>
  <c r="A3143" i="1" s="1"/>
  <c r="A3144" i="1" s="1"/>
  <c r="A3145" i="1" s="1"/>
  <c r="A3146" i="1" s="1"/>
  <c r="A3147" i="1" s="1"/>
  <c r="A3148" i="1" s="1"/>
  <c r="A3149" i="1" s="1"/>
  <c r="A3150" i="1" s="1"/>
  <c r="A3151" i="1" s="1"/>
  <c r="A3152" i="1" s="1"/>
  <c r="A3153" i="1" s="1"/>
  <c r="A3154" i="1" s="1"/>
  <c r="A3155" i="1" s="1"/>
  <c r="A3156" i="1" s="1"/>
  <c r="A3157" i="1" s="1"/>
  <c r="A3158" i="1" s="1"/>
  <c r="A3159" i="1" s="1"/>
  <c r="A3160" i="1" s="1"/>
  <c r="A3161" i="1" s="1"/>
  <c r="A3162" i="1" s="1"/>
  <c r="A3163" i="1" s="1"/>
  <c r="A3164" i="1" s="1"/>
  <c r="A3165" i="1" s="1"/>
  <c r="A3166" i="1" s="1"/>
  <c r="A3167" i="1" s="1"/>
  <c r="A3168" i="1" s="1"/>
  <c r="A3169" i="1" s="1"/>
  <c r="A3170" i="1" s="1"/>
  <c r="A3171" i="1" s="1"/>
  <c r="A3172" i="1" s="1"/>
  <c r="A3173" i="1" s="1"/>
  <c r="A3174" i="1" s="1"/>
  <c r="A3175" i="1" s="1"/>
  <c r="A3176" i="1" s="1"/>
  <c r="A3177" i="1" s="1"/>
  <c r="A3178" i="1" s="1"/>
  <c r="A3095" i="1"/>
  <c r="A3060" i="1"/>
  <c r="A3061" i="1"/>
  <c r="A3062" i="1"/>
  <c r="A3063" i="1"/>
  <c r="A3064" i="1" s="1"/>
  <c r="A3065" i="1" s="1"/>
  <c r="A3066" i="1" s="1"/>
  <c r="A3067" i="1" s="1"/>
  <c r="A3068" i="1" s="1"/>
  <c r="A3069" i="1" s="1"/>
  <c r="A3070" i="1" s="1"/>
  <c r="A3071" i="1" s="1"/>
  <c r="A3072" i="1" s="1"/>
  <c r="A3073" i="1" s="1"/>
  <c r="A3074" i="1" s="1"/>
  <c r="A3075" i="1" s="1"/>
  <c r="A3076" i="1" s="1"/>
  <c r="A3077" i="1" s="1"/>
  <c r="A3078" i="1" s="1"/>
  <c r="A3079" i="1" s="1"/>
  <c r="A3080" i="1" s="1"/>
  <c r="A3081" i="1" s="1"/>
  <c r="A3082" i="1" s="1"/>
  <c r="A3083" i="1" s="1"/>
  <c r="A3084" i="1" s="1"/>
  <c r="A3085" i="1" s="1"/>
  <c r="A3086" i="1" s="1"/>
  <c r="A3087" i="1" s="1"/>
  <c r="A3088" i="1" s="1"/>
  <c r="A3089" i="1" s="1"/>
  <c r="A3090" i="1" s="1"/>
  <c r="A3091" i="1" s="1"/>
  <c r="A3092" i="1" s="1"/>
  <c r="A3059" i="1"/>
  <c r="A2976" i="1"/>
  <c r="A2977" i="1"/>
  <c r="A2978" i="1"/>
  <c r="A2979" i="1"/>
  <c r="A2980" i="1" s="1"/>
  <c r="A2981" i="1" s="1"/>
  <c r="A2982" i="1" s="1"/>
  <c r="A2983" i="1" s="1"/>
  <c r="A2984" i="1" s="1"/>
  <c r="A2985" i="1" s="1"/>
  <c r="A2986" i="1" s="1"/>
  <c r="A2987" i="1" s="1"/>
  <c r="A2988" i="1" s="1"/>
  <c r="A2989" i="1" s="1"/>
  <c r="A2990" i="1" s="1"/>
  <c r="A2991" i="1" s="1"/>
  <c r="A2992" i="1" s="1"/>
  <c r="A2993" i="1" s="1"/>
  <c r="A2994" i="1" s="1"/>
  <c r="A2995" i="1" s="1"/>
  <c r="A2996" i="1" s="1"/>
  <c r="A2997" i="1" s="1"/>
  <c r="A2998" i="1" s="1"/>
  <c r="A2999" i="1" s="1"/>
  <c r="A3000" i="1" s="1"/>
  <c r="A3001" i="1" s="1"/>
  <c r="A3002" i="1" s="1"/>
  <c r="A3003" i="1" s="1"/>
  <c r="A3004" i="1" s="1"/>
  <c r="A3005" i="1" s="1"/>
  <c r="A3006" i="1" s="1"/>
  <c r="A3007" i="1" s="1"/>
  <c r="A3008" i="1" s="1"/>
  <c r="A3009" i="1" s="1"/>
  <c r="A3010" i="1" s="1"/>
  <c r="A3011" i="1" s="1"/>
  <c r="A3012" i="1" s="1"/>
  <c r="A3013" i="1" s="1"/>
  <c r="A3014" i="1" s="1"/>
  <c r="A3015" i="1" s="1"/>
  <c r="A3016" i="1" s="1"/>
  <c r="A3017" i="1" s="1"/>
  <c r="A3018" i="1" s="1"/>
  <c r="A3019" i="1" s="1"/>
  <c r="A3020" i="1" s="1"/>
  <c r="A3021" i="1" s="1"/>
  <c r="A3022" i="1" s="1"/>
  <c r="A3023" i="1" s="1"/>
  <c r="A3024" i="1" s="1"/>
  <c r="A3025" i="1" s="1"/>
  <c r="A3026" i="1" s="1"/>
  <c r="A3027" i="1" s="1"/>
  <c r="A3028" i="1" s="1"/>
  <c r="A3029" i="1" s="1"/>
  <c r="A3030" i="1" s="1"/>
  <c r="A3031" i="1" s="1"/>
  <c r="A3032" i="1" s="1"/>
  <c r="A3033" i="1" s="1"/>
  <c r="A3034" i="1" s="1"/>
  <c r="A3035" i="1" s="1"/>
  <c r="A3036" i="1" s="1"/>
  <c r="A3037" i="1" s="1"/>
  <c r="A3038" i="1" s="1"/>
  <c r="A3039" i="1" s="1"/>
  <c r="A3040" i="1" s="1"/>
  <c r="A3041" i="1" s="1"/>
  <c r="A3042" i="1" s="1"/>
  <c r="A3043" i="1" s="1"/>
  <c r="A3044" i="1" s="1"/>
  <c r="A3045" i="1" s="1"/>
  <c r="A3046" i="1" s="1"/>
  <c r="A3047" i="1" s="1"/>
  <c r="A3048" i="1" s="1"/>
  <c r="A3049" i="1" s="1"/>
  <c r="A3050" i="1" s="1"/>
  <c r="A3051" i="1" s="1"/>
  <c r="A3052" i="1" s="1"/>
  <c r="A3053" i="1" s="1"/>
  <c r="A3054" i="1" s="1"/>
  <c r="A3055" i="1" s="1"/>
  <c r="A3056" i="1" s="1"/>
  <c r="A2975" i="1"/>
  <c r="A2934" i="1"/>
  <c r="A2935" i="1"/>
  <c r="A2936" i="1"/>
  <c r="A2937" i="1"/>
  <c r="A2938" i="1" s="1"/>
  <c r="A2939" i="1" s="1"/>
  <c r="A2940" i="1" s="1"/>
  <c r="A2941" i="1" s="1"/>
  <c r="A2942" i="1" s="1"/>
  <c r="A2943" i="1" s="1"/>
  <c r="A2944" i="1" s="1"/>
  <c r="A2945" i="1" s="1"/>
  <c r="A2946" i="1" s="1"/>
  <c r="A2947" i="1" s="1"/>
  <c r="A2948" i="1" s="1"/>
  <c r="A2949" i="1" s="1"/>
  <c r="A2950" i="1" s="1"/>
  <c r="A2951" i="1" s="1"/>
  <c r="A2952" i="1" s="1"/>
  <c r="A2953" i="1" s="1"/>
  <c r="A2954" i="1" s="1"/>
  <c r="A2955" i="1" s="1"/>
  <c r="A2956" i="1" s="1"/>
  <c r="A2957" i="1" s="1"/>
  <c r="A2958" i="1" s="1"/>
  <c r="A2959" i="1" s="1"/>
  <c r="A2960" i="1" s="1"/>
  <c r="A2961" i="1" s="1"/>
  <c r="A2962" i="1" s="1"/>
  <c r="A2963" i="1" s="1"/>
  <c r="A2964" i="1" s="1"/>
  <c r="A2965" i="1" s="1"/>
  <c r="A2966" i="1" s="1"/>
  <c r="A2967" i="1" s="1"/>
  <c r="A2968" i="1" s="1"/>
  <c r="A2969" i="1" s="1"/>
  <c r="A2970" i="1" s="1"/>
  <c r="A2971" i="1" s="1"/>
  <c r="A2972" i="1" s="1"/>
  <c r="A2933" i="1"/>
  <c r="A2908" i="1"/>
  <c r="A2909" i="1"/>
  <c r="A2910" i="1"/>
  <c r="A2911" i="1"/>
  <c r="A2912" i="1" s="1"/>
  <c r="A2913" i="1" s="1"/>
  <c r="A2914" i="1" s="1"/>
  <c r="A2915" i="1" s="1"/>
  <c r="A2916" i="1" s="1"/>
  <c r="A2917" i="1" s="1"/>
  <c r="A2918" i="1" s="1"/>
  <c r="A2919" i="1" s="1"/>
  <c r="A2920" i="1" s="1"/>
  <c r="A2921" i="1" s="1"/>
  <c r="A2922" i="1" s="1"/>
  <c r="A2923" i="1" s="1"/>
  <c r="A2924" i="1" s="1"/>
  <c r="A2925" i="1" s="1"/>
  <c r="A2926" i="1" s="1"/>
  <c r="A2927" i="1" s="1"/>
  <c r="A2928" i="1" s="1"/>
  <c r="A2929" i="1" s="1"/>
  <c r="A2930" i="1" s="1"/>
  <c r="A2907" i="1"/>
  <c r="A2854" i="1"/>
  <c r="A2855" i="1"/>
  <c r="A2856" i="1" s="1"/>
  <c r="A2857" i="1" s="1"/>
  <c r="A2858" i="1" s="1"/>
  <c r="A2859" i="1" s="1"/>
  <c r="A2860" i="1" s="1"/>
  <c r="A2861" i="1" s="1"/>
  <c r="A2862" i="1" s="1"/>
  <c r="A2863" i="1" s="1"/>
  <c r="A2864" i="1" s="1"/>
  <c r="A2865" i="1" s="1"/>
  <c r="A2866" i="1" s="1"/>
  <c r="A2867" i="1" s="1"/>
  <c r="A2868" i="1" s="1"/>
  <c r="A2869" i="1" s="1"/>
  <c r="A2870" i="1" s="1"/>
  <c r="A2871" i="1" s="1"/>
  <c r="A2872" i="1" s="1"/>
  <c r="A2873" i="1" s="1"/>
  <c r="A2874" i="1" s="1"/>
  <c r="A2875" i="1" s="1"/>
  <c r="A2876" i="1" s="1"/>
  <c r="A2877" i="1" s="1"/>
  <c r="A2878" i="1" s="1"/>
  <c r="A2879" i="1" s="1"/>
  <c r="A2880" i="1" s="1"/>
  <c r="A2881" i="1" s="1"/>
  <c r="A2882" i="1" s="1"/>
  <c r="A2883" i="1" s="1"/>
  <c r="A2884" i="1" s="1"/>
  <c r="A2885" i="1" s="1"/>
  <c r="A2886" i="1" s="1"/>
  <c r="A2887" i="1" s="1"/>
  <c r="A2888" i="1" s="1"/>
  <c r="A2889" i="1" s="1"/>
  <c r="A2890" i="1" s="1"/>
  <c r="A2891" i="1" s="1"/>
  <c r="A2892" i="1" s="1"/>
  <c r="A2893" i="1" s="1"/>
  <c r="A2894" i="1" s="1"/>
  <c r="A2895" i="1" s="1"/>
  <c r="A2896" i="1" s="1"/>
  <c r="A2897" i="1" s="1"/>
  <c r="A2898" i="1" s="1"/>
  <c r="A2899" i="1" s="1"/>
  <c r="A2900" i="1" s="1"/>
  <c r="A2901" i="1" s="1"/>
  <c r="A2902" i="1" s="1"/>
  <c r="A2903" i="1" s="1"/>
  <c r="A2904" i="1" s="1"/>
  <c r="A2853" i="1"/>
  <c r="A2533" i="1"/>
  <c r="A2534" i="1"/>
  <c r="A2535" i="1" s="1"/>
  <c r="A2536" i="1" s="1"/>
  <c r="A2537" i="1" s="1"/>
  <c r="A2538" i="1" s="1"/>
  <c r="A2539" i="1" s="1"/>
  <c r="A2540" i="1" s="1"/>
  <c r="A2541" i="1" s="1"/>
  <c r="A2542" i="1" s="1"/>
  <c r="A2543" i="1" s="1"/>
  <c r="A2544" i="1" s="1"/>
  <c r="A2545" i="1" s="1"/>
  <c r="A2546" i="1" s="1"/>
  <c r="A2547" i="1" s="1"/>
  <c r="A2548" i="1" s="1"/>
  <c r="A2549" i="1" s="1"/>
  <c r="A2550" i="1" s="1"/>
  <c r="A2551" i="1" s="1"/>
  <c r="A2552" i="1" s="1"/>
  <c r="A2553" i="1" s="1"/>
  <c r="A2554" i="1" s="1"/>
  <c r="A2555" i="1" s="1"/>
  <c r="A2556" i="1" s="1"/>
  <c r="A2557" i="1" s="1"/>
  <c r="A2558" i="1" s="1"/>
  <c r="A2559" i="1" s="1"/>
  <c r="A2560" i="1" s="1"/>
  <c r="A2561" i="1" s="1"/>
  <c r="A2562" i="1" s="1"/>
  <c r="A2563" i="1" s="1"/>
  <c r="A2564" i="1" s="1"/>
  <c r="A2565" i="1" s="1"/>
  <c r="A2566" i="1" s="1"/>
  <c r="A2567" i="1" s="1"/>
  <c r="A2568" i="1" s="1"/>
  <c r="A2569" i="1" s="1"/>
  <c r="A2570" i="1" s="1"/>
  <c r="A2571" i="1" s="1"/>
  <c r="A2572" i="1" s="1"/>
  <c r="A2573" i="1" s="1"/>
  <c r="A2574" i="1" s="1"/>
  <c r="A2575" i="1" s="1"/>
  <c r="A2576" i="1" s="1"/>
  <c r="A2577" i="1" s="1"/>
  <c r="A2578" i="1" s="1"/>
  <c r="A2579" i="1" s="1"/>
  <c r="A2580" i="1" s="1"/>
  <c r="A2581" i="1" s="1"/>
  <c r="A2582" i="1" s="1"/>
  <c r="A2583" i="1" s="1"/>
  <c r="A2584" i="1" s="1"/>
  <c r="A2585" i="1" s="1"/>
  <c r="A2586" i="1" s="1"/>
  <c r="A2587" i="1" s="1"/>
  <c r="A2588" i="1" s="1"/>
  <c r="A2589" i="1" s="1"/>
  <c r="A2590" i="1" s="1"/>
  <c r="A2591" i="1" s="1"/>
  <c r="A2592" i="1" s="1"/>
  <c r="A2593" i="1" s="1"/>
  <c r="A2594" i="1" s="1"/>
  <c r="A2595" i="1" s="1"/>
  <c r="A2596" i="1" s="1"/>
  <c r="A2597" i="1" s="1"/>
  <c r="A2598" i="1" s="1"/>
  <c r="A2599" i="1" s="1"/>
  <c r="A2600" i="1" s="1"/>
  <c r="A2601" i="1" s="1"/>
  <c r="A2602" i="1" s="1"/>
  <c r="A2603" i="1" s="1"/>
  <c r="A2604" i="1" s="1"/>
  <c r="A2605" i="1" s="1"/>
  <c r="A2606" i="1" s="1"/>
  <c r="A2607" i="1" s="1"/>
  <c r="A2608" i="1" s="1"/>
  <c r="A2609" i="1" s="1"/>
  <c r="A2610" i="1" s="1"/>
  <c r="A2611" i="1" s="1"/>
  <c r="A2612" i="1" s="1"/>
  <c r="A2613" i="1" s="1"/>
  <c r="A2614" i="1" s="1"/>
  <c r="A2615" i="1" s="1"/>
  <c r="A2616" i="1" s="1"/>
  <c r="A2617" i="1" s="1"/>
  <c r="A2618" i="1" s="1"/>
  <c r="A2619" i="1" s="1"/>
  <c r="A2620" i="1" s="1"/>
  <c r="A2621" i="1" s="1"/>
  <c r="A2622" i="1" s="1"/>
  <c r="A2623" i="1" s="1"/>
  <c r="A2624" i="1" s="1"/>
  <c r="A2625" i="1" s="1"/>
  <c r="A2626" i="1" s="1"/>
  <c r="A2627" i="1" s="1"/>
  <c r="A2628" i="1" s="1"/>
  <c r="A2629" i="1" s="1"/>
  <c r="A2630" i="1" s="1"/>
  <c r="A2631" i="1" s="1"/>
  <c r="A2632" i="1" s="1"/>
  <c r="A2633" i="1" s="1"/>
  <c r="A2634" i="1" s="1"/>
  <c r="A2635" i="1" s="1"/>
  <c r="A2636" i="1" s="1"/>
  <c r="A2637" i="1" s="1"/>
  <c r="A2638" i="1" s="1"/>
  <c r="A2639" i="1" s="1"/>
  <c r="A2640" i="1" s="1"/>
  <c r="A2641" i="1" s="1"/>
  <c r="A2642" i="1" s="1"/>
  <c r="A2643" i="1" s="1"/>
  <c r="A2644" i="1" s="1"/>
  <c r="A2645" i="1" s="1"/>
  <c r="A2646" i="1" s="1"/>
  <c r="A2647" i="1" s="1"/>
  <c r="A2648" i="1" s="1"/>
  <c r="A2649" i="1" s="1"/>
  <c r="A2650" i="1" s="1"/>
  <c r="A2651" i="1" s="1"/>
  <c r="A2652" i="1" s="1"/>
  <c r="A2653" i="1" s="1"/>
  <c r="A2654" i="1" s="1"/>
  <c r="A2655" i="1" s="1"/>
  <c r="A2656" i="1" s="1"/>
  <c r="A2657" i="1" s="1"/>
  <c r="A2658" i="1" s="1"/>
  <c r="A2659" i="1" s="1"/>
  <c r="A2660" i="1" s="1"/>
  <c r="A2661" i="1" s="1"/>
  <c r="A2662" i="1" s="1"/>
  <c r="A2663" i="1" s="1"/>
  <c r="A2664" i="1" s="1"/>
  <c r="A2665" i="1" s="1"/>
  <c r="A2666" i="1" s="1"/>
  <c r="A2667" i="1" s="1"/>
  <c r="A2668" i="1" s="1"/>
  <c r="A2669" i="1" s="1"/>
  <c r="A2670" i="1" s="1"/>
  <c r="A2671" i="1" s="1"/>
  <c r="A2672" i="1" s="1"/>
  <c r="A2673" i="1" s="1"/>
  <c r="A2674" i="1" s="1"/>
  <c r="A2675" i="1" s="1"/>
  <c r="A2676" i="1" s="1"/>
  <c r="A2677" i="1" s="1"/>
  <c r="A2678" i="1" s="1"/>
  <c r="A2679" i="1" s="1"/>
  <c r="A2680" i="1" s="1"/>
  <c r="A2681" i="1" s="1"/>
  <c r="A2682" i="1" s="1"/>
  <c r="A2683" i="1" s="1"/>
  <c r="A2684" i="1" s="1"/>
  <c r="A2685" i="1" s="1"/>
  <c r="A2686" i="1" s="1"/>
  <c r="A2687" i="1" s="1"/>
  <c r="A2688" i="1" s="1"/>
  <c r="A2689" i="1" s="1"/>
  <c r="A2690" i="1" s="1"/>
  <c r="A2691" i="1" s="1"/>
  <c r="A2692" i="1" s="1"/>
  <c r="A2693" i="1" s="1"/>
  <c r="A2694" i="1" s="1"/>
  <c r="A2695" i="1" s="1"/>
  <c r="A2696" i="1" s="1"/>
  <c r="A2697" i="1" s="1"/>
  <c r="A2698" i="1" s="1"/>
  <c r="A2699" i="1" s="1"/>
  <c r="A2700" i="1" s="1"/>
  <c r="A2701" i="1" s="1"/>
  <c r="A2702" i="1" s="1"/>
  <c r="A2703" i="1" s="1"/>
  <c r="A2704" i="1" s="1"/>
  <c r="A2705" i="1" s="1"/>
  <c r="A2706" i="1" s="1"/>
  <c r="A2707" i="1" s="1"/>
  <c r="A2708" i="1" s="1"/>
  <c r="A2709" i="1" s="1"/>
  <c r="A2710" i="1" s="1"/>
  <c r="A2711" i="1" s="1"/>
  <c r="A2712" i="1" s="1"/>
  <c r="A2713" i="1" s="1"/>
  <c r="A2714" i="1" s="1"/>
  <c r="A2715" i="1" s="1"/>
  <c r="A2716" i="1" s="1"/>
  <c r="A2717" i="1" s="1"/>
  <c r="A2718" i="1" s="1"/>
  <c r="A2719" i="1" s="1"/>
  <c r="A2720" i="1" s="1"/>
  <c r="A2721" i="1" s="1"/>
  <c r="A2722" i="1" s="1"/>
  <c r="A2723" i="1" s="1"/>
  <c r="A2724" i="1" s="1"/>
  <c r="A2725" i="1" s="1"/>
  <c r="A2726" i="1" s="1"/>
  <c r="A2727" i="1" s="1"/>
  <c r="A2728" i="1" s="1"/>
  <c r="A2729" i="1" s="1"/>
  <c r="A2730" i="1" s="1"/>
  <c r="A2731" i="1" s="1"/>
  <c r="A2732" i="1" s="1"/>
  <c r="A2733" i="1" s="1"/>
  <c r="A2734" i="1" s="1"/>
  <c r="A2735" i="1" s="1"/>
  <c r="A2736" i="1" s="1"/>
  <c r="A2737" i="1" s="1"/>
  <c r="A2738" i="1" s="1"/>
  <c r="A2739" i="1" s="1"/>
  <c r="A2740" i="1" s="1"/>
  <c r="A2741" i="1" s="1"/>
  <c r="A2742" i="1" s="1"/>
  <c r="A2743" i="1" s="1"/>
  <c r="A2744" i="1" s="1"/>
  <c r="A2745" i="1" s="1"/>
  <c r="A2746" i="1" s="1"/>
  <c r="A2747" i="1" s="1"/>
  <c r="A2748" i="1" s="1"/>
  <c r="A2749" i="1" s="1"/>
  <c r="A2750" i="1" s="1"/>
  <c r="A2751" i="1" s="1"/>
  <c r="A2752" i="1" s="1"/>
  <c r="A2753" i="1" s="1"/>
  <c r="A2754" i="1" s="1"/>
  <c r="A2755" i="1" s="1"/>
  <c r="A2756" i="1" s="1"/>
  <c r="A2757" i="1" s="1"/>
  <c r="A2758" i="1" s="1"/>
  <c r="A2759" i="1" s="1"/>
  <c r="A2760" i="1" s="1"/>
  <c r="A2761" i="1" s="1"/>
  <c r="A2762" i="1" s="1"/>
  <c r="A2763" i="1" s="1"/>
  <c r="A2764" i="1" s="1"/>
  <c r="A2765" i="1" s="1"/>
  <c r="A2766" i="1" s="1"/>
  <c r="A2767" i="1" s="1"/>
  <c r="A2768" i="1" s="1"/>
  <c r="A2769" i="1" s="1"/>
  <c r="A2770" i="1" s="1"/>
  <c r="A2771" i="1" s="1"/>
  <c r="A2772" i="1" s="1"/>
  <c r="A2773" i="1" s="1"/>
  <c r="A2774" i="1" s="1"/>
  <c r="A2775" i="1" s="1"/>
  <c r="A2776" i="1" s="1"/>
  <c r="A2777" i="1" s="1"/>
  <c r="A2778" i="1" s="1"/>
  <c r="A2779" i="1" s="1"/>
  <c r="A2780" i="1" s="1"/>
  <c r="A2781" i="1" s="1"/>
  <c r="A2782" i="1" s="1"/>
  <c r="A2783" i="1" s="1"/>
  <c r="A2784" i="1" s="1"/>
  <c r="A2785" i="1" s="1"/>
  <c r="A2786" i="1" s="1"/>
  <c r="A2787" i="1" s="1"/>
  <c r="A2788" i="1" s="1"/>
  <c r="A2789" i="1" s="1"/>
  <c r="A2790" i="1" s="1"/>
  <c r="A2791" i="1" s="1"/>
  <c r="A2792" i="1" s="1"/>
  <c r="A2793" i="1" s="1"/>
  <c r="A2794" i="1" s="1"/>
  <c r="A2795" i="1" s="1"/>
  <c r="A2796" i="1" s="1"/>
  <c r="A2797" i="1" s="1"/>
  <c r="A2798" i="1" s="1"/>
  <c r="A2799" i="1" s="1"/>
  <c r="A2800" i="1" s="1"/>
  <c r="A2801" i="1" s="1"/>
  <c r="A2802" i="1" s="1"/>
  <c r="A2803" i="1" s="1"/>
  <c r="A2804" i="1" s="1"/>
  <c r="A2805" i="1" s="1"/>
  <c r="A2806" i="1" s="1"/>
  <c r="A2807" i="1" s="1"/>
  <c r="A2808" i="1" s="1"/>
  <c r="A2809" i="1" s="1"/>
  <c r="A2810" i="1" s="1"/>
  <c r="A2811" i="1" s="1"/>
  <c r="A2812" i="1" s="1"/>
  <c r="A2813" i="1" s="1"/>
  <c r="A2814" i="1" s="1"/>
  <c r="A2815" i="1" s="1"/>
  <c r="A2816" i="1" s="1"/>
  <c r="A2817" i="1" s="1"/>
  <c r="A2818" i="1" s="1"/>
  <c r="A2819" i="1" s="1"/>
  <c r="A2820" i="1" s="1"/>
  <c r="A2821" i="1" s="1"/>
  <c r="A2822" i="1" s="1"/>
  <c r="A2823" i="1" s="1"/>
  <c r="A2824" i="1" s="1"/>
  <c r="A2825" i="1" s="1"/>
  <c r="A2826" i="1" s="1"/>
  <c r="A2827" i="1" s="1"/>
  <c r="A2828" i="1" s="1"/>
  <c r="A2829" i="1" s="1"/>
  <c r="A2830" i="1" s="1"/>
  <c r="A2831" i="1" s="1"/>
  <c r="A2832" i="1" s="1"/>
  <c r="A2833" i="1" s="1"/>
  <c r="A2834" i="1" s="1"/>
  <c r="A2835" i="1" s="1"/>
  <c r="A2836" i="1" s="1"/>
  <c r="A2837" i="1" s="1"/>
  <c r="A2838" i="1" s="1"/>
  <c r="A2839" i="1" s="1"/>
  <c r="A2840" i="1" s="1"/>
  <c r="A2841" i="1" s="1"/>
  <c r="A2842" i="1" s="1"/>
  <c r="A2843" i="1" s="1"/>
  <c r="A2844" i="1" s="1"/>
  <c r="A2845" i="1" s="1"/>
  <c r="A2846" i="1" s="1"/>
  <c r="A2847" i="1" s="1"/>
  <c r="A2848" i="1" s="1"/>
  <c r="A2849" i="1" s="1"/>
  <c r="A2850" i="1" s="1"/>
  <c r="A2532" i="1"/>
  <c r="A2408" i="1"/>
  <c r="A2409" i="1"/>
  <c r="A2410" i="1"/>
  <c r="A2411" i="1"/>
  <c r="A2412" i="1" s="1"/>
  <c r="A2413" i="1" s="1"/>
  <c r="A2414" i="1" s="1"/>
  <c r="A2415" i="1" s="1"/>
  <c r="A2416" i="1" s="1"/>
  <c r="A2417" i="1" s="1"/>
  <c r="A2418" i="1" s="1"/>
  <c r="A2419" i="1" s="1"/>
  <c r="A2420" i="1" s="1"/>
  <c r="A2421" i="1" s="1"/>
  <c r="A2422" i="1" s="1"/>
  <c r="A2423" i="1" s="1"/>
  <c r="A2424" i="1" s="1"/>
  <c r="A2425" i="1" s="1"/>
  <c r="A2426" i="1" s="1"/>
  <c r="A2427" i="1" s="1"/>
  <c r="A2428" i="1" s="1"/>
  <c r="A2429" i="1" s="1"/>
  <c r="A2430" i="1" s="1"/>
  <c r="A2431" i="1" s="1"/>
  <c r="A2432" i="1" s="1"/>
  <c r="A2433" i="1" s="1"/>
  <c r="A2434" i="1" s="1"/>
  <c r="A2435" i="1" s="1"/>
  <c r="A2436" i="1" s="1"/>
  <c r="A2437" i="1" s="1"/>
  <c r="A2438" i="1" s="1"/>
  <c r="A2439" i="1" s="1"/>
  <c r="A2440" i="1" s="1"/>
  <c r="A2441" i="1" s="1"/>
  <c r="A2442" i="1" s="1"/>
  <c r="A2443" i="1" s="1"/>
  <c r="A2444" i="1" s="1"/>
  <c r="A2445" i="1" s="1"/>
  <c r="A2446" i="1" s="1"/>
  <c r="A2447" i="1" s="1"/>
  <c r="A2448" i="1" s="1"/>
  <c r="A2449" i="1" s="1"/>
  <c r="A2450" i="1" s="1"/>
  <c r="A2451" i="1" s="1"/>
  <c r="A2452" i="1" s="1"/>
  <c r="A2453" i="1" s="1"/>
  <c r="A2454" i="1" s="1"/>
  <c r="A2455" i="1" s="1"/>
  <c r="A2456" i="1" s="1"/>
  <c r="A2457" i="1" s="1"/>
  <c r="A2458" i="1" s="1"/>
  <c r="A2459" i="1" s="1"/>
  <c r="A2460" i="1" s="1"/>
  <c r="A2461" i="1" s="1"/>
  <c r="A2462" i="1" s="1"/>
  <c r="A2463" i="1" s="1"/>
  <c r="A2464" i="1" s="1"/>
  <c r="A2465" i="1" s="1"/>
  <c r="A2466" i="1" s="1"/>
  <c r="A2467" i="1" s="1"/>
  <c r="A2468" i="1" s="1"/>
  <c r="A2469" i="1" s="1"/>
  <c r="A2470" i="1" s="1"/>
  <c r="A2471" i="1" s="1"/>
  <c r="A2472" i="1" s="1"/>
  <c r="A2473" i="1" s="1"/>
  <c r="A2474" i="1" s="1"/>
  <c r="A2475" i="1" s="1"/>
  <c r="A2476" i="1" s="1"/>
  <c r="A2477" i="1" s="1"/>
  <c r="A2478" i="1" s="1"/>
  <c r="A2479" i="1" s="1"/>
  <c r="A2480" i="1" s="1"/>
  <c r="A2481" i="1" s="1"/>
  <c r="A2482" i="1" s="1"/>
  <c r="A2483" i="1" s="1"/>
  <c r="A2484" i="1" s="1"/>
  <c r="A2485" i="1" s="1"/>
  <c r="A2486" i="1" s="1"/>
  <c r="A2487" i="1" s="1"/>
  <c r="A2488" i="1" s="1"/>
  <c r="A2489" i="1" s="1"/>
  <c r="A2490" i="1" s="1"/>
  <c r="A2491" i="1" s="1"/>
  <c r="A2492" i="1" s="1"/>
  <c r="A2493" i="1" s="1"/>
  <c r="A2494" i="1" s="1"/>
  <c r="A2495" i="1" s="1"/>
  <c r="A2496" i="1" s="1"/>
  <c r="A2497" i="1" s="1"/>
  <c r="A2498" i="1" s="1"/>
  <c r="A2499" i="1" s="1"/>
  <c r="A2500" i="1" s="1"/>
  <c r="A2501" i="1" s="1"/>
  <c r="A2502" i="1" s="1"/>
  <c r="A2503" i="1" s="1"/>
  <c r="A2504" i="1" s="1"/>
  <c r="A2505" i="1" s="1"/>
  <c r="A2506" i="1" s="1"/>
  <c r="A2507" i="1" s="1"/>
  <c r="A2508" i="1" s="1"/>
  <c r="A2509" i="1" s="1"/>
  <c r="A2510" i="1" s="1"/>
  <c r="A2511" i="1" s="1"/>
  <c r="A2512" i="1" s="1"/>
  <c r="A2513" i="1" s="1"/>
  <c r="A2514" i="1" s="1"/>
  <c r="A2515" i="1" s="1"/>
  <c r="A2516" i="1" s="1"/>
  <c r="A2517" i="1" s="1"/>
  <c r="A2518" i="1" s="1"/>
  <c r="A2519" i="1" s="1"/>
  <c r="A2520" i="1" s="1"/>
  <c r="A2521" i="1" s="1"/>
  <c r="A2522" i="1" s="1"/>
  <c r="A2523" i="1" s="1"/>
  <c r="A2524" i="1" s="1"/>
  <c r="A2525" i="1" s="1"/>
  <c r="A2526" i="1" s="1"/>
  <c r="A2527" i="1" s="1"/>
  <c r="A2528" i="1" s="1"/>
  <c r="A2529" i="1" s="1"/>
  <c r="A2407" i="1"/>
  <c r="A2208" i="1"/>
  <c r="A2209" i="1"/>
  <c r="A2210" i="1"/>
  <c r="A2211" i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267" i="1" s="1"/>
  <c r="A2268" i="1" s="1"/>
  <c r="A2269" i="1" s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  <c r="A2298" i="1" s="1"/>
  <c r="A2299" i="1" s="1"/>
  <c r="A2300" i="1" s="1"/>
  <c r="A2301" i="1" s="1"/>
  <c r="A2302" i="1" s="1"/>
  <c r="A2303" i="1" s="1"/>
  <c r="A2304" i="1" s="1"/>
  <c r="A2305" i="1" s="1"/>
  <c r="A2306" i="1" s="1"/>
  <c r="A2307" i="1" s="1"/>
  <c r="A2308" i="1" s="1"/>
  <c r="A2309" i="1" s="1"/>
  <c r="A2310" i="1" s="1"/>
  <c r="A2311" i="1" s="1"/>
  <c r="A2312" i="1" s="1"/>
  <c r="A2313" i="1" s="1"/>
  <c r="A2314" i="1" s="1"/>
  <c r="A2315" i="1" s="1"/>
  <c r="A2316" i="1" s="1"/>
  <c r="A2317" i="1" s="1"/>
  <c r="A2318" i="1" s="1"/>
  <c r="A2319" i="1" s="1"/>
  <c r="A2320" i="1" s="1"/>
  <c r="A2321" i="1" s="1"/>
  <c r="A2322" i="1" s="1"/>
  <c r="A2323" i="1" s="1"/>
  <c r="A2324" i="1" s="1"/>
  <c r="A2325" i="1" s="1"/>
  <c r="A2326" i="1" s="1"/>
  <c r="A2327" i="1" s="1"/>
  <c r="A2328" i="1" s="1"/>
  <c r="A2329" i="1" s="1"/>
  <c r="A2330" i="1" s="1"/>
  <c r="A2331" i="1" s="1"/>
  <c r="A2332" i="1" s="1"/>
  <c r="A2333" i="1" s="1"/>
  <c r="A2334" i="1" s="1"/>
  <c r="A2335" i="1" s="1"/>
  <c r="A2336" i="1" s="1"/>
  <c r="A2337" i="1" s="1"/>
  <c r="A2338" i="1" s="1"/>
  <c r="A2339" i="1" s="1"/>
  <c r="A2340" i="1" s="1"/>
  <c r="A2341" i="1" s="1"/>
  <c r="A2342" i="1" s="1"/>
  <c r="A2343" i="1" s="1"/>
  <c r="A2344" i="1" s="1"/>
  <c r="A2345" i="1" s="1"/>
  <c r="A2346" i="1" s="1"/>
  <c r="A2347" i="1" s="1"/>
  <c r="A2348" i="1" s="1"/>
  <c r="A2349" i="1" s="1"/>
  <c r="A2350" i="1" s="1"/>
  <c r="A2351" i="1" s="1"/>
  <c r="A2352" i="1" s="1"/>
  <c r="A2353" i="1" s="1"/>
  <c r="A2354" i="1" s="1"/>
  <c r="A2355" i="1" s="1"/>
  <c r="A2356" i="1" s="1"/>
  <c r="A2357" i="1" s="1"/>
  <c r="A2358" i="1" s="1"/>
  <c r="A2359" i="1" s="1"/>
  <c r="A2360" i="1" s="1"/>
  <c r="A2361" i="1" s="1"/>
  <c r="A2362" i="1" s="1"/>
  <c r="A2363" i="1" s="1"/>
  <c r="A2364" i="1" s="1"/>
  <c r="A2365" i="1" s="1"/>
  <c r="A2366" i="1" s="1"/>
  <c r="A2367" i="1" s="1"/>
  <c r="A2368" i="1" s="1"/>
  <c r="A2369" i="1" s="1"/>
  <c r="A2370" i="1" s="1"/>
  <c r="A2371" i="1" s="1"/>
  <c r="A2372" i="1" s="1"/>
  <c r="A2373" i="1" s="1"/>
  <c r="A2374" i="1" s="1"/>
  <c r="A2375" i="1" s="1"/>
  <c r="A2376" i="1" s="1"/>
  <c r="A2377" i="1" s="1"/>
  <c r="A2378" i="1" s="1"/>
  <c r="A2379" i="1" s="1"/>
  <c r="A2380" i="1" s="1"/>
  <c r="A2381" i="1" s="1"/>
  <c r="A2382" i="1" s="1"/>
  <c r="A2383" i="1" s="1"/>
  <c r="A2384" i="1" s="1"/>
  <c r="A2385" i="1" s="1"/>
  <c r="A2386" i="1" s="1"/>
  <c r="A2387" i="1" s="1"/>
  <c r="A2388" i="1" s="1"/>
  <c r="A2389" i="1" s="1"/>
  <c r="A2390" i="1" s="1"/>
  <c r="A2391" i="1" s="1"/>
  <c r="A2392" i="1" s="1"/>
  <c r="A2393" i="1" s="1"/>
  <c r="A2394" i="1" s="1"/>
  <c r="A2395" i="1" s="1"/>
  <c r="A2396" i="1" s="1"/>
  <c r="A2397" i="1" s="1"/>
  <c r="A2398" i="1" s="1"/>
  <c r="A2399" i="1" s="1"/>
  <c r="A2400" i="1" s="1"/>
  <c r="A2401" i="1" s="1"/>
  <c r="A2402" i="1" s="1"/>
  <c r="A2403" i="1" s="1"/>
  <c r="A2404" i="1" s="1"/>
  <c r="A2207" i="1"/>
  <c r="A2093" i="1"/>
  <c r="A2094" i="1"/>
  <c r="A2095" i="1"/>
  <c r="A2096" i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092" i="1"/>
  <c r="A2065" i="1"/>
  <c r="A2066" i="1"/>
  <c r="A2067" i="1"/>
  <c r="A2068" i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64" i="1"/>
  <c r="A2009" i="1"/>
  <c r="A2010" i="1"/>
  <c r="A2011" i="1"/>
  <c r="A2012" i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08" i="1"/>
  <c r="A1496" i="1"/>
  <c r="A1497" i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1495" i="1"/>
  <c r="A1342" i="1"/>
  <c r="A1343" i="1"/>
  <c r="A1344" i="1"/>
  <c r="A1345" i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341" i="1"/>
  <c r="A1164" i="1"/>
  <c r="A1165" i="1"/>
  <c r="A1166" i="1"/>
  <c r="A1167" i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163" i="1"/>
  <c r="A963" i="1"/>
  <c r="A964" i="1"/>
  <c r="A965" i="1"/>
  <c r="A966" i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962" i="1"/>
  <c r="A917" i="1"/>
  <c r="A918" i="1"/>
  <c r="A919" i="1"/>
  <c r="A920" i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16" i="1"/>
  <c r="A784" i="1"/>
  <c r="A785" i="1"/>
  <c r="A786" i="1"/>
  <c r="A787" i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783" i="1"/>
  <c r="A759" i="1"/>
  <c r="A760" i="1"/>
  <c r="A761" i="1"/>
  <c r="A762" i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58" i="1"/>
  <c r="A480" i="1"/>
  <c r="A481" i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479" i="1"/>
  <c r="A454" i="1"/>
  <c r="A435" i="1"/>
  <c r="A436" i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34" i="1"/>
  <c r="A90" i="1"/>
  <c r="A91" i="1" s="1"/>
  <c r="A92" i="1" s="1"/>
  <c r="A93" i="1" s="1"/>
  <c r="A94" i="1" s="1"/>
  <c r="A95" i="1"/>
  <c r="A96" i="1" s="1"/>
  <c r="A97" i="1" s="1"/>
  <c r="A98" i="1" s="1"/>
  <c r="A99" i="1" s="1"/>
  <c r="A100" i="1" s="1"/>
  <c r="A101" i="1"/>
  <c r="A102" i="1" s="1"/>
  <c r="A103" i="1" s="1"/>
  <c r="A104" i="1" s="1"/>
  <c r="A105" i="1" s="1"/>
  <c r="A106" i="1" s="1"/>
  <c r="A107" i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89" i="1"/>
  <c r="A21" i="1"/>
  <c r="A22" i="1"/>
  <c r="A23" i="1"/>
  <c r="A24" i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10" i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6" i="1"/>
  <c r="A7" i="1"/>
  <c r="A8" i="1"/>
  <c r="A9" i="1"/>
  <c r="A5" i="1"/>
  <c r="A4182" i="1"/>
  <c r="A4183" i="1"/>
  <c r="A4184" i="1"/>
  <c r="A4185" i="1"/>
  <c r="A4186" i="1" s="1"/>
  <c r="A4187" i="1" s="1"/>
  <c r="A4188" i="1" s="1"/>
  <c r="A4189" i="1" s="1"/>
  <c r="A4190" i="1" s="1"/>
  <c r="A4191" i="1" s="1"/>
  <c r="A4192" i="1" s="1"/>
  <c r="A4193" i="1" s="1"/>
  <c r="A4194" i="1" s="1"/>
  <c r="A4195" i="1" s="1"/>
  <c r="A4196" i="1" s="1"/>
  <c r="A4197" i="1" s="1"/>
  <c r="A4198" i="1" s="1"/>
  <c r="A4199" i="1" s="1"/>
  <c r="A4200" i="1" s="1"/>
  <c r="A4201" i="1" s="1"/>
  <c r="A4202" i="1" s="1"/>
  <c r="A4203" i="1" s="1"/>
  <c r="A4204" i="1" s="1"/>
  <c r="A4205" i="1" s="1"/>
  <c r="A4206" i="1" s="1"/>
  <c r="A4207" i="1" s="1"/>
  <c r="A4208" i="1" s="1"/>
  <c r="A4209" i="1" s="1"/>
  <c r="A4210" i="1" s="1"/>
  <c r="A4211" i="1" s="1"/>
  <c r="A4212" i="1" s="1"/>
  <c r="A4213" i="1" s="1"/>
  <c r="A4214" i="1" s="1"/>
  <c r="A4215" i="1" s="1"/>
  <c r="A4216" i="1" s="1"/>
  <c r="A4217" i="1" s="1"/>
  <c r="A4218" i="1" s="1"/>
  <c r="A4219" i="1" s="1"/>
  <c r="A4220" i="1" s="1"/>
  <c r="A4221" i="1" s="1"/>
  <c r="A4222" i="1" s="1"/>
  <c r="A4223" i="1" s="1"/>
  <c r="A4224" i="1" s="1"/>
  <c r="A4225" i="1" s="1"/>
  <c r="A4226" i="1" s="1"/>
  <c r="A4227" i="1" s="1"/>
  <c r="A4228" i="1" s="1"/>
  <c r="A4229" i="1" s="1"/>
  <c r="A4230" i="1" s="1"/>
  <c r="A4231" i="1" s="1"/>
  <c r="A4232" i="1" s="1"/>
  <c r="A4233" i="1" s="1"/>
  <c r="A4234" i="1" s="1"/>
  <c r="A4235" i="1" s="1"/>
  <c r="A4236" i="1" s="1"/>
  <c r="A4237" i="1" s="1"/>
  <c r="A4238" i="1" s="1"/>
  <c r="A4239" i="1" s="1"/>
  <c r="A4240" i="1" s="1"/>
  <c r="A4241" i="1" s="1"/>
  <c r="A4242" i="1" s="1"/>
  <c r="A4243" i="1" s="1"/>
  <c r="A4244" i="1" s="1"/>
  <c r="A4245" i="1" s="1"/>
  <c r="A4246" i="1" s="1"/>
  <c r="A4247" i="1" s="1"/>
  <c r="A4248" i="1" s="1"/>
  <c r="A4249" i="1" s="1"/>
  <c r="A4250" i="1" s="1"/>
  <c r="A4251" i="1" s="1"/>
  <c r="A4252" i="1" s="1"/>
  <c r="A4253" i="1" s="1"/>
  <c r="A4254" i="1" s="1"/>
  <c r="A4255" i="1" s="1"/>
  <c r="A4256" i="1" s="1"/>
  <c r="A4257" i="1" s="1"/>
  <c r="A4258" i="1" s="1"/>
  <c r="A4259" i="1" s="1"/>
  <c r="A4260" i="1" s="1"/>
  <c r="A4261" i="1" s="1"/>
  <c r="A4262" i="1" s="1"/>
  <c r="A4263" i="1" s="1"/>
  <c r="A4264" i="1" s="1"/>
  <c r="A4265" i="1" s="1"/>
  <c r="A4266" i="1" s="1"/>
  <c r="A4267" i="1" s="1"/>
  <c r="A4268" i="1" s="1"/>
  <c r="A4269" i="1" s="1"/>
  <c r="A4270" i="1" s="1"/>
  <c r="A4271" i="1" s="1"/>
  <c r="A4272" i="1" s="1"/>
  <c r="A4273" i="1" s="1"/>
  <c r="A4274" i="1" s="1"/>
  <c r="A4275" i="1" s="1"/>
  <c r="A4276" i="1" s="1"/>
  <c r="A4277" i="1" s="1"/>
  <c r="A4278" i="1" s="1"/>
  <c r="A4279" i="1" s="1"/>
  <c r="A4280" i="1" s="1"/>
  <c r="A4281" i="1" s="1"/>
  <c r="A4282" i="1" s="1"/>
  <c r="A4283" i="1" s="1"/>
  <c r="A4284" i="1" s="1"/>
  <c r="A4285" i="1" s="1"/>
  <c r="A4286" i="1" s="1"/>
  <c r="A4287" i="1" s="1"/>
  <c r="A4288" i="1" s="1"/>
  <c r="A4289" i="1" s="1"/>
  <c r="A4290" i="1" s="1"/>
  <c r="A4291" i="1" s="1"/>
  <c r="A4292" i="1" s="1"/>
  <c r="A4293" i="1" s="1"/>
  <c r="A4294" i="1" s="1"/>
  <c r="A4295" i="1" s="1"/>
  <c r="A4296" i="1" s="1"/>
  <c r="A4297" i="1" s="1"/>
  <c r="A4298" i="1" s="1"/>
  <c r="A4299" i="1" s="1"/>
  <c r="A4300" i="1" s="1"/>
  <c r="A4301" i="1" s="1"/>
  <c r="A4302" i="1" s="1"/>
  <c r="A4303" i="1" s="1"/>
  <c r="A4304" i="1" s="1"/>
  <c r="A4305" i="1" s="1"/>
  <c r="A4306" i="1" s="1"/>
  <c r="A4307" i="1" s="1"/>
  <c r="A4308" i="1" s="1"/>
  <c r="A4309" i="1" s="1"/>
  <c r="A4310" i="1" s="1"/>
  <c r="A4311" i="1" s="1"/>
  <c r="A4312" i="1" s="1"/>
  <c r="A4313" i="1" s="1"/>
  <c r="A4314" i="1" s="1"/>
  <c r="A4315" i="1" s="1"/>
  <c r="A4316" i="1" s="1"/>
  <c r="A4317" i="1" s="1"/>
  <c r="A4318" i="1" s="1"/>
  <c r="A4319" i="1" s="1"/>
  <c r="A4320" i="1" s="1"/>
  <c r="A4321" i="1" s="1"/>
  <c r="A4322" i="1" s="1"/>
  <c r="A4323" i="1" s="1"/>
  <c r="A4324" i="1" s="1"/>
  <c r="A4325" i="1" s="1"/>
  <c r="A4326" i="1" s="1"/>
  <c r="A4327" i="1" s="1"/>
  <c r="A4328" i="1" s="1"/>
  <c r="A4329" i="1" s="1"/>
  <c r="A4330" i="1" s="1"/>
  <c r="A4331" i="1" s="1"/>
  <c r="A4332" i="1" s="1"/>
  <c r="A4333" i="1" s="1"/>
  <c r="A4334" i="1" s="1"/>
  <c r="A4335" i="1" s="1"/>
  <c r="A4336" i="1" s="1"/>
  <c r="A4337" i="1" s="1"/>
  <c r="A4338" i="1" s="1"/>
  <c r="A4339" i="1" s="1"/>
  <c r="A4340" i="1" s="1"/>
  <c r="A4341" i="1" s="1"/>
  <c r="A4342" i="1" s="1"/>
  <c r="A4343" i="1" s="1"/>
  <c r="A4344" i="1" s="1"/>
  <c r="A4345" i="1" s="1"/>
  <c r="A4346" i="1" s="1"/>
  <c r="A4347" i="1" s="1"/>
  <c r="A4348" i="1" s="1"/>
  <c r="A4349" i="1" s="1"/>
  <c r="A4350" i="1" s="1"/>
  <c r="A4351" i="1" s="1"/>
  <c r="A4352" i="1" s="1"/>
  <c r="A4353" i="1" s="1"/>
  <c r="A4354" i="1" s="1"/>
  <c r="A4355" i="1" s="1"/>
  <c r="A4356" i="1" s="1"/>
  <c r="A4357" i="1" s="1"/>
  <c r="A4358" i="1" s="1"/>
  <c r="A4359" i="1" s="1"/>
  <c r="A4360" i="1" s="1"/>
  <c r="A4361" i="1" s="1"/>
  <c r="A4362" i="1" s="1"/>
  <c r="A4363" i="1" s="1"/>
  <c r="A4364" i="1" s="1"/>
  <c r="A4365" i="1" s="1"/>
  <c r="A4366" i="1" s="1"/>
  <c r="A4367" i="1" s="1"/>
  <c r="A4368" i="1" s="1"/>
  <c r="A4369" i="1" s="1"/>
  <c r="A4370" i="1" s="1"/>
  <c r="A4371" i="1" s="1"/>
  <c r="A4372" i="1" s="1"/>
  <c r="A4373" i="1" s="1"/>
  <c r="A4374" i="1" s="1"/>
  <c r="A4375" i="1" s="1"/>
  <c r="A4376" i="1" s="1"/>
  <c r="A4377" i="1" s="1"/>
  <c r="A4378" i="1" s="1"/>
  <c r="A4379" i="1" s="1"/>
  <c r="A4380" i="1" s="1"/>
  <c r="A4381" i="1" s="1"/>
  <c r="A4382" i="1" s="1"/>
  <c r="A4383" i="1" s="1"/>
  <c r="A4384" i="1" s="1"/>
  <c r="A4385" i="1" s="1"/>
  <c r="A4386" i="1" s="1"/>
  <c r="A4387" i="1" s="1"/>
  <c r="A4181" i="1"/>
  <c r="A4391" i="1"/>
  <c r="A4392" i="1"/>
  <c r="A4393" i="1"/>
  <c r="A4394" i="1"/>
  <c r="A4395" i="1" s="1"/>
  <c r="A4396" i="1" s="1"/>
  <c r="A4397" i="1" s="1"/>
  <c r="A4398" i="1" s="1"/>
  <c r="A4399" i="1" s="1"/>
  <c r="A4400" i="1" s="1"/>
  <c r="A4401" i="1" s="1"/>
  <c r="A4402" i="1" s="1"/>
  <c r="A4403" i="1" s="1"/>
  <c r="A4404" i="1" s="1"/>
  <c r="A4405" i="1" s="1"/>
  <c r="A4406" i="1" s="1"/>
  <c r="A4407" i="1" s="1"/>
  <c r="A4408" i="1" s="1"/>
  <c r="A4409" i="1" s="1"/>
  <c r="A4410" i="1" s="1"/>
  <c r="A4411" i="1" s="1"/>
  <c r="A4412" i="1" s="1"/>
  <c r="A4413" i="1" s="1"/>
  <c r="A4414" i="1" s="1"/>
  <c r="A4415" i="1" s="1"/>
  <c r="A4416" i="1" s="1"/>
  <c r="A4417" i="1" s="1"/>
  <c r="A4418" i="1" s="1"/>
  <c r="A4419" i="1" s="1"/>
  <c r="A4420" i="1" s="1"/>
  <c r="A4421" i="1" s="1"/>
  <c r="A4422" i="1" s="1"/>
  <c r="A4423" i="1" s="1"/>
  <c r="A4424" i="1" s="1"/>
  <c r="A4425" i="1" s="1"/>
  <c r="A4426" i="1" s="1"/>
  <c r="A4427" i="1" s="1"/>
  <c r="A4428" i="1" s="1"/>
  <c r="A4429" i="1" s="1"/>
  <c r="A4430" i="1" s="1"/>
  <c r="A4431" i="1" s="1"/>
  <c r="A4432" i="1" s="1"/>
  <c r="A4433" i="1" s="1"/>
  <c r="A4434" i="1" s="1"/>
  <c r="A4435" i="1" s="1"/>
  <c r="A4436" i="1" s="1"/>
  <c r="A4437" i="1" s="1"/>
  <c r="A4438" i="1" s="1"/>
  <c r="A4439" i="1" s="1"/>
  <c r="A4440" i="1" s="1"/>
  <c r="A4441" i="1" s="1"/>
  <c r="A4442" i="1" s="1"/>
  <c r="A4443" i="1" s="1"/>
  <c r="A4444" i="1" s="1"/>
  <c r="A4445" i="1" s="1"/>
  <c r="A4446" i="1" s="1"/>
  <c r="A4447" i="1" s="1"/>
  <c r="A4448" i="1" s="1"/>
  <c r="A4449" i="1" s="1"/>
  <c r="A4450" i="1" s="1"/>
  <c r="A4451" i="1" s="1"/>
  <c r="A4452" i="1" s="1"/>
  <c r="A4453" i="1" s="1"/>
  <c r="A4454" i="1" s="1"/>
  <c r="A4455" i="1" s="1"/>
  <c r="A4456" i="1" s="1"/>
  <c r="A4457" i="1" s="1"/>
  <c r="A4458" i="1" s="1"/>
  <c r="A4459" i="1" s="1"/>
  <c r="A4460" i="1" s="1"/>
  <c r="A4461" i="1" s="1"/>
  <c r="A4462" i="1" s="1"/>
  <c r="A4463" i="1" s="1"/>
  <c r="A4464" i="1" s="1"/>
  <c r="A4465" i="1" s="1"/>
  <c r="A4466" i="1" s="1"/>
  <c r="A4467" i="1" s="1"/>
  <c r="A4468" i="1" s="1"/>
  <c r="A4469" i="1" s="1"/>
  <c r="A4470" i="1" s="1"/>
  <c r="A4471" i="1" s="1"/>
  <c r="A4472" i="1" s="1"/>
  <c r="A4473" i="1" s="1"/>
  <c r="A4474" i="1" s="1"/>
  <c r="A4475" i="1" s="1"/>
  <c r="A4476" i="1" s="1"/>
  <c r="A4477" i="1" s="1"/>
  <c r="A4478" i="1" s="1"/>
  <c r="A4479" i="1" s="1"/>
  <c r="A4480" i="1" s="1"/>
  <c r="A4481" i="1" s="1"/>
  <c r="A4482" i="1" s="1"/>
  <c r="A4483" i="1" s="1"/>
  <c r="A4484" i="1" s="1"/>
  <c r="A4485" i="1" s="1"/>
  <c r="A4486" i="1" s="1"/>
  <c r="A4487" i="1" s="1"/>
  <c r="A4488" i="1" s="1"/>
  <c r="A4489" i="1" s="1"/>
  <c r="A4490" i="1" s="1"/>
  <c r="A4491" i="1" s="1"/>
  <c r="A4492" i="1" s="1"/>
  <c r="A4493" i="1" s="1"/>
  <c r="A4494" i="1" s="1"/>
  <c r="A4495" i="1" s="1"/>
  <c r="A4496" i="1" s="1"/>
  <c r="A4497" i="1" s="1"/>
  <c r="A4498" i="1" s="1"/>
  <c r="A4499" i="1" s="1"/>
  <c r="A4500" i="1" s="1"/>
  <c r="A4501" i="1" s="1"/>
  <c r="A4502" i="1" s="1"/>
  <c r="A4503" i="1" s="1"/>
  <c r="A4504" i="1" s="1"/>
  <c r="A4505" i="1" s="1"/>
  <c r="A4506" i="1" s="1"/>
  <c r="A4507" i="1" s="1"/>
  <c r="A4508" i="1" s="1"/>
  <c r="A4509" i="1" s="1"/>
  <c r="A4510" i="1" s="1"/>
  <c r="A4511" i="1" s="1"/>
  <c r="A4512" i="1" s="1"/>
  <c r="A4513" i="1" s="1"/>
  <c r="A4514" i="1" s="1"/>
  <c r="A4515" i="1" s="1"/>
  <c r="A4516" i="1" s="1"/>
  <c r="A4517" i="1" s="1"/>
  <c r="A4518" i="1" s="1"/>
  <c r="A4519" i="1" s="1"/>
  <c r="A4520" i="1" s="1"/>
  <c r="A4521" i="1" s="1"/>
  <c r="A4522" i="1" s="1"/>
  <c r="A4523" i="1" s="1"/>
  <c r="A4524" i="1" s="1"/>
  <c r="A4525" i="1" s="1"/>
  <c r="A4526" i="1" s="1"/>
  <c r="A4527" i="1" s="1"/>
  <c r="A4528" i="1" s="1"/>
  <c r="A4529" i="1" s="1"/>
  <c r="A4530" i="1" s="1"/>
  <c r="A4531" i="1" s="1"/>
  <c r="A4532" i="1" s="1"/>
  <c r="A4533" i="1" s="1"/>
  <c r="A4534" i="1" s="1"/>
  <c r="A4535" i="1" s="1"/>
  <c r="A4536" i="1" s="1"/>
  <c r="A4537" i="1" s="1"/>
  <c r="A4538" i="1" s="1"/>
  <c r="A4390" i="1"/>
  <c r="A6" i="7" l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708" i="19"/>
  <c r="A709" i="19" s="1"/>
  <c r="A710" i="19" s="1"/>
  <c r="A711" i="19" s="1"/>
  <c r="A712" i="19" s="1"/>
  <c r="A713" i="19" s="1"/>
  <c r="A714" i="19" s="1"/>
  <c r="A715" i="19" s="1"/>
  <c r="A716" i="19" s="1"/>
  <c r="A717" i="19" s="1"/>
  <c r="A718" i="19" s="1"/>
  <c r="A719" i="19" s="1"/>
  <c r="A720" i="19" s="1"/>
  <c r="A721" i="19" s="1"/>
  <c r="A722" i="19" s="1"/>
  <c r="A723" i="19" s="1"/>
  <c r="A724" i="19" s="1"/>
  <c r="A725" i="19" s="1"/>
  <c r="A726" i="19" s="1"/>
  <c r="A727" i="19" s="1"/>
  <c r="A728" i="19" s="1"/>
  <c r="A729" i="19" s="1"/>
  <c r="A730" i="19" s="1"/>
  <c r="A731" i="19" s="1"/>
  <c r="A732" i="19" s="1"/>
  <c r="A733" i="19" s="1"/>
  <c r="A734" i="19" s="1"/>
  <c r="A735" i="19" s="1"/>
  <c r="A736" i="19" s="1"/>
  <c r="A737" i="19" s="1"/>
  <c r="A738" i="19" s="1"/>
  <c r="A739" i="19" s="1"/>
  <c r="A740" i="19" s="1"/>
  <c r="A741" i="19" s="1"/>
  <c r="A742" i="19" s="1"/>
  <c r="A743" i="19" s="1"/>
  <c r="A744" i="19" s="1"/>
  <c r="A142" i="19"/>
  <c r="A143" i="19" s="1"/>
  <c r="A144" i="19" s="1"/>
  <c r="A145" i="19" s="1"/>
  <c r="A146" i="19" s="1"/>
  <c r="A147" i="19" s="1"/>
  <c r="A148" i="19" s="1"/>
  <c r="A149" i="19" s="1"/>
  <c r="A150" i="19" s="1"/>
  <c r="A151" i="19" s="1"/>
  <c r="A152" i="19" s="1"/>
  <c r="A153" i="19" s="1"/>
  <c r="A154" i="19" s="1"/>
  <c r="A9" i="22"/>
  <c r="A10" i="22" s="1"/>
  <c r="A11" i="22" s="1"/>
  <c r="A12" i="22" s="1"/>
  <c r="A13" i="22" s="1"/>
  <c r="A14" i="22" s="1"/>
  <c r="A15" i="22" s="1"/>
  <c r="A16" i="22" s="1"/>
  <c r="A17" i="22" s="1"/>
  <c r="A18" i="22" s="1"/>
  <c r="A19" i="22" s="1"/>
  <c r="A20" i="22" s="1"/>
  <c r="A21" i="22" s="1"/>
  <c r="A22" i="22" s="1"/>
  <c r="A23" i="22" s="1"/>
  <c r="A24" i="22" s="1"/>
  <c r="A25" i="22" s="1"/>
  <c r="A26" i="22" s="1"/>
  <c r="A27" i="22" s="1"/>
  <c r="A28" i="22" s="1"/>
  <c r="A29" i="22" s="1"/>
  <c r="A30" i="22" s="1"/>
  <c r="A202" i="29"/>
  <c r="A203" i="29" s="1"/>
  <c r="A204" i="29" s="1"/>
  <c r="A205" i="29" s="1"/>
  <c r="A206" i="29" s="1"/>
  <c r="A207" i="29" s="1"/>
  <c r="A208" i="29" s="1"/>
  <c r="A209" i="29" s="1"/>
  <c r="A210" i="29" s="1"/>
  <c r="A211" i="29" s="1"/>
  <c r="A212" i="29" s="1"/>
  <c r="A213" i="29" s="1"/>
  <c r="A214" i="29" s="1"/>
  <c r="A215" i="29" s="1"/>
  <c r="A216" i="29" s="1"/>
  <c r="A217" i="29" s="1"/>
  <c r="A53" i="30"/>
  <c r="A54" i="30" s="1"/>
  <c r="A55" i="30" s="1"/>
  <c r="A56" i="30" s="1"/>
  <c r="A57" i="30" s="1"/>
  <c r="A58" i="30" s="1"/>
  <c r="A59" i="30" s="1"/>
  <c r="A60" i="30" s="1"/>
  <c r="A61" i="30" s="1"/>
  <c r="A62" i="30" s="1"/>
  <c r="A63" i="30" s="1"/>
  <c r="A64" i="30" s="1"/>
  <c r="A65" i="30" s="1"/>
  <c r="A66" i="30" s="1"/>
  <c r="A67" i="30" s="1"/>
  <c r="A68" i="30" s="1"/>
  <c r="A69" i="30" s="1"/>
  <c r="A70" i="30" s="1"/>
  <c r="A71" i="30" s="1"/>
  <c r="A72" i="30" s="1"/>
  <c r="A73" i="30" s="1"/>
  <c r="A74" i="30" s="1"/>
  <c r="A245" i="19"/>
  <c r="A246" i="19" s="1"/>
  <c r="A247" i="19" s="1"/>
  <c r="A248" i="19" s="1"/>
  <c r="A249" i="19" s="1"/>
  <c r="A250" i="19" s="1"/>
  <c r="A251" i="19" s="1"/>
  <c r="A252" i="19" s="1"/>
  <c r="A253" i="19" s="1"/>
  <c r="A254" i="19" s="1"/>
  <c r="A255" i="19" s="1"/>
  <c r="A256" i="19" s="1"/>
  <c r="A257" i="19" s="1"/>
  <c r="A258" i="19" s="1"/>
  <c r="A259" i="19" s="1"/>
  <c r="A260" i="19" s="1"/>
  <c r="A261" i="19" s="1"/>
  <c r="A262" i="19" s="1"/>
  <c r="A263" i="19" s="1"/>
  <c r="A264" i="19" s="1"/>
  <c r="A265" i="19" s="1"/>
  <c r="A266" i="19" s="1"/>
  <c r="A267" i="19" s="1"/>
  <c r="A268" i="19" s="1"/>
  <c r="A269" i="19" s="1"/>
  <c r="A270" i="19" s="1"/>
  <c r="A271" i="19" s="1"/>
  <c r="A27" i="13"/>
  <c r="A28" i="13" s="1"/>
  <c r="A29" i="13" s="1"/>
  <c r="A30" i="13" s="1"/>
  <c r="A31" i="13" s="1"/>
  <c r="A32" i="13" s="1"/>
  <c r="A33" i="13" s="1"/>
  <c r="A34" i="13" s="1"/>
  <c r="A35" i="13" s="1"/>
  <c r="A6" i="4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118" i="19"/>
  <c r="A119" i="19" s="1"/>
  <c r="A120" i="19" s="1"/>
  <c r="A121" i="19" s="1"/>
  <c r="A580" i="14"/>
  <c r="A581" i="14" s="1"/>
  <c r="A582" i="14" s="1"/>
  <c r="A583" i="14" s="1"/>
  <c r="A584" i="14" s="1"/>
  <c r="A585" i="14" s="1"/>
  <c r="A586" i="14" s="1"/>
  <c r="A587" i="14" s="1"/>
  <c r="A588" i="14" s="1"/>
  <c r="A589" i="14" s="1"/>
  <c r="A590" i="14" s="1"/>
  <c r="A591" i="14" s="1"/>
  <c r="A48" i="23"/>
  <c r="A49" i="23" s="1"/>
  <c r="A50" i="23" s="1"/>
  <c r="A51" i="23" s="1"/>
  <c r="A52" i="23" s="1"/>
  <c r="A53" i="23" s="1"/>
  <c r="A54" i="23" s="1"/>
  <c r="A55" i="23" s="1"/>
  <c r="A56" i="23" s="1"/>
  <c r="A57" i="23" s="1"/>
  <c r="A58" i="23" s="1"/>
  <c r="A59" i="23" s="1"/>
  <c r="A60" i="23" s="1"/>
  <c r="A764" i="19"/>
  <c r="A765" i="19" s="1"/>
  <c r="A766" i="19" s="1"/>
  <c r="A767" i="19" s="1"/>
  <c r="A13" i="19"/>
  <c r="A14" i="19" s="1"/>
  <c r="A15" i="19" s="1"/>
  <c r="A16" i="19" s="1"/>
  <c r="A17" i="19" s="1"/>
  <c r="A18" i="19" s="1"/>
  <c r="A19" i="19" s="1"/>
  <c r="A11" i="17"/>
  <c r="A12" i="17" s="1"/>
  <c r="A13" i="17" s="1"/>
  <c r="A14" i="17" s="1"/>
  <c r="A15" i="17" s="1"/>
  <c r="A16" i="17" s="1"/>
  <c r="A17" i="17" s="1"/>
  <c r="A18" i="17" s="1"/>
  <c r="A19" i="17" s="1"/>
  <c r="A20" i="17" s="1"/>
  <c r="A21" i="17" s="1"/>
  <c r="A22" i="17" s="1"/>
  <c r="A23" i="17" s="1"/>
  <c r="A24" i="17" s="1"/>
  <c r="A25" i="17" s="1"/>
  <c r="A26" i="17" s="1"/>
  <c r="A27" i="17" s="1"/>
  <c r="A28" i="17" s="1"/>
  <c r="A29" i="17" s="1"/>
  <c r="A30" i="17" s="1"/>
  <c r="A31" i="17" s="1"/>
  <c r="A32" i="17" s="1"/>
  <c r="A33" i="17" s="1"/>
  <c r="A34" i="17" s="1"/>
  <c r="A58" i="3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15" i="20"/>
  <c r="A16" i="20" s="1"/>
  <c r="A17" i="20" s="1"/>
  <c r="A34" i="14"/>
  <c r="A35" i="14" s="1"/>
  <c r="A36" i="14" s="1"/>
  <c r="A37" i="14" s="1"/>
  <c r="A38" i="14" s="1"/>
  <c r="A39" i="14" s="1"/>
  <c r="A40" i="14" s="1"/>
  <c r="A41" i="14" s="1"/>
  <c r="A42" i="14" s="1"/>
  <c r="A43" i="14" s="1"/>
  <c r="A39" i="2"/>
  <c r="A40" i="2" s="1"/>
  <c r="A371" i="19"/>
  <c r="A372" i="19" s="1"/>
  <c r="A373" i="19" s="1"/>
  <c r="A374" i="19" s="1"/>
  <c r="A375" i="19" s="1"/>
  <c r="A376" i="19" s="1"/>
  <c r="A377" i="19" s="1"/>
  <c r="A378" i="19" s="1"/>
  <c r="A379" i="19" s="1"/>
  <c r="A380" i="19" s="1"/>
  <c r="A381" i="19" s="1"/>
  <c r="A382" i="19" s="1"/>
  <c r="A383" i="19" s="1"/>
  <c r="A384" i="19" s="1"/>
  <c r="A385" i="19" s="1"/>
  <c r="A386" i="19" s="1"/>
  <c r="A387" i="19" s="1"/>
  <c r="A388" i="19" s="1"/>
  <c r="A389" i="19" s="1"/>
  <c r="A390" i="19" s="1"/>
  <c r="A391" i="19" s="1"/>
  <c r="A392" i="19" s="1"/>
  <c r="A393" i="19" s="1"/>
  <c r="A394" i="19" s="1"/>
  <c r="A395" i="19" s="1"/>
  <c r="A396" i="19" s="1"/>
  <c r="A397" i="19" s="1"/>
  <c r="A398" i="19" s="1"/>
  <c r="A399" i="19" s="1"/>
  <c r="A400" i="19" s="1"/>
  <c r="A401" i="19" s="1"/>
  <c r="A402" i="19" s="1"/>
  <c r="A403" i="19" s="1"/>
  <c r="A404" i="19" s="1"/>
  <c r="A405" i="19" s="1"/>
  <c r="A406" i="19" s="1"/>
  <c r="A407" i="19" s="1"/>
  <c r="A408" i="19" s="1"/>
  <c r="A409" i="19" s="1"/>
  <c r="A410" i="19" s="1"/>
  <c r="A411" i="19" s="1"/>
  <c r="A412" i="19" s="1"/>
  <c r="A413" i="19" s="1"/>
  <c r="A414" i="19" s="1"/>
  <c r="A415" i="19" s="1"/>
  <c r="A416" i="19" s="1"/>
  <c r="A417" i="19" s="1"/>
  <c r="A418" i="19" s="1"/>
  <c r="A419" i="19" s="1"/>
  <c r="A420" i="19" s="1"/>
  <c r="A421" i="19" s="1"/>
  <c r="A422" i="19" s="1"/>
  <c r="A42" i="15"/>
  <c r="A43" i="15" s="1"/>
  <c r="A44" i="15" s="1"/>
  <c r="A45" i="15" s="1"/>
  <c r="A46" i="15" s="1"/>
  <c r="A47" i="15" s="1"/>
  <c r="A48" i="15" s="1"/>
  <c r="A49" i="15" s="1"/>
  <c r="A50" i="15" s="1"/>
  <c r="A323" i="19"/>
  <c r="A324" i="19" s="1"/>
  <c r="A325" i="19" s="1"/>
  <c r="A326" i="19" s="1"/>
  <c r="A327" i="19" s="1"/>
  <c r="A328" i="19" s="1"/>
  <c r="A329" i="19" s="1"/>
  <c r="A330" i="19" s="1"/>
  <c r="A331" i="19" s="1"/>
  <c r="A409" i="13"/>
  <c r="A410" i="13" s="1"/>
  <c r="A411" i="13" s="1"/>
  <c r="A412" i="13" s="1"/>
  <c r="A413" i="13" s="1"/>
  <c r="A414" i="13" s="1"/>
  <c r="A415" i="13" s="1"/>
  <c r="A416" i="13" s="1"/>
  <c r="A417" i="13" s="1"/>
  <c r="A418" i="13" s="1"/>
  <c r="A419" i="13" s="1"/>
  <c r="A420" i="13" s="1"/>
  <c r="A421" i="13" s="1"/>
  <c r="A422" i="13" s="1"/>
  <c r="A423" i="13" s="1"/>
  <c r="A424" i="13" s="1"/>
  <c r="A425" i="13" s="1"/>
  <c r="A426" i="13" s="1"/>
  <c r="A427" i="13" s="1"/>
  <c r="A428" i="13" s="1"/>
  <c r="A429" i="13" s="1"/>
  <c r="A827" i="13"/>
  <c r="A828" i="13" s="1"/>
  <c r="A829" i="13" s="1"/>
  <c r="A46" i="21"/>
  <c r="A47" i="21" s="1"/>
  <c r="A155" i="19" l="1"/>
  <c r="A156" i="19" s="1"/>
  <c r="A157" i="19" s="1"/>
  <c r="A158" i="19" s="1"/>
  <c r="A159" i="19" s="1"/>
  <c r="A160" i="19" s="1"/>
  <c r="A161" i="19" s="1"/>
  <c r="A162" i="19" s="1"/>
  <c r="A747" i="19"/>
  <c r="A748" i="19" s="1"/>
  <c r="A749" i="19" s="1"/>
  <c r="A750" i="19" s="1"/>
  <c r="A751" i="19" s="1"/>
  <c r="A752" i="19" s="1"/>
  <c r="A753" i="19" s="1"/>
  <c r="A754" i="19" s="1"/>
  <c r="A755" i="19" s="1"/>
  <c r="A756" i="19" s="1"/>
  <c r="A757" i="19" s="1"/>
  <c r="A758" i="19" s="1"/>
  <c r="A745" i="19"/>
  <c r="A746" i="19" s="1"/>
  <c r="A18" i="7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75" i="30"/>
  <c r="A76" i="30" s="1"/>
  <c r="A35" i="17"/>
  <c r="A36" i="17" s="1"/>
  <c r="A37" i="17" s="1"/>
  <c r="A38" i="17" s="1"/>
  <c r="A39" i="17" s="1"/>
  <c r="A40" i="17" s="1"/>
  <c r="A41" i="17" s="1"/>
  <c r="A42" i="17" s="1"/>
  <c r="A43" i="17" s="1"/>
  <c r="A44" i="17" s="1"/>
  <c r="A592" i="14"/>
  <c r="A593" i="14" s="1"/>
  <c r="A594" i="14" s="1"/>
  <c r="A595" i="14" s="1"/>
  <c r="A596" i="14" s="1"/>
  <c r="A597" i="14" s="1"/>
  <c r="A598" i="14" s="1"/>
  <c r="A599" i="14" s="1"/>
  <c r="A600" i="14" s="1"/>
  <c r="A601" i="14" s="1"/>
  <c r="A602" i="14" s="1"/>
  <c r="A603" i="14" s="1"/>
  <c r="A604" i="14" s="1"/>
  <c r="A605" i="14" s="1"/>
  <c r="A606" i="14" s="1"/>
  <c r="A607" i="14" s="1"/>
  <c r="A608" i="14" s="1"/>
  <c r="A609" i="14" s="1"/>
  <c r="A610" i="14" s="1"/>
  <c r="A611" i="14" s="1"/>
  <c r="A612" i="14" s="1"/>
  <c r="A613" i="14" s="1"/>
  <c r="A614" i="14" s="1"/>
  <c r="A615" i="14" s="1"/>
  <c r="A616" i="14" s="1"/>
  <c r="A617" i="14" s="1"/>
  <c r="A618" i="14" s="1"/>
  <c r="A619" i="14" s="1"/>
  <c r="A620" i="14" s="1"/>
  <c r="A621" i="14" s="1"/>
  <c r="A622" i="14" s="1"/>
  <c r="A623" i="14" s="1"/>
  <c r="A624" i="14" s="1"/>
  <c r="A625" i="14" s="1"/>
  <c r="A626" i="14" s="1"/>
  <c r="A44" i="14"/>
  <c r="A45" i="14" s="1"/>
  <c r="A272" i="19"/>
  <c r="A273" i="19" s="1"/>
  <c r="A61" i="23"/>
  <c r="A62" i="23" s="1"/>
  <c r="A63" i="23" s="1"/>
  <c r="A64" i="23" s="1"/>
  <c r="A41" i="2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9" i="3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768" i="19"/>
  <c r="A830" i="13"/>
  <c r="A831" i="13" s="1"/>
  <c r="A832" i="13" s="1"/>
  <c r="A833" i="13" s="1"/>
  <c r="A834" i="13" s="1"/>
  <c r="A835" i="13" s="1"/>
  <c r="A836" i="13" s="1"/>
  <c r="A837" i="13" s="1"/>
  <c r="A838" i="13" s="1"/>
  <c r="A839" i="13" s="1"/>
  <c r="A840" i="13" s="1"/>
  <c r="A841" i="13" s="1"/>
  <c r="A842" i="13" s="1"/>
  <c r="A843" i="13" s="1"/>
  <c r="A51" i="15"/>
  <c r="A52" i="15" s="1"/>
  <c r="A53" i="15" s="1"/>
  <c r="A54" i="15" s="1"/>
  <c r="A55" i="15" s="1"/>
  <c r="A56" i="15" s="1"/>
  <c r="A57" i="15" s="1"/>
  <c r="A58" i="15" s="1"/>
  <c r="A59" i="15" s="1"/>
  <c r="A60" i="15" s="1"/>
  <c r="A61" i="15" s="1"/>
  <c r="A62" i="15" s="1"/>
  <c r="A63" i="15" s="1"/>
  <c r="A64" i="15" s="1"/>
  <c r="A65" i="15" s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20" i="19"/>
  <c r="A21" i="19" s="1"/>
  <c r="A22" i="19" s="1"/>
  <c r="A23" i="19" s="1"/>
  <c r="A24" i="19" s="1"/>
  <c r="A25" i="19" s="1"/>
  <c r="A26" i="19" s="1"/>
  <c r="A18" i="20"/>
  <c r="A19" i="20" s="1"/>
  <c r="A104" i="13"/>
  <c r="A423" i="19"/>
  <c r="A424" i="19" s="1"/>
  <c r="A425" i="19" s="1"/>
  <c r="A426" i="19" s="1"/>
  <c r="A427" i="19" s="1"/>
  <c r="A428" i="19" s="1"/>
  <c r="A429" i="19" s="1"/>
  <c r="A430" i="19" s="1"/>
  <c r="A431" i="19" s="1"/>
  <c r="A432" i="19" s="1"/>
  <c r="A433" i="19" s="1"/>
  <c r="A434" i="19" s="1"/>
  <c r="A48" i="21"/>
  <c r="A49" i="21" s="1"/>
  <c r="A50" i="21" s="1"/>
  <c r="A51" i="21" s="1"/>
  <c r="A52" i="21" s="1"/>
  <c r="A53" i="21" s="1"/>
  <c r="A54" i="21" s="1"/>
  <c r="A55" i="21" s="1"/>
  <c r="A56" i="21" s="1"/>
  <c r="A57" i="21" s="1"/>
  <c r="A58" i="21" s="1"/>
  <c r="A332" i="19"/>
  <c r="A333" i="19" s="1"/>
  <c r="A334" i="19" s="1"/>
  <c r="A430" i="13"/>
  <c r="A431" i="13" s="1"/>
  <c r="A432" i="13" s="1"/>
  <c r="A433" i="13" s="1"/>
  <c r="A434" i="13" s="1"/>
  <c r="A435" i="13" s="1"/>
  <c r="A436" i="13" s="1"/>
  <c r="A437" i="13" s="1"/>
  <c r="A438" i="13" s="1"/>
  <c r="A439" i="13" s="1"/>
  <c r="A440" i="13" s="1"/>
  <c r="A441" i="13" s="1"/>
  <c r="A442" i="13" s="1"/>
  <c r="A131" i="16"/>
  <c r="A132" i="16" s="1"/>
  <c r="A133" i="16" s="1"/>
  <c r="A163" i="19" l="1"/>
  <c r="A164" i="19" s="1"/>
  <c r="A165" i="19" s="1"/>
  <c r="A67" i="2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46" i="14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62" i="14" s="1"/>
  <c r="A63" i="14" s="1"/>
  <c r="A64" i="14" s="1"/>
  <c r="A65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A103" i="14" s="1"/>
  <c r="A104" i="14" s="1"/>
  <c r="A105" i="14" s="1"/>
  <c r="A106" i="14" s="1"/>
  <c r="A107" i="14" s="1"/>
  <c r="A108" i="14" s="1"/>
  <c r="A77" i="30"/>
  <c r="A78" i="30" s="1"/>
  <c r="A79" i="30" s="1"/>
  <c r="A80" i="30" s="1"/>
  <c r="A81" i="30" s="1"/>
  <c r="A82" i="30" s="1"/>
  <c r="A27" i="19"/>
  <c r="A28" i="19" s="1"/>
  <c r="A29" i="19" s="1"/>
  <c r="A30" i="19" s="1"/>
  <c r="A31" i="19" s="1"/>
  <c r="A32" i="19" s="1"/>
  <c r="A33" i="19" s="1"/>
  <c r="A34" i="19" s="1"/>
  <c r="A47" i="17"/>
  <c r="A48" i="17" s="1"/>
  <c r="A49" i="17" s="1"/>
  <c r="A50" i="17" s="1"/>
  <c r="A51" i="17" s="1"/>
  <c r="A52" i="17" s="1"/>
  <c r="A53" i="17" s="1"/>
  <c r="A127" i="3"/>
  <c r="A128" i="3" s="1"/>
  <c r="A129" i="3" s="1"/>
  <c r="A130" i="3" s="1"/>
  <c r="A131" i="3" s="1"/>
  <c r="A132" i="3" s="1"/>
  <c r="A133" i="3" s="1"/>
  <c r="A134" i="3" s="1"/>
  <c r="A135" i="3" s="1"/>
  <c r="A136" i="3" s="1"/>
  <c r="A137" i="3" s="1"/>
  <c r="A138" i="3" s="1"/>
  <c r="A139" i="3" s="1"/>
  <c r="A140" i="3" s="1"/>
  <c r="A141" i="3" s="1"/>
  <c r="A65" i="23"/>
  <c r="A66" i="23" s="1"/>
  <c r="A67" i="23" s="1"/>
  <c r="A68" i="23" s="1"/>
  <c r="A69" i="23" s="1"/>
  <c r="A70" i="23" s="1"/>
  <c r="A71" i="23" s="1"/>
  <c r="A72" i="23" s="1"/>
  <c r="A73" i="23" s="1"/>
  <c r="A74" i="23" s="1"/>
  <c r="A75" i="23" s="1"/>
  <c r="A274" i="19"/>
  <c r="A275" i="19" s="1"/>
  <c r="A276" i="19" s="1"/>
  <c r="A277" i="19" s="1"/>
  <c r="A278" i="19" s="1"/>
  <c r="A279" i="19" s="1"/>
  <c r="A769" i="19"/>
  <c r="A844" i="13"/>
  <c r="A845" i="13" s="1"/>
  <c r="A846" i="13" s="1"/>
  <c r="A847" i="13" s="1"/>
  <c r="A848" i="13" s="1"/>
  <c r="A849" i="13" s="1"/>
  <c r="A850" i="13" s="1"/>
  <c r="A851" i="13" s="1"/>
  <c r="A852" i="13" s="1"/>
  <c r="A48" i="7"/>
  <c r="A49" i="7" s="1"/>
  <c r="A105" i="13"/>
  <c r="A106" i="13" s="1"/>
  <c r="A107" i="13" s="1"/>
  <c r="A108" i="13" s="1"/>
  <c r="A109" i="13" s="1"/>
  <c r="A110" i="13" s="1"/>
  <c r="A111" i="13" s="1"/>
  <c r="A112" i="13" s="1"/>
  <c r="A113" i="13" s="1"/>
  <c r="A20" i="20"/>
  <c r="A21" i="20" s="1"/>
  <c r="A435" i="19"/>
  <c r="A436" i="19" s="1"/>
  <c r="A80" i="15"/>
  <c r="A81" i="15" s="1"/>
  <c r="A82" i="15" s="1"/>
  <c r="A83" i="15" s="1"/>
  <c r="A59" i="21"/>
  <c r="A60" i="21" s="1"/>
  <c r="A61" i="21" s="1"/>
  <c r="A62" i="21" s="1"/>
  <c r="A63" i="21" s="1"/>
  <c r="A335" i="19"/>
  <c r="A336" i="19" s="1"/>
  <c r="A337" i="19" s="1"/>
  <c r="A338" i="19" s="1"/>
  <c r="A339" i="19" s="1"/>
  <c r="A443" i="13"/>
  <c r="A444" i="13" s="1"/>
  <c r="A445" i="13" s="1"/>
  <c r="A134" i="16"/>
  <c r="A135" i="16" s="1"/>
  <c r="A136" i="16" s="1"/>
  <c r="A137" i="16" s="1"/>
  <c r="A138" i="16" s="1"/>
  <c r="A166" i="19" l="1"/>
  <c r="A167" i="19" s="1"/>
  <c r="A168" i="19" s="1"/>
  <c r="A169" i="19" s="1"/>
  <c r="A170" i="19" s="1"/>
  <c r="A171" i="19" s="1"/>
  <c r="A172" i="19" s="1"/>
  <c r="A173" i="19" s="1"/>
  <c r="A174" i="19" s="1"/>
  <c r="A175" i="19" s="1"/>
  <c r="A176" i="19" s="1"/>
  <c r="A280" i="19"/>
  <c r="A281" i="19" s="1"/>
  <c r="A282" i="19" s="1"/>
  <c r="A853" i="13"/>
  <c r="A854" i="13" s="1"/>
  <c r="A855" i="13" s="1"/>
  <c r="A856" i="13" s="1"/>
  <c r="A857" i="13" s="1"/>
  <c r="A858" i="13" s="1"/>
  <c r="A859" i="13" s="1"/>
  <c r="A860" i="13" s="1"/>
  <c r="A861" i="13" s="1"/>
  <c r="A862" i="13" s="1"/>
  <c r="A863" i="13" s="1"/>
  <c r="A864" i="13" s="1"/>
  <c r="A865" i="13" s="1"/>
  <c r="A866" i="13" s="1"/>
  <c r="A867" i="13" s="1"/>
  <c r="A868" i="13" s="1"/>
  <c r="A869" i="13" s="1"/>
  <c r="A870" i="13" s="1"/>
  <c r="A871" i="13" s="1"/>
  <c r="A872" i="13" s="1"/>
  <c r="A873" i="13" s="1"/>
  <c r="A874" i="13" s="1"/>
  <c r="A875" i="13" s="1"/>
  <c r="A876" i="13" s="1"/>
  <c r="A877" i="13" s="1"/>
  <c r="A878" i="13" s="1"/>
  <c r="A879" i="13" s="1"/>
  <c r="A880" i="13" s="1"/>
  <c r="A881" i="13" s="1"/>
  <c r="A437" i="19"/>
  <c r="A438" i="19" s="1"/>
  <c r="A439" i="19" s="1"/>
  <c r="A440" i="19" s="1"/>
  <c r="A441" i="19" s="1"/>
  <c r="A442" i="19" s="1"/>
  <c r="A443" i="19" s="1"/>
  <c r="A444" i="19" s="1"/>
  <c r="A445" i="19" s="1"/>
  <c r="A446" i="19" s="1"/>
  <c r="A447" i="19" s="1"/>
  <c r="A448" i="19" s="1"/>
  <c r="A449" i="19" s="1"/>
  <c r="A450" i="19" s="1"/>
  <c r="A451" i="19" s="1"/>
  <c r="A452" i="19" s="1"/>
  <c r="A453" i="19" s="1"/>
  <c r="A454" i="19" s="1"/>
  <c r="A455" i="19" s="1"/>
  <c r="A456" i="19" s="1"/>
  <c r="A457" i="19" s="1"/>
  <c r="A458" i="19" s="1"/>
  <c r="A459" i="19" s="1"/>
  <c r="A460" i="19" s="1"/>
  <c r="A461" i="19" s="1"/>
  <c r="A462" i="19" s="1"/>
  <c r="A463" i="19" s="1"/>
  <c r="A464" i="19" s="1"/>
  <c r="A465" i="19" s="1"/>
  <c r="A81" i="2"/>
  <c r="A82" i="2" s="1"/>
  <c r="A83" i="2" s="1"/>
  <c r="A84" i="2" s="1"/>
  <c r="A85" i="2" s="1"/>
  <c r="A86" i="2" s="1"/>
  <c r="A87" i="2" s="1"/>
  <c r="A35" i="19"/>
  <c r="A36" i="19" s="1"/>
  <c r="A37" i="19" s="1"/>
  <c r="A38" i="19" s="1"/>
  <c r="A39" i="19" s="1"/>
  <c r="A40" i="19" s="1"/>
  <c r="A41" i="19" s="1"/>
  <c r="A42" i="19" s="1"/>
  <c r="A43" i="19" s="1"/>
  <c r="A44" i="19" s="1"/>
  <c r="A45" i="19" s="1"/>
  <c r="A46" i="19" s="1"/>
  <c r="A47" i="19" s="1"/>
  <c r="A48" i="19" s="1"/>
  <c r="A49" i="19" s="1"/>
  <c r="A50" i="19" s="1"/>
  <c r="A51" i="19" s="1"/>
  <c r="A52" i="19" s="1"/>
  <c r="A53" i="19" s="1"/>
  <c r="A54" i="19" s="1"/>
  <c r="A55" i="19" s="1"/>
  <c r="A56" i="19" s="1"/>
  <c r="A76" i="23"/>
  <c r="A109" i="14"/>
  <c r="A110" i="14" s="1"/>
  <c r="A111" i="14" s="1"/>
  <c r="A112" i="14" s="1"/>
  <c r="A113" i="14" s="1"/>
  <c r="A114" i="14" s="1"/>
  <c r="A115" i="14" s="1"/>
  <c r="A116" i="14" s="1"/>
  <c r="A117" i="14" s="1"/>
  <c r="A118" i="14" s="1"/>
  <c r="A119" i="14" s="1"/>
  <c r="A120" i="14" s="1"/>
  <c r="A121" i="14" s="1"/>
  <c r="A122" i="14" s="1"/>
  <c r="A123" i="14" s="1"/>
  <c r="A124" i="14" s="1"/>
  <c r="A125" i="14" s="1"/>
  <c r="A126" i="14" s="1"/>
  <c r="A127" i="14" s="1"/>
  <c r="A128" i="14" s="1"/>
  <c r="A129" i="14" s="1"/>
  <c r="A130" i="14" s="1"/>
  <c r="A131" i="14" s="1"/>
  <c r="A132" i="14" s="1"/>
  <c r="A133" i="14" s="1"/>
  <c r="A134" i="14" s="1"/>
  <c r="A135" i="14" s="1"/>
  <c r="A136" i="14" s="1"/>
  <c r="A137" i="14" s="1"/>
  <c r="A138" i="14" s="1"/>
  <c r="A139" i="14" s="1"/>
  <c r="A140" i="14" s="1"/>
  <c r="A141" i="14" s="1"/>
  <c r="A142" i="14" s="1"/>
  <c r="A143" i="14" s="1"/>
  <c r="A144" i="14" s="1"/>
  <c r="A145" i="14" s="1"/>
  <c r="A146" i="14" s="1"/>
  <c r="A147" i="14" s="1"/>
  <c r="A148" i="14" s="1"/>
  <c r="A149" i="14" s="1"/>
  <c r="A150" i="14" s="1"/>
  <c r="A151" i="14" s="1"/>
  <c r="A142" i="3"/>
  <c r="A143" i="3" s="1"/>
  <c r="A144" i="3" s="1"/>
  <c r="A145" i="3" s="1"/>
  <c r="A146" i="3" s="1"/>
  <c r="A147" i="3" s="1"/>
  <c r="A148" i="3" s="1"/>
  <c r="A149" i="3" s="1"/>
  <c r="A150" i="3" s="1"/>
  <c r="A151" i="3" s="1"/>
  <c r="A54" i="17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68" i="17" s="1"/>
  <c r="A69" i="17" s="1"/>
  <c r="A70" i="17" s="1"/>
  <c r="A71" i="17" s="1"/>
  <c r="A72" i="17" s="1"/>
  <c r="A139" i="16"/>
  <c r="A140" i="16" s="1"/>
  <c r="A141" i="16" s="1"/>
  <c r="A142" i="16" s="1"/>
  <c r="A143" i="16" s="1"/>
  <c r="A146" i="16" s="1"/>
  <c r="A149" i="16" s="1"/>
  <c r="A150" i="16" s="1"/>
  <c r="A151" i="16" s="1"/>
  <c r="A152" i="16" s="1"/>
  <c r="A153" i="16" s="1"/>
  <c r="A154" i="16" s="1"/>
  <c r="A155" i="16" s="1"/>
  <c r="A156" i="16" s="1"/>
  <c r="A157" i="16" s="1"/>
  <c r="A158" i="16" s="1"/>
  <c r="A159" i="16" s="1"/>
  <c r="A160" i="16" s="1"/>
  <c r="A161" i="16" s="1"/>
  <c r="A162" i="16" s="1"/>
  <c r="A163" i="16" s="1"/>
  <c r="A164" i="16" s="1"/>
  <c r="A165" i="16" s="1"/>
  <c r="A166" i="16" s="1"/>
  <c r="A167" i="16" s="1"/>
  <c r="A168" i="16" s="1"/>
  <c r="A169" i="16" s="1"/>
  <c r="A50" i="7"/>
  <c r="A51" i="7" s="1"/>
  <c r="A770" i="19"/>
  <c r="A771" i="19" s="1"/>
  <c r="A772" i="19" s="1"/>
  <c r="A773" i="19" s="1"/>
  <c r="A774" i="19" s="1"/>
  <c r="A775" i="19" s="1"/>
  <c r="A776" i="19" s="1"/>
  <c r="A777" i="19" s="1"/>
  <c r="A778" i="19" s="1"/>
  <c r="A779" i="19" s="1"/>
  <c r="A780" i="19" s="1"/>
  <c r="A114" i="13"/>
  <c r="A115" i="13" s="1"/>
  <c r="A116" i="13" s="1"/>
  <c r="A117" i="13" s="1"/>
  <c r="A118" i="13" s="1"/>
  <c r="A119" i="13" s="1"/>
  <c r="A120" i="13" s="1"/>
  <c r="A121" i="13" s="1"/>
  <c r="A122" i="13" s="1"/>
  <c r="A123" i="13" s="1"/>
  <c r="A124" i="13" s="1"/>
  <c r="A125" i="13" s="1"/>
  <c r="A126" i="13" s="1"/>
  <c r="A127" i="13" s="1"/>
  <c r="A128" i="13" s="1"/>
  <c r="A129" i="13" s="1"/>
  <c r="A130" i="13" s="1"/>
  <c r="A22" i="20"/>
  <c r="A23" i="20" s="1"/>
  <c r="A24" i="20" s="1"/>
  <c r="A25" i="20" s="1"/>
  <c r="A26" i="20" s="1"/>
  <c r="A27" i="20" s="1"/>
  <c r="A28" i="20" s="1"/>
  <c r="A29" i="20" s="1"/>
  <c r="A30" i="20" s="1"/>
  <c r="A31" i="20" s="1"/>
  <c r="A32" i="20" s="1"/>
  <c r="A33" i="20" s="1"/>
  <c r="A34" i="20" s="1"/>
  <c r="A35" i="20" s="1"/>
  <c r="A36" i="20" s="1"/>
  <c r="A37" i="20" s="1"/>
  <c r="A38" i="20" s="1"/>
  <c r="A39" i="20" s="1"/>
  <c r="A40" i="20" s="1"/>
  <c r="A41" i="20" s="1"/>
  <c r="A42" i="20" s="1"/>
  <c r="A43" i="20" s="1"/>
  <c r="A44" i="20" s="1"/>
  <c r="A45" i="20" s="1"/>
  <c r="A46" i="20" s="1"/>
  <c r="A47" i="20" s="1"/>
  <c r="A48" i="20" s="1"/>
  <c r="A49" i="20" s="1"/>
  <c r="A50" i="20" s="1"/>
  <c r="A84" i="15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64" i="21"/>
  <c r="A65" i="21" s="1"/>
  <c r="A66" i="21" s="1"/>
  <c r="A67" i="21" s="1"/>
  <c r="A68" i="21" s="1"/>
  <c r="A69" i="21" s="1"/>
  <c r="A70" i="21" s="1"/>
  <c r="A340" i="19"/>
  <c r="A341" i="19" s="1"/>
  <c r="A342" i="19" s="1"/>
  <c r="A343" i="19" s="1"/>
  <c r="A344" i="19" s="1"/>
  <c r="A345" i="19" s="1"/>
  <c r="A446" i="13"/>
  <c r="A466" i="19" l="1"/>
  <c r="A467" i="19" s="1"/>
  <c r="A468" i="19" s="1"/>
  <c r="A469" i="19" s="1"/>
  <c r="A470" i="19" s="1"/>
  <c r="A471" i="19" s="1"/>
  <c r="A472" i="19" s="1"/>
  <c r="A473" i="19" s="1"/>
  <c r="A474" i="19" s="1"/>
  <c r="A475" i="19" s="1"/>
  <c r="A476" i="19" s="1"/>
  <c r="A477" i="19" s="1"/>
  <c r="A478" i="19" s="1"/>
  <c r="A479" i="19" s="1"/>
  <c r="A283" i="19"/>
  <c r="A284" i="19" s="1"/>
  <c r="A285" i="19" s="1"/>
  <c r="A286" i="19" s="1"/>
  <c r="A287" i="19" s="1"/>
  <c r="A288" i="19" s="1"/>
  <c r="A289" i="19" s="1"/>
  <c r="A290" i="19" s="1"/>
  <c r="A291" i="19" s="1"/>
  <c r="A292" i="19" s="1"/>
  <c r="A177" i="19"/>
  <c r="A178" i="19" s="1"/>
  <c r="A179" i="19" s="1"/>
  <c r="A180" i="19" s="1"/>
  <c r="A181" i="19" s="1"/>
  <c r="A152" i="3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66" i="3" s="1"/>
  <c r="A167" i="3" s="1"/>
  <c r="A168" i="3" s="1"/>
  <c r="A169" i="3" s="1"/>
  <c r="A170" i="3" s="1"/>
  <c r="A171" i="3" s="1"/>
  <c r="A172" i="3" s="1"/>
  <c r="A173" i="3" s="1"/>
  <c r="A174" i="3" s="1"/>
  <c r="A175" i="3" s="1"/>
  <c r="A176" i="3" s="1"/>
  <c r="A177" i="3" s="1"/>
  <c r="A178" i="3" s="1"/>
  <c r="A179" i="3" s="1"/>
  <c r="A180" i="3" s="1"/>
  <c r="A181" i="3" s="1"/>
  <c r="A182" i="3" s="1"/>
  <c r="A183" i="3" s="1"/>
  <c r="A184" i="3" s="1"/>
  <c r="A185" i="3" s="1"/>
  <c r="A186" i="3" s="1"/>
  <c r="A187" i="3" s="1"/>
  <c r="A188" i="3" s="1"/>
  <c r="A189" i="3" s="1"/>
  <c r="A781" i="19"/>
  <c r="A782" i="19" s="1"/>
  <c r="A783" i="19" s="1"/>
  <c r="A784" i="19" s="1"/>
  <c r="A785" i="19" s="1"/>
  <c r="A786" i="19" s="1"/>
  <c r="A787" i="19" s="1"/>
  <c r="A788" i="19" s="1"/>
  <c r="A789" i="19" s="1"/>
  <c r="A790" i="19" s="1"/>
  <c r="A152" i="14"/>
  <c r="A153" i="14" s="1"/>
  <c r="A154" i="14" s="1"/>
  <c r="A155" i="14" s="1"/>
  <c r="A156" i="14" s="1"/>
  <c r="A157" i="14" s="1"/>
  <c r="A158" i="14" s="1"/>
  <c r="A159" i="14" s="1"/>
  <c r="A160" i="14" s="1"/>
  <c r="A161" i="14" s="1"/>
  <c r="A162" i="14" s="1"/>
  <c r="A163" i="14" s="1"/>
  <c r="A164" i="14" s="1"/>
  <c r="A165" i="14" s="1"/>
  <c r="A166" i="14" s="1"/>
  <c r="A167" i="14" s="1"/>
  <c r="A168" i="14" s="1"/>
  <c r="A169" i="14" s="1"/>
  <c r="A170" i="14" s="1"/>
  <c r="A171" i="14" s="1"/>
  <c r="A172" i="14" s="1"/>
  <c r="A173" i="14" s="1"/>
  <c r="A174" i="14" s="1"/>
  <c r="A175" i="14" s="1"/>
  <c r="A176" i="14" s="1"/>
  <c r="A57" i="19"/>
  <c r="A77" i="23"/>
  <c r="A78" i="23" s="1"/>
  <c r="A52" i="7"/>
  <c r="A53" i="7" s="1"/>
  <c r="A54" i="7" s="1"/>
  <c r="A73" i="17"/>
  <c r="A74" i="17" s="1"/>
  <c r="A75" i="17" s="1"/>
  <c r="A76" i="17" s="1"/>
  <c r="A77" i="17" s="1"/>
  <c r="A78" i="17" s="1"/>
  <c r="A447" i="13"/>
  <c r="A448" i="13" s="1"/>
  <c r="A449" i="13" s="1"/>
  <c r="A450" i="13" s="1"/>
  <c r="A451" i="13" s="1"/>
  <c r="A452" i="13" s="1"/>
  <c r="A453" i="13" s="1"/>
  <c r="A454" i="13" s="1"/>
  <c r="A455" i="13" s="1"/>
  <c r="A456" i="13" s="1"/>
  <c r="A170" i="16"/>
  <c r="A171" i="16" s="1"/>
  <c r="A172" i="16" s="1"/>
  <c r="A173" i="16" s="1"/>
  <c r="A174" i="16" s="1"/>
  <c r="A175" i="16" s="1"/>
  <c r="A176" i="16" s="1"/>
  <c r="A177" i="16" s="1"/>
  <c r="A178" i="16" s="1"/>
  <c r="A179" i="16" s="1"/>
  <c r="A180" i="16" s="1"/>
  <c r="A181" i="16" s="1"/>
  <c r="A182" i="16" s="1"/>
  <c r="A183" i="16" s="1"/>
  <c r="A184" i="16" s="1"/>
  <c r="A185" i="16" s="1"/>
  <c r="A186" i="16" s="1"/>
  <c r="A187" i="16" s="1"/>
  <c r="A188" i="16" s="1"/>
  <c r="A51" i="20"/>
  <c r="A131" i="13"/>
  <c r="A132" i="13" s="1"/>
  <c r="A133" i="13" s="1"/>
  <c r="A134" i="13" s="1"/>
  <c r="A135" i="13" s="1"/>
  <c r="A136" i="13" s="1"/>
  <c r="A137" i="13" s="1"/>
  <c r="A138" i="13" s="1"/>
  <c r="A139" i="13" s="1"/>
  <c r="A346" i="19"/>
  <c r="A347" i="19" s="1"/>
  <c r="A348" i="19" s="1"/>
  <c r="A349" i="19" s="1"/>
  <c r="A350" i="19" s="1"/>
  <c r="A351" i="19" s="1"/>
  <c r="A95" i="15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108" i="15" s="1"/>
  <c r="A109" i="15" s="1"/>
  <c r="A110" i="15" s="1"/>
  <c r="A111" i="15" s="1"/>
  <c r="A112" i="15" s="1"/>
  <c r="A113" i="15" s="1"/>
  <c r="A114" i="15" s="1"/>
  <c r="A115" i="15" s="1"/>
  <c r="A116" i="15" s="1"/>
  <c r="A117" i="15" s="1"/>
  <c r="A118" i="15" s="1"/>
  <c r="A119" i="15" s="1"/>
  <c r="A120" i="15" s="1"/>
  <c r="A121" i="15" s="1"/>
  <c r="A122" i="15" s="1"/>
  <c r="A123" i="15" s="1"/>
  <c r="A124" i="15" s="1"/>
  <c r="A71" i="21"/>
  <c r="A72" i="21" s="1"/>
  <c r="A73" i="21" s="1"/>
  <c r="A74" i="21" s="1"/>
  <c r="A75" i="21" s="1"/>
  <c r="A76" i="21" s="1"/>
  <c r="A77" i="21" s="1"/>
  <c r="A78" i="21" s="1"/>
  <c r="A791" i="19" l="1"/>
  <c r="A792" i="19" s="1"/>
  <c r="A793" i="19" s="1"/>
  <c r="A794" i="19" s="1"/>
  <c r="A795" i="19" s="1"/>
  <c r="A796" i="19" s="1"/>
  <c r="A182" i="19"/>
  <c r="A190" i="3"/>
  <c r="A191" i="3" s="1"/>
  <c r="A192" i="3" s="1"/>
  <c r="A193" i="3" s="1"/>
  <c r="A194" i="3" s="1"/>
  <c r="A195" i="3" s="1"/>
  <c r="A196" i="3" s="1"/>
  <c r="A197" i="3" s="1"/>
  <c r="A198" i="3" s="1"/>
  <c r="A199" i="3" s="1"/>
  <c r="A200" i="3" s="1"/>
  <c r="A201" i="3" s="1"/>
  <c r="A202" i="3" s="1"/>
  <c r="A203" i="3" s="1"/>
  <c r="A204" i="3" s="1"/>
  <c r="A205" i="3" s="1"/>
  <c r="A206" i="3" s="1"/>
  <c r="A207" i="3" s="1"/>
  <c r="A208" i="3" s="1"/>
  <c r="A209" i="3" s="1"/>
  <c r="A210" i="3" s="1"/>
  <c r="A211" i="3" s="1"/>
  <c r="A212" i="3" s="1"/>
  <c r="A213" i="3" s="1"/>
  <c r="A214" i="3" s="1"/>
  <c r="A215" i="3" s="1"/>
  <c r="A216" i="3" s="1"/>
  <c r="A217" i="3" s="1"/>
  <c r="A218" i="3" s="1"/>
  <c r="A219" i="3" s="1"/>
  <c r="A220" i="3" s="1"/>
  <c r="A221" i="3" s="1"/>
  <c r="A222" i="3" s="1"/>
  <c r="A223" i="3" s="1"/>
  <c r="A224" i="3" s="1"/>
  <c r="A225" i="3" s="1"/>
  <c r="A226" i="3" s="1"/>
  <c r="A227" i="3" s="1"/>
  <c r="A228" i="3" s="1"/>
  <c r="A229" i="3" s="1"/>
  <c r="A230" i="3" s="1"/>
  <c r="A231" i="3" s="1"/>
  <c r="A232" i="3" s="1"/>
  <c r="A233" i="3" s="1"/>
  <c r="A234" i="3" s="1"/>
  <c r="A235" i="3" s="1"/>
  <c r="A236" i="3" s="1"/>
  <c r="A237" i="3" s="1"/>
  <c r="A238" i="3" s="1"/>
  <c r="A239" i="3" s="1"/>
  <c r="A240" i="3" s="1"/>
  <c r="A241" i="3" s="1"/>
  <c r="A242" i="3" s="1"/>
  <c r="A243" i="3" s="1"/>
  <c r="A244" i="3" s="1"/>
  <c r="A245" i="3" s="1"/>
  <c r="A246" i="3" s="1"/>
  <c r="A247" i="3" s="1"/>
  <c r="A248" i="3" s="1"/>
  <c r="A249" i="3" s="1"/>
  <c r="A250" i="3" s="1"/>
  <c r="A251" i="3" s="1"/>
  <c r="A252" i="3" s="1"/>
  <c r="A253" i="3" s="1"/>
  <c r="A254" i="3" s="1"/>
  <c r="A255" i="3" s="1"/>
  <c r="A256" i="3" s="1"/>
  <c r="A257" i="3" s="1"/>
  <c r="A258" i="3" s="1"/>
  <c r="A259" i="3" s="1"/>
  <c r="A260" i="3" s="1"/>
  <c r="A261" i="3" s="1"/>
  <c r="A262" i="3" s="1"/>
  <c r="A265" i="3" s="1"/>
  <c r="A266" i="3" s="1"/>
  <c r="A267" i="3" s="1"/>
  <c r="A268" i="3" s="1"/>
  <c r="A269" i="3" s="1"/>
  <c r="A270" i="3" s="1"/>
  <c r="A271" i="3" s="1"/>
  <c r="A272" i="3" s="1"/>
  <c r="A273" i="3" s="1"/>
  <c r="A274" i="3" s="1"/>
  <c r="A275" i="3" s="1"/>
  <c r="A276" i="3" s="1"/>
  <c r="A277" i="3" s="1"/>
  <c r="A278" i="3" s="1"/>
  <c r="A279" i="3" s="1"/>
  <c r="A280" i="3" s="1"/>
  <c r="A281" i="3" s="1"/>
  <c r="A282" i="3" s="1"/>
  <c r="A283" i="3" s="1"/>
  <c r="A284" i="3" s="1"/>
  <c r="A285" i="3" s="1"/>
  <c r="A286" i="3" s="1"/>
  <c r="A287" i="3" s="1"/>
  <c r="A288" i="3" s="1"/>
  <c r="A289" i="3" s="1"/>
  <c r="A290" i="3" s="1"/>
  <c r="A291" i="3" s="1"/>
  <c r="A292" i="3" s="1"/>
  <c r="A293" i="3" s="1"/>
  <c r="A294" i="3" s="1"/>
  <c r="A295" i="3" s="1"/>
  <c r="A296" i="3" s="1"/>
  <c r="A297" i="3" s="1"/>
  <c r="A298" i="3" s="1"/>
  <c r="A299" i="3" s="1"/>
  <c r="A300" i="3" s="1"/>
  <c r="A301" i="3" s="1"/>
  <c r="A302" i="3" s="1"/>
  <c r="A303" i="3" s="1"/>
  <c r="A304" i="3" s="1"/>
  <c r="A305" i="3" s="1"/>
  <c r="A79" i="17"/>
  <c r="A80" i="17" s="1"/>
  <c r="A81" i="17" s="1"/>
  <c r="A82" i="17" s="1"/>
  <c r="A83" i="17" s="1"/>
  <c r="A84" i="17" s="1"/>
  <c r="A85" i="17" s="1"/>
  <c r="A86" i="17" s="1"/>
  <c r="A87" i="17" s="1"/>
  <c r="A88" i="17" s="1"/>
  <c r="A89" i="17" s="1"/>
  <c r="A90" i="17" s="1"/>
  <c r="A91" i="17" s="1"/>
  <c r="A92" i="17" s="1"/>
  <c r="A93" i="17" s="1"/>
  <c r="A94" i="17" s="1"/>
  <c r="A95" i="17" s="1"/>
  <c r="A96" i="17" s="1"/>
  <c r="A97" i="17" s="1"/>
  <c r="A98" i="17" s="1"/>
  <c r="A99" i="17" s="1"/>
  <c r="A100" i="17" s="1"/>
  <c r="A177" i="14"/>
  <c r="A178" i="14" s="1"/>
  <c r="A179" i="14" s="1"/>
  <c r="A180" i="14" s="1"/>
  <c r="A181" i="14" s="1"/>
  <c r="A182" i="14" s="1"/>
  <c r="A183" i="14" s="1"/>
  <c r="A184" i="14" s="1"/>
  <c r="A79" i="23"/>
  <c r="A80" i="23" s="1"/>
  <c r="A81" i="23" s="1"/>
  <c r="A82" i="23" s="1"/>
  <c r="A83" i="23" s="1"/>
  <c r="A84" i="23" s="1"/>
  <c r="A85" i="23" s="1"/>
  <c r="A86" i="23" s="1"/>
  <c r="A87" i="23" s="1"/>
  <c r="A88" i="23" s="1"/>
  <c r="A89" i="23" s="1"/>
  <c r="A90" i="23" s="1"/>
  <c r="A92" i="23" s="1"/>
  <c r="A93" i="23" s="1"/>
  <c r="A94" i="23" s="1"/>
  <c r="A95" i="23" s="1"/>
  <c r="A96" i="23" s="1"/>
  <c r="A97" i="23" s="1"/>
  <c r="A98" i="23" s="1"/>
  <c r="A99" i="23" s="1"/>
  <c r="A100" i="23" s="1"/>
  <c r="A101" i="23" s="1"/>
  <c r="A102" i="23" s="1"/>
  <c r="A103" i="23" s="1"/>
  <c r="A104" i="23" s="1"/>
  <c r="A58" i="19"/>
  <c r="A59" i="19" s="1"/>
  <c r="A60" i="19" s="1"/>
  <c r="A61" i="19" s="1"/>
  <c r="A62" i="19" s="1"/>
  <c r="A63" i="19" s="1"/>
  <c r="A64" i="19" s="1"/>
  <c r="A55" i="7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189" i="16"/>
  <c r="A190" i="16" s="1"/>
  <c r="A191" i="16" s="1"/>
  <c r="A192" i="16" s="1"/>
  <c r="A193" i="16" s="1"/>
  <c r="A194" i="16" s="1"/>
  <c r="A195" i="16" s="1"/>
  <c r="A196" i="16" s="1"/>
  <c r="A197" i="16" s="1"/>
  <c r="A198" i="16" s="1"/>
  <c r="A199" i="16" s="1"/>
  <c r="A200" i="16" s="1"/>
  <c r="A201" i="16" s="1"/>
  <c r="A202" i="16" s="1"/>
  <c r="A52" i="20"/>
  <c r="A53" i="20" s="1"/>
  <c r="A54" i="20" s="1"/>
  <c r="A55" i="20" s="1"/>
  <c r="A56" i="20" s="1"/>
  <c r="A57" i="20" s="1"/>
  <c r="A58" i="20" s="1"/>
  <c r="A59" i="20" s="1"/>
  <c r="A60" i="20" s="1"/>
  <c r="A61" i="20" s="1"/>
  <c r="A62" i="20" s="1"/>
  <c r="A63" i="20" s="1"/>
  <c r="A64" i="20" s="1"/>
  <c r="A65" i="20" s="1"/>
  <c r="A66" i="20" s="1"/>
  <c r="A67" i="20" s="1"/>
  <c r="A68" i="20" s="1"/>
  <c r="A69" i="20" s="1"/>
  <c r="A70" i="20" s="1"/>
  <c r="A71" i="20" s="1"/>
  <c r="A72" i="20" s="1"/>
  <c r="A73" i="20" s="1"/>
  <c r="A74" i="20" s="1"/>
  <c r="A75" i="20" s="1"/>
  <c r="A76" i="20" s="1"/>
  <c r="A77" i="20" s="1"/>
  <c r="A78" i="20" s="1"/>
  <c r="A79" i="20" s="1"/>
  <c r="A80" i="20" s="1"/>
  <c r="A457" i="13"/>
  <c r="A458" i="13" s="1"/>
  <c r="A459" i="13" s="1"/>
  <c r="A460" i="13" s="1"/>
  <c r="A461" i="13" s="1"/>
  <c r="A462" i="13" s="1"/>
  <c r="A463" i="13" s="1"/>
  <c r="A464" i="13" s="1"/>
  <c r="A465" i="13" s="1"/>
  <c r="A466" i="13" s="1"/>
  <c r="A467" i="13" s="1"/>
  <c r="A468" i="13" s="1"/>
  <c r="A469" i="13" s="1"/>
  <c r="A470" i="13" s="1"/>
  <c r="A140" i="13"/>
  <c r="A141" i="13" s="1"/>
  <c r="A142" i="13" s="1"/>
  <c r="A143" i="13" s="1"/>
  <c r="A144" i="13" s="1"/>
  <c r="A145" i="13" s="1"/>
  <c r="A146" i="13" s="1"/>
  <c r="A147" i="13" s="1"/>
  <c r="A148" i="13" s="1"/>
  <c r="A149" i="13" s="1"/>
  <c r="A150" i="13" s="1"/>
  <c r="A151" i="13" s="1"/>
  <c r="A152" i="13" s="1"/>
  <c r="A153" i="13" s="1"/>
  <c r="A154" i="13" s="1"/>
  <c r="A480" i="19"/>
  <c r="A481" i="19" s="1"/>
  <c r="A482" i="19" s="1"/>
  <c r="A483" i="19" s="1"/>
  <c r="A484" i="19" s="1"/>
  <c r="A485" i="19" s="1"/>
  <c r="A486" i="19" s="1"/>
  <c r="A79" i="21"/>
  <c r="A80" i="21" s="1"/>
  <c r="A81" i="21" s="1"/>
  <c r="A82" i="21" s="1"/>
  <c r="A306" i="3" l="1"/>
  <c r="A307" i="3" s="1"/>
  <c r="A308" i="3" s="1"/>
  <c r="A309" i="3" s="1"/>
  <c r="A310" i="3" s="1"/>
  <c r="A311" i="3" s="1"/>
  <c r="A312" i="3" s="1"/>
  <c r="A313" i="3" s="1"/>
  <c r="A314" i="3" s="1"/>
  <c r="A315" i="3" s="1"/>
  <c r="A316" i="3" s="1"/>
  <c r="A317" i="3" s="1"/>
  <c r="A318" i="3" s="1"/>
  <c r="A319" i="3" s="1"/>
  <c r="A320" i="3" s="1"/>
  <c r="A321" i="3" s="1"/>
  <c r="A322" i="3" s="1"/>
  <c r="A323" i="3" s="1"/>
  <c r="A324" i="3" s="1"/>
  <c r="A325" i="3" s="1"/>
  <c r="A326" i="3" s="1"/>
  <c r="A327" i="3" s="1"/>
  <c r="A328" i="3" s="1"/>
  <c r="A329" i="3" s="1"/>
  <c r="A330" i="3" s="1"/>
  <c r="A331" i="3" s="1"/>
  <c r="A332" i="3" s="1"/>
  <c r="A333" i="3" s="1"/>
  <c r="A334" i="3" s="1"/>
  <c r="A335" i="3" s="1"/>
  <c r="A336" i="3" s="1"/>
  <c r="A337" i="3" s="1"/>
  <c r="A338" i="3" s="1"/>
  <c r="A339" i="3" s="1"/>
  <c r="A340" i="3" s="1"/>
  <c r="A341" i="3" s="1"/>
  <c r="A342" i="3" s="1"/>
  <c r="A343" i="3" s="1"/>
  <c r="A183" i="19"/>
  <c r="A184" i="19" s="1"/>
  <c r="A185" i="19" s="1"/>
  <c r="A186" i="19" s="1"/>
  <c r="A189" i="19" s="1"/>
  <c r="A190" i="19" s="1"/>
  <c r="A191" i="19" s="1"/>
  <c r="A185" i="14"/>
  <c r="A471" i="13"/>
  <c r="A472" i="13" s="1"/>
  <c r="A473" i="13" s="1"/>
  <c r="A474" i="13" s="1"/>
  <c r="A475" i="13" s="1"/>
  <c r="A476" i="13" s="1"/>
  <c r="A477" i="13" s="1"/>
  <c r="A478" i="13" s="1"/>
  <c r="A479" i="13" s="1"/>
  <c r="A480" i="13" s="1"/>
  <c r="A481" i="13" s="1"/>
  <c r="A482" i="13" s="1"/>
  <c r="A483" i="13" s="1"/>
  <c r="A484" i="13" s="1"/>
  <c r="A485" i="13" s="1"/>
  <c r="A486" i="13" s="1"/>
  <c r="A487" i="13" s="1"/>
  <c r="A65" i="19"/>
  <c r="A66" i="19" s="1"/>
  <c r="A67" i="19" s="1"/>
  <c r="A68" i="19" s="1"/>
  <c r="A69" i="19" s="1"/>
  <c r="A70" i="19" s="1"/>
  <c r="A71" i="19" s="1"/>
  <c r="A72" i="19" s="1"/>
  <c r="A73" i="19" s="1"/>
  <c r="A74" i="19" s="1"/>
  <c r="A75" i="19" s="1"/>
  <c r="A76" i="19" s="1"/>
  <c r="A77" i="19" s="1"/>
  <c r="A78" i="19" s="1"/>
  <c r="A79" i="19" s="1"/>
  <c r="A80" i="19" s="1"/>
  <c r="A81" i="19" s="1"/>
  <c r="A82" i="19" s="1"/>
  <c r="A83" i="19" s="1"/>
  <c r="A84" i="19" s="1"/>
  <c r="A85" i="19" s="1"/>
  <c r="A86" i="19" s="1"/>
  <c r="A87" i="19" s="1"/>
  <c r="A88" i="19" s="1"/>
  <c r="A89" i="19" s="1"/>
  <c r="A90" i="19" s="1"/>
  <c r="A91" i="19" s="1"/>
  <c r="A101" i="17"/>
  <c r="A102" i="17" s="1"/>
  <c r="A103" i="17" s="1"/>
  <c r="A104" i="17" s="1"/>
  <c r="A105" i="17" s="1"/>
  <c r="A106" i="17" s="1"/>
  <c r="A107" i="17" s="1"/>
  <c r="A108" i="17" s="1"/>
  <c r="A109" i="17" s="1"/>
  <c r="A110" i="17" s="1"/>
  <c r="A111" i="17" s="1"/>
  <c r="A112" i="17" s="1"/>
  <c r="A113" i="17" s="1"/>
  <c r="A114" i="17" s="1"/>
  <c r="A115" i="17" s="1"/>
  <c r="A116" i="17" s="1"/>
  <c r="A117" i="17" s="1"/>
  <c r="A118" i="17" s="1"/>
  <c r="A119" i="17" s="1"/>
  <c r="A120" i="17" s="1"/>
  <c r="A121" i="17" s="1"/>
  <c r="A122" i="17" s="1"/>
  <c r="A123" i="17" s="1"/>
  <c r="A124" i="17" s="1"/>
  <c r="A125" i="17" s="1"/>
  <c r="A126" i="17" s="1"/>
  <c r="A127" i="17" s="1"/>
  <c r="A128" i="17" s="1"/>
  <c r="A129" i="17" s="1"/>
  <c r="A130" i="17" s="1"/>
  <c r="A131" i="17" s="1"/>
  <c r="A132" i="17" s="1"/>
  <c r="A133" i="17" s="1"/>
  <c r="A134" i="17" s="1"/>
  <c r="A135" i="17" s="1"/>
  <c r="A136" i="17" s="1"/>
  <c r="A137" i="17" s="1"/>
  <c r="A138" i="17" s="1"/>
  <c r="A139" i="17" s="1"/>
  <c r="A140" i="17" s="1"/>
  <c r="A141" i="17" s="1"/>
  <c r="A142" i="17" s="1"/>
  <c r="A143" i="17" s="1"/>
  <c r="A144" i="17" s="1"/>
  <c r="A145" i="17" s="1"/>
  <c r="A146" i="17" s="1"/>
  <c r="A147" i="17" s="1"/>
  <c r="A148" i="17" s="1"/>
  <c r="A149" i="17" s="1"/>
  <c r="A150" i="17" s="1"/>
  <c r="A81" i="20"/>
  <c r="A84" i="20" s="1"/>
  <c r="A87" i="20" s="1"/>
  <c r="A90" i="20" s="1"/>
  <c r="A83" i="20"/>
  <c r="A86" i="20" s="1"/>
  <c r="A89" i="20" s="1"/>
  <c r="A203" i="16"/>
  <c r="A204" i="16" s="1"/>
  <c r="A205" i="16" s="1"/>
  <c r="A206" i="16" s="1"/>
  <c r="A207" i="16" s="1"/>
  <c r="A208" i="16" s="1"/>
  <c r="A209" i="16" s="1"/>
  <c r="A210" i="16" s="1"/>
  <c r="A211" i="16" s="1"/>
  <c r="A212" i="16" s="1"/>
  <c r="A213" i="16" s="1"/>
  <c r="A214" i="16" s="1"/>
  <c r="A215" i="16" s="1"/>
  <c r="A216" i="16" s="1"/>
  <c r="A217" i="16" s="1"/>
  <c r="A218" i="16" s="1"/>
  <c r="A219" i="16" s="1"/>
  <c r="A220" i="16" s="1"/>
  <c r="A70" i="7"/>
  <c r="A71" i="7" s="1"/>
  <c r="A155" i="13"/>
  <c r="A487" i="19"/>
  <c r="A488" i="19" s="1"/>
  <c r="A489" i="19" s="1"/>
  <c r="A490" i="19" s="1"/>
  <c r="A491" i="19" s="1"/>
  <c r="A492" i="19" s="1"/>
  <c r="A493" i="19" s="1"/>
  <c r="A83" i="21"/>
  <c r="A84" i="21" s="1"/>
  <c r="A85" i="21" s="1"/>
  <c r="A192" i="19" l="1"/>
  <c r="A193" i="19" s="1"/>
  <c r="A194" i="19" s="1"/>
  <c r="A195" i="19" s="1"/>
  <c r="A196" i="19" s="1"/>
  <c r="A197" i="19" s="1"/>
  <c r="A198" i="19" s="1"/>
  <c r="A199" i="19" s="1"/>
  <c r="A186" i="14"/>
  <c r="A187" i="14" s="1"/>
  <c r="A188" i="14" s="1"/>
  <c r="A189" i="14" s="1"/>
  <c r="A190" i="14" s="1"/>
  <c r="A191" i="14" s="1"/>
  <c r="A192" i="14" s="1"/>
  <c r="A193" i="14" s="1"/>
  <c r="A82" i="20"/>
  <c r="A85" i="20" s="1"/>
  <c r="A88" i="20" s="1"/>
  <c r="A91" i="20" s="1"/>
  <c r="A92" i="20" s="1"/>
  <c r="A93" i="20" s="1"/>
  <c r="A94" i="20" s="1"/>
  <c r="A95" i="20" s="1"/>
  <c r="A96" i="20" s="1"/>
  <c r="A97" i="20" s="1"/>
  <c r="A98" i="20" s="1"/>
  <c r="A99" i="20" s="1"/>
  <c r="A100" i="20" s="1"/>
  <c r="A101" i="20" s="1"/>
  <c r="A102" i="20" s="1"/>
  <c r="A103" i="20" s="1"/>
  <c r="A104" i="20" s="1"/>
  <c r="A105" i="20" s="1"/>
  <c r="A151" i="17"/>
  <c r="A221" i="16"/>
  <c r="A222" i="16" s="1"/>
  <c r="A223" i="16" s="1"/>
  <c r="A224" i="16" s="1"/>
  <c r="A225" i="16" s="1"/>
  <c r="A226" i="16" s="1"/>
  <c r="A227" i="16" s="1"/>
  <c r="A228" i="16" s="1"/>
  <c r="A229" i="16" s="1"/>
  <c r="A230" i="16" s="1"/>
  <c r="A231" i="16" s="1"/>
  <c r="A232" i="16" s="1"/>
  <c r="A233" i="16" s="1"/>
  <c r="A72" i="7"/>
  <c r="A156" i="13"/>
  <c r="A157" i="13" s="1"/>
  <c r="A158" i="13" s="1"/>
  <c r="A159" i="13" s="1"/>
  <c r="A160" i="13" s="1"/>
  <c r="A161" i="13" s="1"/>
  <c r="A162" i="13" s="1"/>
  <c r="A163" i="13" s="1"/>
  <c r="A164" i="13" s="1"/>
  <c r="A165" i="13" s="1"/>
  <c r="A166" i="13" s="1"/>
  <c r="A167" i="13" s="1"/>
  <c r="A168" i="13" s="1"/>
  <c r="A169" i="13" s="1"/>
  <c r="A170" i="13" s="1"/>
  <c r="A494" i="19"/>
  <c r="A495" i="19" s="1"/>
  <c r="A496" i="19" s="1"/>
  <c r="A497" i="19" s="1"/>
  <c r="A498" i="19" s="1"/>
  <c r="A499" i="19" s="1"/>
  <c r="A500" i="19" s="1"/>
  <c r="A501" i="19" s="1"/>
  <c r="A502" i="19" s="1"/>
  <c r="A503" i="19" s="1"/>
  <c r="A86" i="21"/>
  <c r="A87" i="21" s="1"/>
  <c r="A488" i="13"/>
  <c r="A489" i="13" s="1"/>
  <c r="A490" i="13" s="1"/>
  <c r="A491" i="13" s="1"/>
  <c r="A492" i="13" s="1"/>
  <c r="A493" i="13" s="1"/>
  <c r="A494" i="13" s="1"/>
  <c r="A495" i="13" s="1"/>
  <c r="A194" i="14" l="1"/>
  <c r="A195" i="14" s="1"/>
  <c r="A196" i="14" s="1"/>
  <c r="A197" i="14" s="1"/>
  <c r="A198" i="14" s="1"/>
  <c r="A199" i="14" s="1"/>
  <c r="A200" i="14" s="1"/>
  <c r="A201" i="14" s="1"/>
  <c r="A202" i="14" s="1"/>
  <c r="A203" i="14" s="1"/>
  <c r="A204" i="14" s="1"/>
  <c r="A205" i="14" s="1"/>
  <c r="A206" i="14" s="1"/>
  <c r="A207" i="14" s="1"/>
  <c r="A208" i="14" s="1"/>
  <c r="A209" i="14" s="1"/>
  <c r="A210" i="14" s="1"/>
  <c r="A211" i="14" s="1"/>
  <c r="A212" i="14" s="1"/>
  <c r="A213" i="14" s="1"/>
  <c r="A214" i="14" s="1"/>
  <c r="A215" i="14" s="1"/>
  <c r="A216" i="14" s="1"/>
  <c r="A217" i="14" s="1"/>
  <c r="A218" i="14" s="1"/>
  <c r="A219" i="14" s="1"/>
  <c r="A220" i="14" s="1"/>
  <c r="A221" i="14" s="1"/>
  <c r="A222" i="14" s="1"/>
  <c r="A223" i="14" s="1"/>
  <c r="A224" i="14" s="1"/>
  <c r="A225" i="14" s="1"/>
  <c r="A226" i="14" s="1"/>
  <c r="A227" i="14" s="1"/>
  <c r="A152" i="17"/>
  <c r="A153" i="17" s="1"/>
  <c r="A154" i="17" s="1"/>
  <c r="A155" i="17" s="1"/>
  <c r="A156" i="17" s="1"/>
  <c r="A157" i="17" s="1"/>
  <c r="A158" i="17" s="1"/>
  <c r="A73" i="7"/>
  <c r="A504" i="19"/>
  <c r="A505" i="19" s="1"/>
  <c r="A506" i="19" s="1"/>
  <c r="A507" i="19" s="1"/>
  <c r="A508" i="19" s="1"/>
  <c r="A509" i="19" s="1"/>
  <c r="A510" i="19" s="1"/>
  <c r="A511" i="19" s="1"/>
  <c r="A512" i="19" s="1"/>
  <c r="A513" i="19" s="1"/>
  <c r="A514" i="19" s="1"/>
  <c r="A515" i="19" s="1"/>
  <c r="A516" i="19" s="1"/>
  <c r="A517" i="19" s="1"/>
  <c r="A518" i="19" s="1"/>
  <c r="A519" i="19" s="1"/>
  <c r="A520" i="19" s="1"/>
  <c r="A521" i="19" s="1"/>
  <c r="A522" i="19" s="1"/>
  <c r="A106" i="20"/>
  <c r="A107" i="20" s="1"/>
  <c r="A108" i="20" s="1"/>
  <c r="A109" i="20" s="1"/>
  <c r="A110" i="20" s="1"/>
  <c r="A111" i="20" s="1"/>
  <c r="A112" i="20" s="1"/>
  <c r="A113" i="20" s="1"/>
  <c r="A114" i="20" s="1"/>
  <c r="A115" i="20" s="1"/>
  <c r="A116" i="20" s="1"/>
  <c r="A117" i="20" s="1"/>
  <c r="A118" i="20" s="1"/>
  <c r="A171" i="13"/>
  <c r="A172" i="13" s="1"/>
  <c r="A173" i="13" s="1"/>
  <c r="A174" i="13" s="1"/>
  <c r="A175" i="13" s="1"/>
  <c r="A176" i="13" s="1"/>
  <c r="A177" i="13" s="1"/>
  <c r="A178" i="13" s="1"/>
  <c r="A179" i="13" s="1"/>
  <c r="A180" i="13" s="1"/>
  <c r="A181" i="13" s="1"/>
  <c r="A182" i="13" s="1"/>
  <c r="A183" i="13" s="1"/>
  <c r="A184" i="13" s="1"/>
  <c r="A185" i="13" s="1"/>
  <c r="A186" i="13" s="1"/>
  <c r="A187" i="13" s="1"/>
  <c r="A188" i="13" s="1"/>
  <c r="A189" i="13" s="1"/>
  <c r="A190" i="13" s="1"/>
  <c r="A191" i="13" s="1"/>
  <c r="A88" i="21"/>
  <c r="A89" i="21" s="1"/>
  <c r="A90" i="21" s="1"/>
  <c r="A496" i="13"/>
  <c r="A497" i="13" s="1"/>
  <c r="A498" i="13" s="1"/>
  <c r="A234" i="16"/>
  <c r="A235" i="16" s="1"/>
  <c r="A236" i="16" s="1"/>
  <c r="A237" i="16" s="1"/>
  <c r="A228" i="14" l="1"/>
  <c r="A229" i="14" s="1"/>
  <c r="A230" i="14" s="1"/>
  <c r="A231" i="14" s="1"/>
  <c r="A232" i="14" s="1"/>
  <c r="A233" i="14" s="1"/>
  <c r="A234" i="14" s="1"/>
  <c r="A235" i="14" s="1"/>
  <c r="A236" i="14" s="1"/>
  <c r="A237" i="14" s="1"/>
  <c r="A238" i="14" s="1"/>
  <c r="A239" i="14" s="1"/>
  <c r="A240" i="14" s="1"/>
  <c r="A241" i="14" s="1"/>
  <c r="A242" i="14" s="1"/>
  <c r="A243" i="14" s="1"/>
  <c r="A244" i="14" s="1"/>
  <c r="A245" i="14" s="1"/>
  <c r="A246" i="14" s="1"/>
  <c r="A247" i="14" s="1"/>
  <c r="A248" i="14" s="1"/>
  <c r="A249" i="14" s="1"/>
  <c r="A250" i="14" s="1"/>
  <c r="A251" i="14" s="1"/>
  <c r="A252" i="14" s="1"/>
  <c r="A253" i="14" s="1"/>
  <c r="A254" i="14" s="1"/>
  <c r="A255" i="14" s="1"/>
  <c r="A256" i="14" s="1"/>
  <c r="A257" i="14" s="1"/>
  <c r="A258" i="14" s="1"/>
  <c r="A259" i="14" s="1"/>
  <c r="A260" i="14" s="1"/>
  <c r="A261" i="14" s="1"/>
  <c r="A262" i="14" s="1"/>
  <c r="A263" i="14" s="1"/>
  <c r="A264" i="14" s="1"/>
  <c r="A265" i="14" s="1"/>
  <c r="A266" i="14" s="1"/>
  <c r="A267" i="14" s="1"/>
  <c r="A268" i="14" s="1"/>
  <c r="A269" i="14" s="1"/>
  <c r="A270" i="14" s="1"/>
  <c r="A271" i="14" s="1"/>
  <c r="A272" i="14" s="1"/>
  <c r="A273" i="14" s="1"/>
  <c r="A274" i="14" s="1"/>
  <c r="A275" i="14" s="1"/>
  <c r="A276" i="14" s="1"/>
  <c r="A277" i="14" s="1"/>
  <c r="A278" i="14" s="1"/>
  <c r="A279" i="14" s="1"/>
  <c r="A280" i="14" s="1"/>
  <c r="A281" i="14" s="1"/>
  <c r="A282" i="14" s="1"/>
  <c r="A283" i="14" s="1"/>
  <c r="A284" i="14" s="1"/>
  <c r="A285" i="14" s="1"/>
  <c r="A286" i="14" s="1"/>
  <c r="A287" i="14" s="1"/>
  <c r="A288" i="14" s="1"/>
  <c r="A289" i="14" s="1"/>
  <c r="A290" i="14" s="1"/>
  <c r="A291" i="14" s="1"/>
  <c r="A292" i="14" s="1"/>
  <c r="A293" i="14" s="1"/>
  <c r="A294" i="14" s="1"/>
  <c r="A295" i="14" s="1"/>
  <c r="A296" i="14" s="1"/>
  <c r="A297" i="14" s="1"/>
  <c r="A298" i="14" s="1"/>
  <c r="A299" i="14" s="1"/>
  <c r="A300" i="14" s="1"/>
  <c r="A301" i="14" s="1"/>
  <c r="A302" i="14" s="1"/>
  <c r="A303" i="14" s="1"/>
  <c r="A304" i="14" s="1"/>
  <c r="A305" i="14" s="1"/>
  <c r="A306" i="14" s="1"/>
  <c r="A307" i="14" s="1"/>
  <c r="A308" i="14" s="1"/>
  <c r="A309" i="14" s="1"/>
  <c r="A310" i="14" s="1"/>
  <c r="A311" i="14" s="1"/>
  <c r="A312" i="14" s="1"/>
  <c r="A313" i="14" s="1"/>
  <c r="A314" i="14" s="1"/>
  <c r="A315" i="14" s="1"/>
  <c r="A316" i="14" s="1"/>
  <c r="A317" i="14" s="1"/>
  <c r="A318" i="14" s="1"/>
  <c r="A319" i="14" s="1"/>
  <c r="A320" i="14" s="1"/>
  <c r="A321" i="14" s="1"/>
  <c r="A322" i="14" s="1"/>
  <c r="A323" i="14" s="1"/>
  <c r="A324" i="14" s="1"/>
  <c r="A325" i="14" s="1"/>
  <c r="A326" i="14" s="1"/>
  <c r="A327" i="14" s="1"/>
  <c r="A328" i="14" s="1"/>
  <c r="A329" i="14" s="1"/>
  <c r="A330" i="14" s="1"/>
  <c r="A331" i="14" s="1"/>
  <c r="A332" i="14" s="1"/>
  <c r="A333" i="14" s="1"/>
  <c r="A334" i="14" s="1"/>
  <c r="A335" i="14" s="1"/>
  <c r="A336" i="14" s="1"/>
  <c r="A337" i="14" s="1"/>
  <c r="A338" i="14" s="1"/>
  <c r="A339" i="14" s="1"/>
  <c r="A340" i="14" s="1"/>
  <c r="A341" i="14" s="1"/>
  <c r="A342" i="14" s="1"/>
  <c r="A343" i="14" s="1"/>
  <c r="A344" i="14" s="1"/>
  <c r="A345" i="14" s="1"/>
  <c r="A346" i="14" s="1"/>
  <c r="A347" i="14" s="1"/>
  <c r="A348" i="14" s="1"/>
  <c r="A349" i="14" s="1"/>
  <c r="A350" i="14" s="1"/>
  <c r="A351" i="14" s="1"/>
  <c r="A352" i="14" s="1"/>
  <c r="A353" i="14" s="1"/>
  <c r="A354" i="14" s="1"/>
  <c r="A355" i="14" s="1"/>
  <c r="A356" i="14" s="1"/>
  <c r="A357" i="14" s="1"/>
  <c r="A358" i="14" s="1"/>
  <c r="A359" i="14" s="1"/>
  <c r="A360" i="14" s="1"/>
  <c r="A361" i="14" s="1"/>
  <c r="A362" i="14" s="1"/>
  <c r="A363" i="14" s="1"/>
  <c r="A364" i="14" s="1"/>
  <c r="A366" i="14" s="1"/>
  <c r="A367" i="14" s="1"/>
  <c r="A368" i="14" s="1"/>
  <c r="A369" i="14" s="1"/>
  <c r="A370" i="14" s="1"/>
  <c r="A371" i="14" s="1"/>
  <c r="A372" i="14" s="1"/>
  <c r="A373" i="14" s="1"/>
  <c r="A374" i="14" s="1"/>
  <c r="A375" i="14" s="1"/>
  <c r="A376" i="14" s="1"/>
  <c r="A377" i="14" s="1"/>
  <c r="A378" i="14" s="1"/>
  <c r="A379" i="14" s="1"/>
  <c r="A380" i="14" s="1"/>
  <c r="A381" i="14" s="1"/>
  <c r="A382" i="14" s="1"/>
  <c r="A383" i="14" s="1"/>
  <c r="A384" i="14" s="1"/>
  <c r="A385" i="14" s="1"/>
  <c r="A386" i="14" s="1"/>
  <c r="A387" i="14" s="1"/>
  <c r="A388" i="14" s="1"/>
  <c r="A389" i="14" s="1"/>
  <c r="A390" i="14" s="1"/>
  <c r="A391" i="14" s="1"/>
  <c r="A392" i="14" s="1"/>
  <c r="A393" i="14" s="1"/>
  <c r="A394" i="14" s="1"/>
  <c r="A395" i="14" s="1"/>
  <c r="A396" i="14" s="1"/>
  <c r="A397" i="14" s="1"/>
  <c r="A398" i="14" s="1"/>
  <c r="A399" i="14" s="1"/>
  <c r="A400" i="14" s="1"/>
  <c r="A401" i="14" s="1"/>
  <c r="A402" i="14" s="1"/>
  <c r="A403" i="14" s="1"/>
  <c r="A159" i="17"/>
  <c r="A160" i="17" s="1"/>
  <c r="A161" i="17" s="1"/>
  <c r="A162" i="17" s="1"/>
  <c r="A163" i="17" s="1"/>
  <c r="A164" i="17" s="1"/>
  <c r="A165" i="17" s="1"/>
  <c r="A166" i="17" s="1"/>
  <c r="A167" i="17" s="1"/>
  <c r="A168" i="17" s="1"/>
  <c r="A169" i="17" s="1"/>
  <c r="A238" i="16"/>
  <c r="A239" i="16" s="1"/>
  <c r="A240" i="16" s="1"/>
  <c r="A241" i="16" s="1"/>
  <c r="A242" i="16" s="1"/>
  <c r="A243" i="16" s="1"/>
  <c r="A244" i="16" s="1"/>
  <c r="A523" i="19"/>
  <c r="A524" i="19" s="1"/>
  <c r="A525" i="19" s="1"/>
  <c r="A526" i="19" s="1"/>
  <c r="A527" i="19" s="1"/>
  <c r="A528" i="19" s="1"/>
  <c r="A529" i="19" s="1"/>
  <c r="A530" i="19" s="1"/>
  <c r="A531" i="19" s="1"/>
  <c r="A532" i="19" s="1"/>
  <c r="A533" i="19" s="1"/>
  <c r="A534" i="19" s="1"/>
  <c r="A535" i="19" s="1"/>
  <c r="A536" i="19" s="1"/>
  <c r="A537" i="19" s="1"/>
  <c r="A538" i="19" s="1"/>
  <c r="A539" i="19" s="1"/>
  <c r="A540" i="19" s="1"/>
  <c r="A541" i="19" s="1"/>
  <c r="A542" i="19" s="1"/>
  <c r="A543" i="19" s="1"/>
  <c r="A544" i="19" s="1"/>
  <c r="A545" i="19" s="1"/>
  <c r="A546" i="19" s="1"/>
  <c r="A547" i="19" s="1"/>
  <c r="A548" i="19" s="1"/>
  <c r="A549" i="19" s="1"/>
  <c r="A550" i="19" s="1"/>
  <c r="A551" i="19" s="1"/>
  <c r="A552" i="19" s="1"/>
  <c r="A553" i="19" s="1"/>
  <c r="A554" i="19" s="1"/>
  <c r="A555" i="19" s="1"/>
  <c r="A556" i="19" s="1"/>
  <c r="A557" i="19" s="1"/>
  <c r="A558" i="19" s="1"/>
  <c r="A559" i="19" s="1"/>
  <c r="A560" i="19" s="1"/>
  <c r="A561" i="19" s="1"/>
  <c r="A562" i="19" s="1"/>
  <c r="A119" i="20"/>
  <c r="A120" i="20" s="1"/>
  <c r="A121" i="20" s="1"/>
  <c r="A122" i="20" s="1"/>
  <c r="A91" i="21"/>
  <c r="A92" i="21" s="1"/>
  <c r="A93" i="21" s="1"/>
  <c r="A94" i="21" s="1"/>
  <c r="A95" i="21" s="1"/>
  <c r="A96" i="21" s="1"/>
  <c r="A97" i="21" s="1"/>
  <c r="A98" i="21" s="1"/>
  <c r="A99" i="21" s="1"/>
  <c r="A100" i="21" s="1"/>
  <c r="A101" i="21" s="1"/>
  <c r="A102" i="21" s="1"/>
  <c r="A103" i="21" s="1"/>
  <c r="A104" i="21" s="1"/>
  <c r="A105" i="21" s="1"/>
  <c r="A106" i="21" s="1"/>
  <c r="A107" i="21" s="1"/>
  <c r="A108" i="21" s="1"/>
  <c r="A109" i="21" s="1"/>
  <c r="A110" i="21" s="1"/>
  <c r="A111" i="21" s="1"/>
  <c r="A112" i="21" s="1"/>
  <c r="A113" i="21" s="1"/>
  <c r="A114" i="21" s="1"/>
  <c r="A115" i="21" s="1"/>
  <c r="A116" i="21" s="1"/>
  <c r="A117" i="21" s="1"/>
  <c r="A74" i="7"/>
  <c r="A75" i="7" s="1"/>
  <c r="A76" i="7" s="1"/>
  <c r="A192" i="13"/>
  <c r="A193" i="13" s="1"/>
  <c r="A194" i="13" s="1"/>
  <c r="A195" i="13" s="1"/>
  <c r="A196" i="13" s="1"/>
  <c r="A197" i="13" s="1"/>
  <c r="A198" i="13" s="1"/>
  <c r="A199" i="13" s="1"/>
  <c r="A499" i="13"/>
  <c r="A500" i="13" s="1"/>
  <c r="A501" i="13" s="1"/>
  <c r="A502" i="13" s="1"/>
  <c r="A503" i="13" s="1"/>
  <c r="A504" i="13" s="1"/>
  <c r="A505" i="13" s="1"/>
  <c r="A506" i="13" s="1"/>
  <c r="A507" i="13" s="1"/>
  <c r="A508" i="13" s="1"/>
  <c r="A45" i="31"/>
  <c r="A46" i="31" s="1"/>
  <c r="A47" i="31" s="1"/>
  <c r="A48" i="31" s="1"/>
  <c r="A49" i="31" s="1"/>
  <c r="A50" i="31" s="1"/>
  <c r="A51" i="31" s="1"/>
  <c r="A52" i="31" s="1"/>
  <c r="A53" i="31" s="1"/>
  <c r="A54" i="31" s="1"/>
  <c r="A55" i="31" s="1"/>
  <c r="A56" i="31" s="1"/>
  <c r="A57" i="31" s="1"/>
  <c r="A58" i="31" s="1"/>
  <c r="A59" i="31" s="1"/>
  <c r="A60" i="31" s="1"/>
  <c r="A61" i="31" s="1"/>
  <c r="A62" i="31" s="1"/>
  <c r="A63" i="31" s="1"/>
  <c r="A64" i="31" s="1"/>
  <c r="A65" i="31" s="1"/>
  <c r="A66" i="31" s="1"/>
  <c r="A67" i="31" s="1"/>
  <c r="A123" i="20" l="1"/>
  <c r="A124" i="20" s="1"/>
  <c r="A125" i="20" s="1"/>
  <c r="A126" i="20" s="1"/>
  <c r="A127" i="20" s="1"/>
  <c r="A128" i="20" s="1"/>
  <c r="A129" i="20" s="1"/>
  <c r="A130" i="20" s="1"/>
  <c r="A170" i="17"/>
  <c r="A509" i="13"/>
  <c r="A510" i="13" s="1"/>
  <c r="A511" i="13" s="1"/>
  <c r="A512" i="13" s="1"/>
  <c r="A513" i="13" s="1"/>
  <c r="A514" i="13" s="1"/>
  <c r="A515" i="13" s="1"/>
  <c r="A516" i="13" s="1"/>
  <c r="A517" i="13" s="1"/>
  <c r="A518" i="13" s="1"/>
  <c r="A519" i="13" s="1"/>
  <c r="A520" i="13" s="1"/>
  <c r="A521" i="13" s="1"/>
  <c r="A522" i="13" s="1"/>
  <c r="A523" i="13" s="1"/>
  <c r="A77" i="7"/>
  <c r="A78" i="7" s="1"/>
  <c r="A79" i="7" s="1"/>
  <c r="A80" i="7" s="1"/>
  <c r="A81" i="7" s="1"/>
  <c r="A82" i="7" s="1"/>
  <c r="A83" i="7" s="1"/>
  <c r="A404" i="14"/>
  <c r="A405" i="14" s="1"/>
  <c r="A406" i="14" s="1"/>
  <c r="A407" i="14" s="1"/>
  <c r="A408" i="14" s="1"/>
  <c r="A409" i="14" s="1"/>
  <c r="A410" i="14" s="1"/>
  <c r="A411" i="14" s="1"/>
  <c r="A412" i="14" s="1"/>
  <c r="A413" i="14" s="1"/>
  <c r="A414" i="14" s="1"/>
  <c r="A415" i="14" s="1"/>
  <c r="A416" i="14" s="1"/>
  <c r="A417" i="14" s="1"/>
  <c r="A418" i="14" s="1"/>
  <c r="A419" i="14" s="1"/>
  <c r="A420" i="14" s="1"/>
  <c r="A421" i="14" s="1"/>
  <c r="A422" i="14" s="1"/>
  <c r="A423" i="14" s="1"/>
  <c r="A424" i="14" s="1"/>
  <c r="A425" i="14" s="1"/>
  <c r="A426" i="14" s="1"/>
  <c r="A427" i="14" s="1"/>
  <c r="A428" i="14" s="1"/>
  <c r="A429" i="14" s="1"/>
  <c r="A430" i="14" s="1"/>
  <c r="A431" i="14" s="1"/>
  <c r="A432" i="14" s="1"/>
  <c r="A433" i="14" s="1"/>
  <c r="A434" i="14" s="1"/>
  <c r="A435" i="14" s="1"/>
  <c r="A436" i="14" s="1"/>
  <c r="A437" i="14" s="1"/>
  <c r="A438" i="14" s="1"/>
  <c r="A439" i="14" s="1"/>
  <c r="A440" i="14" s="1"/>
  <c r="A441" i="14" s="1"/>
  <c r="A442" i="14" s="1"/>
  <c r="A443" i="14" s="1"/>
  <c r="A444" i="14" s="1"/>
  <c r="A445" i="14" s="1"/>
  <c r="A446" i="14" s="1"/>
  <c r="A447" i="14" s="1"/>
  <c r="A448" i="14" s="1"/>
  <c r="A449" i="14" s="1"/>
  <c r="A450" i="14" s="1"/>
  <c r="A451" i="14" s="1"/>
  <c r="A452" i="14" s="1"/>
  <c r="A453" i="14" s="1"/>
  <c r="A454" i="14" s="1"/>
  <c r="A455" i="14" s="1"/>
  <c r="A456" i="14" s="1"/>
  <c r="A457" i="14" s="1"/>
  <c r="A458" i="14" s="1"/>
  <c r="A459" i="14" s="1"/>
  <c r="A460" i="14" s="1"/>
  <c r="A461" i="14" s="1"/>
  <c r="A462" i="14" s="1"/>
  <c r="A463" i="14" s="1"/>
  <c r="A464" i="14" s="1"/>
  <c r="A465" i="14" s="1"/>
  <c r="A466" i="14" s="1"/>
  <c r="A467" i="14" s="1"/>
  <c r="A468" i="14" s="1"/>
  <c r="A469" i="14" s="1"/>
  <c r="A470" i="14" s="1"/>
  <c r="A471" i="14" s="1"/>
  <c r="A472" i="14" s="1"/>
  <c r="A563" i="19"/>
  <c r="A564" i="19" s="1"/>
  <c r="A565" i="19" s="1"/>
  <c r="A566" i="19" s="1"/>
  <c r="A567" i="19" s="1"/>
  <c r="A568" i="19" s="1"/>
  <c r="A245" i="16"/>
  <c r="A246" i="16" s="1"/>
  <c r="A247" i="16" s="1"/>
  <c r="A68" i="31"/>
  <c r="A69" i="31" s="1"/>
  <c r="A70" i="31" s="1"/>
  <c r="A71" i="31" s="1"/>
  <c r="A72" i="31" s="1"/>
  <c r="A73" i="31" s="1"/>
  <c r="A74" i="31" s="1"/>
  <c r="A75" i="31" s="1"/>
  <c r="A76" i="31" s="1"/>
  <c r="A77" i="31" s="1"/>
  <c r="A200" i="13"/>
  <c r="A201" i="13" s="1"/>
  <c r="A118" i="21"/>
  <c r="A119" i="21" s="1"/>
  <c r="A120" i="21" s="1"/>
  <c r="A121" i="21" s="1"/>
  <c r="A122" i="21" s="1"/>
  <c r="A123" i="21" s="1"/>
  <c r="A202" i="13" l="1"/>
  <c r="A203" i="13" s="1"/>
  <c r="A204" i="13" s="1"/>
  <c r="A205" i="13" s="1"/>
  <c r="A206" i="13" s="1"/>
  <c r="A207" i="13" s="1"/>
  <c r="A171" i="17"/>
  <c r="A131" i="20"/>
  <c r="A132" i="20" s="1"/>
  <c r="A133" i="20" s="1"/>
  <c r="A134" i="20" s="1"/>
  <c r="A135" i="20" s="1"/>
  <c r="A136" i="20" s="1"/>
  <c r="A137" i="20" s="1"/>
  <c r="A473" i="14"/>
  <c r="A569" i="19"/>
  <c r="A84" i="7"/>
  <c r="A78" i="31"/>
  <c r="A79" i="31" s="1"/>
  <c r="A80" i="31" s="1"/>
  <c r="A81" i="31" s="1"/>
  <c r="A124" i="21"/>
  <c r="A125" i="21" s="1"/>
  <c r="A126" i="21" s="1"/>
  <c r="A127" i="21" s="1"/>
  <c r="A128" i="21" s="1"/>
  <c r="A129" i="21" s="1"/>
  <c r="A130" i="21" s="1"/>
  <c r="A131" i="21" s="1"/>
  <c r="A132" i="21" s="1"/>
  <c r="A133" i="21" s="1"/>
  <c r="A134" i="21" s="1"/>
  <c r="A135" i="21" s="1"/>
  <c r="A136" i="21" s="1"/>
  <c r="A137" i="21" s="1"/>
  <c r="A138" i="21" s="1"/>
  <c r="A139" i="21" s="1"/>
  <c r="A140" i="21" s="1"/>
  <c r="A524" i="13"/>
  <c r="A525" i="13" s="1"/>
  <c r="A526" i="13" s="1"/>
  <c r="A527" i="13" s="1"/>
  <c r="A528" i="13" s="1"/>
  <c r="A529" i="13" s="1"/>
  <c r="A530" i="13" s="1"/>
  <c r="A172" i="17" l="1"/>
  <c r="A173" i="17" s="1"/>
  <c r="A174" i="17" s="1"/>
  <c r="A175" i="17" s="1"/>
  <c r="A138" i="20"/>
  <c r="A139" i="20" s="1"/>
  <c r="A140" i="20" s="1"/>
  <c r="A141" i="20" s="1"/>
  <c r="A142" i="20" s="1"/>
  <c r="A143" i="20" s="1"/>
  <c r="A144" i="20" s="1"/>
  <c r="A145" i="20" s="1"/>
  <c r="A146" i="20" s="1"/>
  <c r="A147" i="20" s="1"/>
  <c r="A148" i="20" s="1"/>
  <c r="A149" i="20" s="1"/>
  <c r="A150" i="20" s="1"/>
  <c r="A151" i="20" s="1"/>
  <c r="A152" i="20" s="1"/>
  <c r="A153" i="20" s="1"/>
  <c r="A154" i="20" s="1"/>
  <c r="A474" i="14"/>
  <c r="A475" i="14" s="1"/>
  <c r="A476" i="14" s="1"/>
  <c r="A570" i="19"/>
  <c r="A571" i="19" s="1"/>
  <c r="A572" i="19" s="1"/>
  <c r="A573" i="19" s="1"/>
  <c r="A574" i="19" s="1"/>
  <c r="A575" i="19" s="1"/>
  <c r="A576" i="19" s="1"/>
  <c r="A577" i="19" s="1"/>
  <c r="A578" i="19" s="1"/>
  <c r="A579" i="19" s="1"/>
  <c r="A580" i="19" s="1"/>
  <c r="A581" i="19" s="1"/>
  <c r="A85" i="7"/>
  <c r="A86" i="7" s="1"/>
  <c r="A82" i="31"/>
  <c r="A83" i="31" s="1"/>
  <c r="A84" i="31" s="1"/>
  <c r="A85" i="31" s="1"/>
  <c r="A87" i="31" s="1"/>
  <c r="A88" i="31" s="1"/>
  <c r="A208" i="13"/>
  <c r="A209" i="13" s="1"/>
  <c r="A210" i="13" s="1"/>
  <c r="A211" i="13" s="1"/>
  <c r="A212" i="13" s="1"/>
  <c r="A213" i="13" s="1"/>
  <c r="A214" i="13" s="1"/>
  <c r="A215" i="13" s="1"/>
  <c r="A216" i="13" s="1"/>
  <c r="A217" i="13" s="1"/>
  <c r="A218" i="13" s="1"/>
  <c r="A219" i="13" s="1"/>
  <c r="A220" i="13" s="1"/>
  <c r="A221" i="13" s="1"/>
  <c r="A222" i="13" s="1"/>
  <c r="A223" i="13" s="1"/>
  <c r="A224" i="13" s="1"/>
  <c r="A225" i="13" s="1"/>
  <c r="A141" i="21"/>
  <c r="A142" i="21" s="1"/>
  <c r="A143" i="21" s="1"/>
  <c r="A531" i="13"/>
  <c r="A477" i="14" l="1"/>
  <c r="A478" i="14" s="1"/>
  <c r="A479" i="14" s="1"/>
  <c r="A480" i="14" s="1"/>
  <c r="A481" i="14" s="1"/>
  <c r="A482" i="14" s="1"/>
  <c r="A483" i="14" s="1"/>
  <c r="A484" i="14" s="1"/>
  <c r="A485" i="14" s="1"/>
  <c r="A486" i="14" s="1"/>
  <c r="A487" i="14" s="1"/>
  <c r="A488" i="14" s="1"/>
  <c r="A489" i="14" s="1"/>
  <c r="A490" i="14" s="1"/>
  <c r="A491" i="14" s="1"/>
  <c r="A492" i="14" s="1"/>
  <c r="A493" i="14" s="1"/>
  <c r="A494" i="14" s="1"/>
  <c r="A495" i="14" s="1"/>
  <c r="A496" i="14" s="1"/>
  <c r="A497" i="14" s="1"/>
  <c r="A498" i="14" s="1"/>
  <c r="A499" i="14" s="1"/>
  <c r="A500" i="14" s="1"/>
  <c r="A501" i="14" s="1"/>
  <c r="A502" i="14" s="1"/>
  <c r="A503" i="14" s="1"/>
  <c r="A504" i="14" s="1"/>
  <c r="A505" i="14" s="1"/>
  <c r="A506" i="14" s="1"/>
  <c r="A507" i="14" s="1"/>
  <c r="A508" i="14" s="1"/>
  <c r="A509" i="14" s="1"/>
  <c r="A510" i="14" s="1"/>
  <c r="A511" i="14" s="1"/>
  <c r="A512" i="14" s="1"/>
  <c r="A513" i="14" s="1"/>
  <c r="A514" i="14" s="1"/>
  <c r="A515" i="14" s="1"/>
  <c r="A516" i="14" s="1"/>
  <c r="A517" i="14" s="1"/>
  <c r="A518" i="14" s="1"/>
  <c r="A226" i="13"/>
  <c r="A227" i="13" s="1"/>
  <c r="A228" i="13" s="1"/>
  <c r="A582" i="19"/>
  <c r="A583" i="19" s="1"/>
  <c r="A585" i="19" s="1"/>
  <c r="A586" i="19" s="1"/>
  <c r="A155" i="20"/>
  <c r="A156" i="20" s="1"/>
  <c r="A157" i="20" s="1"/>
  <c r="A158" i="20" s="1"/>
  <c r="A159" i="20" s="1"/>
  <c r="A160" i="20" s="1"/>
  <c r="A161" i="20" s="1"/>
  <c r="A162" i="20" s="1"/>
  <c r="A163" i="20" s="1"/>
  <c r="A164" i="20" s="1"/>
  <c r="A165" i="20" s="1"/>
  <c r="A166" i="20" s="1"/>
  <c r="A167" i="20" s="1"/>
  <c r="A168" i="20" s="1"/>
  <c r="A169" i="20" s="1"/>
  <c r="A170" i="20" s="1"/>
  <c r="A171" i="20" s="1"/>
  <c r="A172" i="20" s="1"/>
  <c r="A173" i="20" s="1"/>
  <c r="A174" i="20" s="1"/>
  <c r="A175" i="20" s="1"/>
  <c r="A176" i="20" s="1"/>
  <c r="A177" i="20" s="1"/>
  <c r="A178" i="20" s="1"/>
  <c r="A179" i="20" s="1"/>
  <c r="A180" i="20" s="1"/>
  <c r="A181" i="20" s="1"/>
  <c r="A182" i="20" s="1"/>
  <c r="A183" i="20" s="1"/>
  <c r="A184" i="20" s="1"/>
  <c r="A87" i="7"/>
  <c r="A90" i="31"/>
  <c r="A91" i="31" s="1"/>
  <c r="A92" i="31" s="1"/>
  <c r="A93" i="31" s="1"/>
  <c r="A94" i="31" s="1"/>
  <c r="A95" i="31" s="1"/>
  <c r="A96" i="31" s="1"/>
  <c r="A97" i="31" s="1"/>
  <c r="A98" i="31" s="1"/>
  <c r="A99" i="31" s="1"/>
  <c r="A100" i="31" s="1"/>
  <c r="A532" i="13"/>
  <c r="A533" i="13" s="1"/>
  <c r="A534" i="13" s="1"/>
  <c r="A144" i="21"/>
  <c r="A145" i="21" s="1"/>
  <c r="A146" i="21" s="1"/>
  <c r="A229" i="13" l="1"/>
  <c r="A230" i="13" s="1"/>
  <c r="A231" i="13" s="1"/>
  <c r="A232" i="13" s="1"/>
  <c r="A233" i="13" s="1"/>
  <c r="A234" i="13" s="1"/>
  <c r="A235" i="13" s="1"/>
  <c r="A236" i="13" s="1"/>
  <c r="A237" i="13" s="1"/>
  <c r="A238" i="13" s="1"/>
  <c r="A239" i="13" s="1"/>
  <c r="A240" i="13" s="1"/>
  <c r="A241" i="13" s="1"/>
  <c r="A242" i="13" s="1"/>
  <c r="A243" i="13" s="1"/>
  <c r="A244" i="13" s="1"/>
  <c r="A245" i="13" s="1"/>
  <c r="A246" i="13" s="1"/>
  <c r="A247" i="13" s="1"/>
  <c r="A248" i="13" s="1"/>
  <c r="A249" i="13" s="1"/>
  <c r="A250" i="13" s="1"/>
  <c r="A251" i="13" s="1"/>
  <c r="A252" i="13" s="1"/>
  <c r="A253" i="13" s="1"/>
  <c r="A254" i="13" s="1"/>
  <c r="A255" i="13" s="1"/>
  <c r="A256" i="13" s="1"/>
  <c r="A257" i="13" s="1"/>
  <c r="A258" i="13" s="1"/>
  <c r="A259" i="13" s="1"/>
  <c r="A260" i="13" s="1"/>
  <c r="A261" i="13" s="1"/>
  <c r="A262" i="13" s="1"/>
  <c r="A263" i="13" s="1"/>
  <c r="A264" i="13" s="1"/>
  <c r="A265" i="13" s="1"/>
  <c r="A266" i="13" s="1"/>
  <c r="A267" i="13" s="1"/>
  <c r="A268" i="13" s="1"/>
  <c r="A269" i="13" s="1"/>
  <c r="A270" i="13" s="1"/>
  <c r="A271" i="13" s="1"/>
  <c r="A272" i="13" s="1"/>
  <c r="A273" i="13" s="1"/>
  <c r="A274" i="13" s="1"/>
  <c r="A275" i="13" s="1"/>
  <c r="A276" i="13" s="1"/>
  <c r="A277" i="13" s="1"/>
  <c r="A278" i="13" s="1"/>
  <c r="A279" i="13" s="1"/>
  <c r="A280" i="13" s="1"/>
  <c r="A281" i="13" s="1"/>
  <c r="A282" i="13" s="1"/>
  <c r="A283" i="13" s="1"/>
  <c r="A284" i="13" s="1"/>
  <c r="A285" i="13" s="1"/>
  <c r="A286" i="13" s="1"/>
  <c r="A287" i="13" s="1"/>
  <c r="A291" i="13" s="1"/>
  <c r="A292" i="13" s="1"/>
  <c r="A293" i="13" s="1"/>
  <c r="A294" i="13" s="1"/>
  <c r="A295" i="13" s="1"/>
  <c r="A296" i="13" s="1"/>
  <c r="A297" i="13" s="1"/>
  <c r="A298" i="13" s="1"/>
  <c r="A299" i="13" s="1"/>
  <c r="A300" i="13" s="1"/>
  <c r="A301" i="13" s="1"/>
  <c r="A302" i="13" s="1"/>
  <c r="A303" i="13" s="1"/>
  <c r="A304" i="13" s="1"/>
  <c r="A305" i="13" s="1"/>
  <c r="A306" i="13" s="1"/>
  <c r="A307" i="13" s="1"/>
  <c r="A308" i="13" s="1"/>
  <c r="A309" i="13" s="1"/>
  <c r="A310" i="13" s="1"/>
  <c r="A311" i="13" s="1"/>
  <c r="A312" i="13" s="1"/>
  <c r="A313" i="13" s="1"/>
  <c r="A314" i="13" s="1"/>
  <c r="A315" i="13" s="1"/>
  <c r="A316" i="13" s="1"/>
  <c r="A317" i="13" s="1"/>
  <c r="A318" i="13" s="1"/>
  <c r="A319" i="13" s="1"/>
  <c r="A320" i="13" s="1"/>
  <c r="A321" i="13" s="1"/>
  <c r="A322" i="13" s="1"/>
  <c r="A323" i="13" s="1"/>
  <c r="A324" i="13" s="1"/>
  <c r="A587" i="19"/>
  <c r="A588" i="19" s="1"/>
  <c r="A589" i="19" s="1"/>
  <c r="A590" i="19" s="1"/>
  <c r="A591" i="19" s="1"/>
  <c r="A592" i="19" s="1"/>
  <c r="A593" i="19" s="1"/>
  <c r="A594" i="19" s="1"/>
  <c r="A595" i="19" s="1"/>
  <c r="A596" i="19" s="1"/>
  <c r="A597" i="19" s="1"/>
  <c r="A598" i="19" s="1"/>
  <c r="A599" i="19" s="1"/>
  <c r="A600" i="19" s="1"/>
  <c r="A601" i="19" s="1"/>
  <c r="A602" i="19" s="1"/>
  <c r="A603" i="19" s="1"/>
  <c r="A604" i="19" s="1"/>
  <c r="A605" i="19" s="1"/>
  <c r="A606" i="19" s="1"/>
  <c r="A607" i="19" s="1"/>
  <c r="A608" i="19" s="1"/>
  <c r="A609" i="19" s="1"/>
  <c r="A610" i="19" s="1"/>
  <c r="A611" i="19" s="1"/>
  <c r="A612" i="19" s="1"/>
  <c r="A613" i="19" s="1"/>
  <c r="A614" i="19" s="1"/>
  <c r="A615" i="19" s="1"/>
  <c r="A616" i="19" s="1"/>
  <c r="A617" i="19" s="1"/>
  <c r="A618" i="19" s="1"/>
  <c r="A619" i="19" s="1"/>
  <c r="A620" i="19" s="1"/>
  <c r="A621" i="19" s="1"/>
  <c r="A622" i="19" s="1"/>
  <c r="A623" i="19" s="1"/>
  <c r="A624" i="19" s="1"/>
  <c r="A625" i="19" s="1"/>
  <c r="A626" i="19" s="1"/>
  <c r="A627" i="19" s="1"/>
  <c r="A628" i="19" s="1"/>
  <c r="A629" i="19" s="1"/>
  <c r="A630" i="19" s="1"/>
  <c r="A631" i="19" s="1"/>
  <c r="A632" i="19" s="1"/>
  <c r="A633" i="19" s="1"/>
  <c r="A634" i="19" s="1"/>
  <c r="A635" i="19" s="1"/>
  <c r="A636" i="19" s="1"/>
  <c r="A637" i="19" s="1"/>
  <c r="A638" i="19" s="1"/>
  <c r="A639" i="19" s="1"/>
  <c r="A640" i="19" s="1"/>
  <c r="A641" i="19" s="1"/>
  <c r="A642" i="19" s="1"/>
  <c r="A643" i="19" s="1"/>
  <c r="A644" i="19" s="1"/>
  <c r="A645" i="19" s="1"/>
  <c r="A646" i="19" s="1"/>
  <c r="A647" i="19" s="1"/>
  <c r="A648" i="19" s="1"/>
  <c r="A649" i="19" s="1"/>
  <c r="A650" i="19" s="1"/>
  <c r="A651" i="19" s="1"/>
  <c r="A652" i="19" s="1"/>
  <c r="A653" i="19" s="1"/>
  <c r="A654" i="19" s="1"/>
  <c r="A519" i="14"/>
  <c r="A520" i="14" s="1"/>
  <c r="A521" i="14" s="1"/>
  <c r="A522" i="14" s="1"/>
  <c r="A523" i="14" s="1"/>
  <c r="A524" i="14" s="1"/>
  <c r="A525" i="14" s="1"/>
  <c r="A526" i="14" s="1"/>
  <c r="A527" i="14" s="1"/>
  <c r="A528" i="14" s="1"/>
  <c r="A529" i="14" s="1"/>
  <c r="A530" i="14" s="1"/>
  <c r="A531" i="14" s="1"/>
  <c r="A532" i="14" s="1"/>
  <c r="A533" i="14" s="1"/>
  <c r="A534" i="14" s="1"/>
  <c r="A535" i="14" s="1"/>
  <c r="A536" i="14" s="1"/>
  <c r="A537" i="14" s="1"/>
  <c r="A538" i="14" s="1"/>
  <c r="A539" i="14" s="1"/>
  <c r="A540" i="14" s="1"/>
  <c r="A541" i="14" s="1"/>
  <c r="A542" i="14" s="1"/>
  <c r="A543" i="14" s="1"/>
  <c r="A544" i="14" s="1"/>
  <c r="A545" i="14" s="1"/>
  <c r="A546" i="14" s="1"/>
  <c r="A547" i="14" s="1"/>
  <c r="A548" i="14" s="1"/>
  <c r="A549" i="14" s="1"/>
  <c r="A550" i="14" s="1"/>
  <c r="A551" i="14" s="1"/>
  <c r="A552" i="14" s="1"/>
  <c r="A553" i="14" s="1"/>
  <c r="A554" i="14" s="1"/>
  <c r="A555" i="14" s="1"/>
  <c r="A556" i="14" s="1"/>
  <c r="A557" i="14" s="1"/>
  <c r="A558" i="14" s="1"/>
  <c r="A559" i="14" s="1"/>
  <c r="A560" i="14" s="1"/>
  <c r="A561" i="14" s="1"/>
  <c r="A562" i="14" s="1"/>
  <c r="A563" i="14" s="1"/>
  <c r="A564" i="14" s="1"/>
  <c r="A185" i="20"/>
  <c r="A186" i="20" s="1"/>
  <c r="A187" i="20" s="1"/>
  <c r="A188" i="20" s="1"/>
  <c r="A189" i="20" s="1"/>
  <c r="A190" i="20" s="1"/>
  <c r="A191" i="20" s="1"/>
  <c r="A535" i="13"/>
  <c r="A536" i="13" s="1"/>
  <c r="A537" i="13" s="1"/>
  <c r="A538" i="13" s="1"/>
  <c r="A539" i="13" s="1"/>
  <c r="A540" i="13" s="1"/>
  <c r="A541" i="13" s="1"/>
  <c r="A542" i="13" s="1"/>
  <c r="A543" i="13" s="1"/>
  <c r="A101" i="31"/>
  <c r="A102" i="31" s="1"/>
  <c r="A103" i="31" s="1"/>
  <c r="A104" i="31" s="1"/>
  <c r="A105" i="31" s="1"/>
  <c r="A106" i="31" s="1"/>
  <c r="A107" i="31" s="1"/>
  <c r="A88" i="7"/>
  <c r="A89" i="7" s="1"/>
  <c r="A90" i="7" s="1"/>
  <c r="A91" i="7" s="1"/>
  <c r="A92" i="7" s="1"/>
  <c r="A95" i="7" s="1"/>
  <c r="A96" i="7" s="1"/>
  <c r="A97" i="7" s="1"/>
  <c r="A147" i="21"/>
  <c r="A148" i="21" s="1"/>
  <c r="A149" i="21" s="1"/>
  <c r="A150" i="21" s="1"/>
  <c r="A151" i="21" s="1"/>
  <c r="A152" i="21" s="1"/>
  <c r="A153" i="21" s="1"/>
  <c r="A154" i="21" s="1"/>
  <c r="A155" i="21" s="1"/>
  <c r="A156" i="21" s="1"/>
  <c r="A157" i="21" s="1"/>
  <c r="A158" i="21" s="1"/>
  <c r="A159" i="21" s="1"/>
  <c r="A160" i="21" s="1"/>
  <c r="A161" i="21" s="1"/>
  <c r="A162" i="21" s="1"/>
  <c r="A163" i="21" s="1"/>
  <c r="A164" i="21" s="1"/>
  <c r="A165" i="21" s="1"/>
  <c r="A166" i="21" s="1"/>
  <c r="A98" i="7" l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92" i="20"/>
  <c r="A193" i="20" s="1"/>
  <c r="A194" i="20" s="1"/>
  <c r="A195" i="20" s="1"/>
  <c r="A196" i="20" s="1"/>
  <c r="A197" i="20" s="1"/>
  <c r="A325" i="13"/>
  <c r="A326" i="13" s="1"/>
  <c r="A327" i="13" s="1"/>
  <c r="A328" i="13" s="1"/>
  <c r="A108" i="31"/>
  <c r="A109" i="31" s="1"/>
  <c r="A110" i="31" s="1"/>
  <c r="A111" i="31" s="1"/>
  <c r="A114" i="31" s="1"/>
  <c r="A115" i="31" s="1"/>
  <c r="A116" i="31" s="1"/>
  <c r="A117" i="31" s="1"/>
  <c r="A118" i="31" s="1"/>
  <c r="A119" i="31" s="1"/>
  <c r="A544" i="13"/>
  <c r="A545" i="13" s="1"/>
  <c r="A546" i="13" s="1"/>
  <c r="A547" i="13" s="1"/>
  <c r="A548" i="13" s="1"/>
  <c r="A549" i="13" s="1"/>
  <c r="A550" i="13" s="1"/>
  <c r="A551" i="13" s="1"/>
  <c r="A552" i="13" s="1"/>
  <c r="A553" i="13" s="1"/>
  <c r="A554" i="13" s="1"/>
  <c r="A555" i="13" s="1"/>
  <c r="A556" i="13" s="1"/>
  <c r="A167" i="21"/>
  <c r="A168" i="21" s="1"/>
  <c r="A169" i="21" s="1"/>
  <c r="A170" i="21" s="1"/>
  <c r="A171" i="21" s="1"/>
  <c r="A172" i="21" s="1"/>
  <c r="A173" i="21" s="1"/>
  <c r="A174" i="21" s="1"/>
  <c r="A175" i="21" s="1"/>
  <c r="A176" i="21" s="1"/>
  <c r="A177" i="21" s="1"/>
  <c r="A178" i="21" s="1"/>
  <c r="A179" i="21" s="1"/>
  <c r="A180" i="21" s="1"/>
  <c r="A181" i="21" s="1"/>
  <c r="A198" i="20" l="1"/>
  <c r="A199" i="20" s="1"/>
  <c r="A200" i="20" s="1"/>
  <c r="A201" i="20" s="1"/>
  <c r="A202" i="20" s="1"/>
  <c r="A557" i="13"/>
  <c r="A558" i="13" s="1"/>
  <c r="A559" i="13" s="1"/>
  <c r="A560" i="13" s="1"/>
  <c r="A329" i="13"/>
  <c r="A330" i="13" s="1"/>
  <c r="A331" i="13" s="1"/>
  <c r="A332" i="13" s="1"/>
  <c r="A333" i="13" s="1"/>
  <c r="A334" i="13" s="1"/>
  <c r="A335" i="13" s="1"/>
  <c r="A336" i="13" s="1"/>
  <c r="A337" i="13" s="1"/>
  <c r="A338" i="13" s="1"/>
  <c r="A339" i="13" s="1"/>
  <c r="A340" i="13" s="1"/>
  <c r="A341" i="13" s="1"/>
  <c r="A342" i="13" s="1"/>
  <c r="A343" i="13" s="1"/>
  <c r="A344" i="13" s="1"/>
  <c r="A345" i="13" s="1"/>
  <c r="A346" i="13" s="1"/>
  <c r="A347" i="13" s="1"/>
  <c r="A348" i="13" s="1"/>
  <c r="A349" i="13" s="1"/>
  <c r="A350" i="13" s="1"/>
  <c r="A351" i="13" s="1"/>
  <c r="A352" i="13" s="1"/>
  <c r="A353" i="13" s="1"/>
  <c r="A354" i="13" s="1"/>
  <c r="A355" i="13" s="1"/>
  <c r="A356" i="13" s="1"/>
  <c r="A146" i="7"/>
  <c r="A203" i="20" l="1"/>
  <c r="A206" i="20" s="1"/>
  <c r="A207" i="20" s="1"/>
  <c r="A208" i="20" s="1"/>
  <c r="A209" i="20" s="1"/>
  <c r="A210" i="20" s="1"/>
  <c r="A211" i="20" s="1"/>
  <c r="A212" i="20" s="1"/>
  <c r="A561" i="13"/>
  <c r="A562" i="13" s="1"/>
  <c r="A563" i="13" s="1"/>
  <c r="A564" i="13" s="1"/>
  <c r="A565" i="13" s="1"/>
  <c r="A566" i="13" s="1"/>
  <c r="A567" i="13" s="1"/>
  <c r="A568" i="13" s="1"/>
  <c r="A569" i="13" s="1"/>
  <c r="A570" i="13" s="1"/>
  <c r="A571" i="13" s="1"/>
  <c r="A572" i="13" s="1"/>
  <c r="A147" i="7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357" i="13"/>
  <c r="A358" i="13" s="1"/>
  <c r="A359" i="13" s="1"/>
  <c r="A360" i="13" s="1"/>
  <c r="A361" i="13" s="1"/>
  <c r="A362" i="13" s="1"/>
  <c r="A363" i="13" s="1"/>
  <c r="A364" i="13" s="1"/>
  <c r="A365" i="13" s="1"/>
  <c r="A366" i="13" s="1"/>
  <c r="A213" i="20" l="1"/>
  <c r="A214" i="20" s="1"/>
  <c r="A215" i="20" s="1"/>
  <c r="A182" i="21"/>
  <c r="A183" i="21" s="1"/>
  <c r="A367" i="13"/>
  <c r="A368" i="13" s="1"/>
  <c r="A369" i="13" s="1"/>
  <c r="A370" i="13" s="1"/>
  <c r="A371" i="13" s="1"/>
  <c r="A372" i="13" s="1"/>
  <c r="A373" i="13" s="1"/>
  <c r="A374" i="13" s="1"/>
  <c r="A573" i="13"/>
  <c r="A574" i="13" l="1"/>
  <c r="A575" i="13" s="1"/>
  <c r="A576" i="13" s="1"/>
  <c r="A577" i="13" s="1"/>
  <c r="A578" i="13" s="1"/>
  <c r="A579" i="13" s="1"/>
  <c r="A580" i="13" s="1"/>
  <c r="A581" i="13" s="1"/>
  <c r="A582" i="13" s="1"/>
  <c r="A583" i="13" s="1"/>
  <c r="A584" i="13" s="1"/>
  <c r="A585" i="13" s="1"/>
  <c r="A586" i="13" s="1"/>
  <c r="A587" i="13" s="1"/>
  <c r="A588" i="13" s="1"/>
  <c r="A589" i="13" s="1"/>
  <c r="A590" i="13" s="1"/>
  <c r="A591" i="13" s="1"/>
  <c r="A592" i="13" s="1"/>
  <c r="A593" i="13" s="1"/>
  <c r="A594" i="13" s="1"/>
  <c r="A595" i="13" s="1"/>
  <c r="A596" i="13" s="1"/>
  <c r="A597" i="13" s="1"/>
  <c r="A598" i="13" s="1"/>
  <c r="A599" i="13" s="1"/>
  <c r="A600" i="13" s="1"/>
  <c r="A601" i="13" s="1"/>
  <c r="A602" i="13" s="1"/>
  <c r="A603" i="13" s="1"/>
  <c r="A604" i="13" s="1"/>
  <c r="A605" i="13" s="1"/>
  <c r="A606" i="13" s="1"/>
  <c r="A607" i="13" s="1"/>
  <c r="A608" i="13" s="1"/>
  <c r="A609" i="13" s="1"/>
  <c r="A610" i="13" s="1"/>
  <c r="A611" i="13" s="1"/>
  <c r="A612" i="13" s="1"/>
  <c r="A613" i="13" s="1"/>
  <c r="A614" i="13" s="1"/>
  <c r="A615" i="13" s="1"/>
  <c r="A618" i="13" s="1"/>
  <c r="A619" i="13" s="1"/>
  <c r="A620" i="13" s="1"/>
  <c r="A621" i="13" s="1"/>
  <c r="A622" i="13" s="1"/>
  <c r="A623" i="13" s="1"/>
  <c r="A624" i="13" s="1"/>
  <c r="A625" i="13" s="1"/>
  <c r="A626" i="13" s="1"/>
  <c r="A627" i="13" s="1"/>
  <c r="A628" i="13" s="1"/>
  <c r="A629" i="13" s="1"/>
  <c r="A630" i="13" s="1"/>
  <c r="A631" i="13" s="1"/>
  <c r="A632" i="13" s="1"/>
  <c r="A633" i="13" s="1"/>
  <c r="A634" i="13" s="1"/>
  <c r="A635" i="13" s="1"/>
  <c r="A636" i="13" s="1"/>
  <c r="A637" i="13" s="1"/>
  <c r="A638" i="13" s="1"/>
  <c r="A216" i="20"/>
  <c r="A217" i="20" s="1"/>
  <c r="A375" i="13"/>
  <c r="A376" i="13" s="1"/>
  <c r="A377" i="13" s="1"/>
  <c r="A184" i="21"/>
  <c r="A639" i="13" l="1"/>
  <c r="A640" i="13" s="1"/>
  <c r="A641" i="13" s="1"/>
  <c r="A642" i="13" s="1"/>
  <c r="A643" i="13" s="1"/>
  <c r="A644" i="13" s="1"/>
  <c r="A645" i="13" s="1"/>
  <c r="A646" i="13" s="1"/>
  <c r="A647" i="13" s="1"/>
  <c r="A648" i="13" s="1"/>
  <c r="A649" i="13" s="1"/>
  <c r="A650" i="13" s="1"/>
  <c r="A651" i="13" s="1"/>
  <c r="A652" i="13" s="1"/>
  <c r="A653" i="13" s="1"/>
  <c r="A654" i="13" s="1"/>
  <c r="A655" i="13" s="1"/>
  <c r="A656" i="13" s="1"/>
  <c r="A657" i="13" s="1"/>
  <c r="A658" i="13" s="1"/>
  <c r="A659" i="13" s="1"/>
  <c r="A660" i="13" s="1"/>
  <c r="A661" i="13" s="1"/>
  <c r="A662" i="13" s="1"/>
  <c r="A663" i="13" s="1"/>
  <c r="A664" i="13" s="1"/>
  <c r="A665" i="13" s="1"/>
  <c r="A666" i="13" s="1"/>
  <c r="A667" i="13" s="1"/>
  <c r="A668" i="13" s="1"/>
  <c r="A669" i="13" s="1"/>
  <c r="A670" i="13" s="1"/>
  <c r="A671" i="13" s="1"/>
  <c r="A672" i="13" s="1"/>
  <c r="A673" i="13" s="1"/>
  <c r="A674" i="13" s="1"/>
  <c r="A675" i="13" s="1"/>
  <c r="A676" i="13" s="1"/>
  <c r="A677" i="13" s="1"/>
  <c r="A678" i="13" s="1"/>
  <c r="A679" i="13" s="1"/>
  <c r="A680" i="13" s="1"/>
  <c r="A681" i="13" s="1"/>
  <c r="A682" i="13" s="1"/>
  <c r="A683" i="13" s="1"/>
  <c r="A684" i="13" s="1"/>
  <c r="A685" i="13" s="1"/>
  <c r="A686" i="13" s="1"/>
  <c r="A687" i="13" s="1"/>
  <c r="A688" i="13" s="1"/>
  <c r="A689" i="13" s="1"/>
  <c r="A218" i="20"/>
  <c r="A219" i="20" s="1"/>
  <c r="A220" i="20" s="1"/>
  <c r="A221" i="20" s="1"/>
  <c r="A222" i="20" s="1"/>
  <c r="A223" i="20" s="1"/>
  <c r="A224" i="20" s="1"/>
  <c r="A225" i="20" s="1"/>
  <c r="A226" i="20" s="1"/>
  <c r="A227" i="20" s="1"/>
  <c r="A228" i="20" s="1"/>
  <c r="A229" i="20" s="1"/>
  <c r="A230" i="20" s="1"/>
  <c r="A231" i="20" s="1"/>
  <c r="A232" i="20" s="1"/>
  <c r="A233" i="20" s="1"/>
  <c r="A234" i="20" s="1"/>
  <c r="A235" i="20" s="1"/>
  <c r="A236" i="20" s="1"/>
  <c r="A237" i="20" s="1"/>
  <c r="A238" i="20" s="1"/>
  <c r="A239" i="20" s="1"/>
  <c r="A240" i="20" s="1"/>
  <c r="A241" i="20" s="1"/>
  <c r="A242" i="20" s="1"/>
  <c r="A243" i="20" s="1"/>
  <c r="A244" i="20" s="1"/>
  <c r="A245" i="20" s="1"/>
  <c r="A246" i="20" s="1"/>
  <c r="A247" i="20" s="1"/>
  <c r="A248" i="20" s="1"/>
  <c r="A378" i="13"/>
  <c r="A379" i="13" s="1"/>
  <c r="A380" i="13" s="1"/>
  <c r="A381" i="13" s="1"/>
  <c r="A382" i="13" s="1"/>
  <c r="A383" i="13" s="1"/>
  <c r="A384" i="13" s="1"/>
  <c r="A385" i="13" s="1"/>
  <c r="A386" i="13" s="1"/>
  <c r="A387" i="13" s="1"/>
  <c r="A388" i="13" s="1"/>
  <c r="A389" i="13" s="1"/>
  <c r="A390" i="13" s="1"/>
  <c r="A185" i="21"/>
  <c r="A186" i="21" s="1"/>
  <c r="A187" i="21" s="1"/>
  <c r="A188" i="21" s="1"/>
  <c r="A249" i="20" l="1"/>
  <c r="A250" i="20" s="1"/>
  <c r="A251" i="20" s="1"/>
  <c r="A252" i="20" s="1"/>
  <c r="A253" i="20" s="1"/>
  <c r="A254" i="20" s="1"/>
  <c r="A255" i="20" s="1"/>
  <c r="A256" i="20" s="1"/>
  <c r="A257" i="20" s="1"/>
  <c r="A258" i="20" s="1"/>
  <c r="A259" i="20" s="1"/>
  <c r="A260" i="20" s="1"/>
  <c r="A690" i="13"/>
  <c r="A691" i="13" s="1"/>
  <c r="A692" i="13" s="1"/>
  <c r="A693" i="13" s="1"/>
  <c r="A694" i="13" s="1"/>
  <c r="A695" i="13" s="1"/>
  <c r="A696" i="13" s="1"/>
  <c r="A697" i="13" s="1"/>
  <c r="A698" i="13" s="1"/>
  <c r="A699" i="13" s="1"/>
  <c r="A700" i="13" s="1"/>
  <c r="A701" i="13" s="1"/>
  <c r="A702" i="13" s="1"/>
  <c r="A703" i="13" s="1"/>
  <c r="A704" i="13" s="1"/>
  <c r="A705" i="13" s="1"/>
  <c r="A706" i="13" s="1"/>
  <c r="A707" i="13" s="1"/>
  <c r="A708" i="13" s="1"/>
  <c r="A709" i="13" s="1"/>
  <c r="A710" i="13" s="1"/>
  <c r="A711" i="13" s="1"/>
  <c r="A712" i="13" s="1"/>
  <c r="A713" i="13" s="1"/>
  <c r="A714" i="13" s="1"/>
  <c r="A391" i="13"/>
  <c r="A392" i="13" s="1"/>
  <c r="A393" i="13" s="1"/>
  <c r="A394" i="13" s="1"/>
  <c r="A395" i="13" s="1"/>
  <c r="A396" i="13" s="1"/>
  <c r="A397" i="13" s="1"/>
  <c r="A398" i="13" s="1"/>
  <c r="A399" i="13" s="1"/>
  <c r="A261" i="20" l="1"/>
  <c r="A262" i="20" s="1"/>
  <c r="A263" i="20" s="1"/>
  <c r="A264" i="20" s="1"/>
  <c r="A400" i="13"/>
  <c r="A401" i="13" s="1"/>
  <c r="A402" i="13" s="1"/>
  <c r="A265" i="20" l="1"/>
  <c r="A266" i="20" s="1"/>
  <c r="A267" i="20" s="1"/>
  <c r="A268" i="20" s="1"/>
  <c r="A269" i="20" s="1"/>
  <c r="A270" i="20" s="1"/>
  <c r="A271" i="20" s="1"/>
  <c r="A272" i="20" s="1"/>
  <c r="A273" i="20" s="1"/>
  <c r="A274" i="20" s="1"/>
  <c r="A275" i="20" s="1"/>
  <c r="A276" i="20" s="1"/>
  <c r="A277" i="20" s="1"/>
  <c r="A278" i="20" s="1"/>
  <c r="A279" i="20" s="1"/>
  <c r="A280" i="20" s="1"/>
  <c r="A281" i="20" s="1"/>
  <c r="A282" i="20" s="1"/>
  <c r="A283" i="20" s="1"/>
  <c r="A284" i="20" s="1"/>
  <c r="A285" i="20" s="1"/>
  <c r="A286" i="20" s="1"/>
  <c r="A287" i="20" s="1"/>
  <c r="A288" i="20" s="1"/>
  <c r="A289" i="20" s="1"/>
  <c r="A290" i="20" s="1"/>
  <c r="A291" i="20" s="1"/>
  <c r="A292" i="20" s="1"/>
  <c r="A293" i="20" s="1"/>
  <c r="A294" i="20" s="1"/>
  <c r="A295" i="20" s="1"/>
  <c r="A296" i="20" s="1"/>
  <c r="A297" i="20" s="1"/>
  <c r="A298" i="20" s="1"/>
  <c r="A299" i="20" s="1"/>
  <c r="A300" i="20" s="1"/>
  <c r="A301" i="20" s="1"/>
  <c r="A302" i="20" s="1"/>
  <c r="A303" i="20" s="1"/>
  <c r="A304" i="20" s="1"/>
  <c r="A305" i="20" s="1"/>
  <c r="A306" i="20" s="1"/>
  <c r="A307" i="20" s="1"/>
  <c r="A308" i="20" s="1"/>
  <c r="A309" i="20" s="1"/>
  <c r="A310" i="20" s="1"/>
  <c r="A311" i="20" s="1"/>
  <c r="A312" i="20" s="1"/>
  <c r="A313" i="20" s="1"/>
  <c r="A314" i="20" s="1"/>
  <c r="A315" i="20" s="1"/>
  <c r="A316" i="20" s="1"/>
  <c r="A317" i="20" s="1"/>
  <c r="A318" i="20" s="1"/>
  <c r="A319" i="20" s="1"/>
  <c r="A320" i="20" s="1"/>
  <c r="A321" i="20" s="1"/>
  <c r="A322" i="20" s="1"/>
  <c r="A323" i="20" s="1"/>
  <c r="A324" i="20" s="1"/>
  <c r="A325" i="20" s="1"/>
  <c r="A326" i="20" s="1"/>
  <c r="A327" i="20" s="1"/>
  <c r="A328" i="20" s="1"/>
  <c r="A329" i="20" s="1"/>
  <c r="A330" i="20" s="1"/>
  <c r="A331" i="20" s="1"/>
  <c r="A332" i="20" s="1"/>
  <c r="A333" i="20" s="1"/>
  <c r="A334" i="20" s="1"/>
  <c r="A335" i="20" s="1"/>
  <c r="A336" i="20" s="1"/>
  <c r="A337" i="20" s="1"/>
  <c r="A338" i="20" s="1"/>
  <c r="A339" i="20" s="1"/>
  <c r="A340" i="20" s="1"/>
  <c r="A341" i="20" s="1"/>
  <c r="A342" i="20" s="1"/>
  <c r="A343" i="20" s="1"/>
  <c r="A344" i="20" s="1"/>
  <c r="A345" i="20" s="1"/>
  <c r="A346" i="20" s="1"/>
  <c r="A347" i="20" s="1"/>
  <c r="A348" i="20" s="1"/>
  <c r="A349" i="20" s="1"/>
  <c r="A350" i="20" s="1"/>
  <c r="A351" i="20" s="1"/>
  <c r="A352" i="20" s="1"/>
  <c r="A353" i="20" s="1"/>
  <c r="A354" i="20" s="1"/>
  <c r="A355" i="20" s="1"/>
  <c r="A356" i="20" s="1"/>
  <c r="A357" i="20" s="1"/>
  <c r="A358" i="20" s="1"/>
  <c r="A359" i="20" s="1"/>
  <c r="A360" i="20" s="1"/>
  <c r="A361" i="20" s="1"/>
  <c r="A362" i="20" s="1"/>
  <c r="A363" i="20" s="1"/>
  <c r="A364" i="20" s="1"/>
  <c r="A365" i="20" s="1"/>
  <c r="A366" i="20" s="1"/>
  <c r="A367" i="20" s="1"/>
  <c r="A368" i="20" s="1"/>
  <c r="A369" i="20" s="1"/>
  <c r="A370" i="20" s="1"/>
  <c r="A371" i="20" s="1"/>
  <c r="A372" i="20" s="1"/>
  <c r="A373" i="20" s="1"/>
  <c r="A374" i="20" s="1"/>
  <c r="A375" i="20" s="1"/>
  <c r="A376" i="20" s="1"/>
  <c r="A377" i="20" s="1"/>
  <c r="A378" i="20" s="1"/>
  <c r="A379" i="20" s="1"/>
  <c r="A380" i="20" s="1"/>
  <c r="A381" i="20" s="1"/>
  <c r="A382" i="20" s="1"/>
  <c r="A383" i="20" s="1"/>
  <c r="A384" i="20" s="1"/>
  <c r="A385" i="20" s="1"/>
  <c r="A386" i="20" s="1"/>
  <c r="A387" i="20" s="1"/>
  <c r="A388" i="20" s="1"/>
  <c r="A389" i="20" s="1"/>
  <c r="A390" i="20" s="1"/>
  <c r="A391" i="20" s="1"/>
  <c r="A392" i="20" s="1"/>
  <c r="A393" i="20" s="1"/>
  <c r="A394" i="20" s="1"/>
  <c r="A395" i="20" s="1"/>
  <c r="A396" i="20" s="1"/>
  <c r="A397" i="20" s="1"/>
  <c r="A398" i="20" s="1"/>
  <c r="A399" i="20" s="1"/>
  <c r="A400" i="20" s="1"/>
  <c r="A401" i="20" s="1"/>
  <c r="A402" i="20" s="1"/>
  <c r="A403" i="20" s="1"/>
  <c r="A404" i="20" s="1"/>
  <c r="A405" i="20" s="1"/>
  <c r="A406" i="20" s="1"/>
  <c r="A407" i="20" s="1"/>
  <c r="A408" i="20" s="1"/>
  <c r="A409" i="20" s="1"/>
  <c r="A410" i="20" s="1"/>
  <c r="A411" i="20" s="1"/>
  <c r="A412" i="20" s="1"/>
  <c r="A413" i="20" s="1"/>
  <c r="A414" i="20" s="1"/>
  <c r="A189" i="21"/>
  <c r="A190" i="21" s="1"/>
  <c r="A191" i="21" s="1"/>
  <c r="A415" i="20" l="1"/>
  <c r="A416" i="20" s="1"/>
  <c r="A417" i="20" s="1"/>
  <c r="A418" i="20" s="1"/>
  <c r="A419" i="20" s="1"/>
  <c r="A420" i="20" s="1"/>
  <c r="A421" i="20" s="1"/>
  <c r="A422" i="20" s="1"/>
  <c r="A423" i="20" s="1"/>
  <c r="A424" i="20" s="1"/>
  <c r="A425" i="20" s="1"/>
  <c r="A426" i="20" s="1"/>
  <c r="A427" i="20" s="1"/>
  <c r="A428" i="20" s="1"/>
  <c r="A429" i="20" s="1"/>
  <c r="A430" i="20" s="1"/>
  <c r="A431" i="20" s="1"/>
  <c r="A432" i="20" s="1"/>
  <c r="A433" i="20" s="1"/>
  <c r="A434" i="20" s="1"/>
  <c r="A435" i="20" s="1"/>
  <c r="A436" i="20" s="1"/>
  <c r="A437" i="20" s="1"/>
  <c r="A438" i="20" s="1"/>
  <c r="A439" i="20" s="1"/>
  <c r="A440" i="20" s="1"/>
  <c r="A441" i="20" s="1"/>
  <c r="A442" i="20" s="1"/>
  <c r="A443" i="20" s="1"/>
  <c r="A444" i="20" s="1"/>
  <c r="A445" i="20" s="1"/>
  <c r="A446" i="20" s="1"/>
  <c r="A447" i="20" s="1"/>
  <c r="A448" i="20" s="1"/>
  <c r="A449" i="20" s="1"/>
  <c r="A450" i="20" s="1"/>
  <c r="A451" i="20" s="1"/>
  <c r="A452" i="20" s="1"/>
  <c r="A453" i="20" s="1"/>
  <c r="A454" i="20" s="1"/>
  <c r="A455" i="20" s="1"/>
  <c r="A456" i="20" s="1"/>
  <c r="A457" i="20" s="1"/>
  <c r="A458" i="20" s="1"/>
  <c r="A459" i="20" s="1"/>
  <c r="A460" i="20" s="1"/>
  <c r="A461" i="20" s="1"/>
  <c r="A462" i="20" s="1"/>
  <c r="A463" i="20" s="1"/>
  <c r="A464" i="20" s="1"/>
  <c r="A465" i="20" s="1"/>
  <c r="A466" i="20" s="1"/>
  <c r="A467" i="20" s="1"/>
  <c r="A468" i="20" s="1"/>
  <c r="A469" i="20" s="1"/>
  <c r="A192" i="21"/>
  <c r="A193" i="21" s="1"/>
  <c r="A194" i="21" s="1"/>
  <c r="A195" i="21" s="1"/>
  <c r="A196" i="21" l="1"/>
  <c r="A199" i="21" s="1"/>
  <c r="A201" i="21" s="1"/>
  <c r="A203" i="21" s="1"/>
  <c r="A205" i="21" s="1"/>
  <c r="A207" i="21" s="1"/>
  <c r="A200" i="21" l="1"/>
  <c r="A202" i="21" s="1"/>
  <c r="A204" i="21" s="1"/>
  <c r="A206" i="21" s="1"/>
  <c r="A208" i="21" s="1"/>
  <c r="A209" i="21" s="1"/>
  <c r="A210" i="21" s="1"/>
  <c r="A211" i="21" s="1"/>
  <c r="A212" i="21" s="1"/>
  <c r="A213" i="21" s="1"/>
  <c r="A3" i="6"/>
  <c r="A4" i="6" s="1"/>
  <c r="A5" i="6" s="1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" i="10"/>
  <c r="A4" i="10" s="1"/>
  <c r="A5" i="10" s="1"/>
  <c r="A6" i="10" s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l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62" i="10" s="1"/>
  <c r="A63" i="10" s="1"/>
  <c r="A64" i="10" s="1"/>
  <c r="A65" i="10" s="1"/>
  <c r="A66" i="10" s="1"/>
  <c r="A67" i="10" s="1"/>
  <c r="A68" i="10" s="1"/>
  <c r="A69" i="10" s="1"/>
  <c r="A70" i="10" s="1"/>
  <c r="A71" i="10" s="1"/>
  <c r="A72" i="10" s="1"/>
  <c r="A73" i="10" s="1"/>
  <c r="A74" i="10" s="1"/>
  <c r="A75" i="10" s="1"/>
  <c r="A76" i="10" s="1"/>
  <c r="A77" i="10" s="1"/>
  <c r="A78" i="10" s="1"/>
  <c r="A79" i="10" s="1"/>
  <c r="A80" i="10" s="1"/>
  <c r="A81" i="10" s="1"/>
  <c r="A82" i="10" s="1"/>
  <c r="A83" i="10" s="1"/>
  <c r="A84" i="10" s="1"/>
  <c r="A85" i="10" s="1"/>
  <c r="A86" i="10" s="1"/>
  <c r="A87" i="10" s="1"/>
  <c r="A88" i="10" s="1"/>
  <c r="A89" i="10" s="1"/>
  <c r="A90" i="10" s="1"/>
  <c r="A91" i="10" s="1"/>
  <c r="A92" i="10" s="1"/>
  <c r="A93" i="10" s="1"/>
  <c r="A94" i="10" s="1"/>
  <c r="A95" i="10" s="1"/>
  <c r="A96" i="10" s="1"/>
  <c r="A97" i="10" s="1"/>
  <c r="A98" i="10" s="1"/>
  <c r="A99" i="10" s="1"/>
  <c r="A100" i="10" s="1"/>
  <c r="A101" i="10" s="1"/>
  <c r="A102" i="10" s="1"/>
  <c r="A103" i="10" s="1"/>
  <c r="A104" i="10" s="1"/>
  <c r="A105" i="10" s="1"/>
  <c r="A106" i="10" s="1"/>
  <c r="A107" i="10" s="1"/>
  <c r="A108" i="10" s="1"/>
  <c r="A37" i="6"/>
  <c r="A38" i="6" s="1"/>
  <c r="A39" i="6" s="1"/>
  <c r="A40" i="6" s="1"/>
  <c r="A41" i="6" s="1"/>
  <c r="A42" i="6" s="1"/>
  <c r="A43" i="6" s="1"/>
  <c r="A44" i="6" s="1"/>
  <c r="A217" i="21"/>
  <c r="A218" i="21" s="1"/>
  <c r="A219" i="21" s="1"/>
  <c r="A220" i="21" s="1"/>
  <c r="A214" i="21"/>
  <c r="A215" i="21" s="1"/>
  <c r="A216" i="21" s="1"/>
  <c r="A19" i="18"/>
  <c r="A20" i="18" s="1"/>
  <c r="A21" i="18" s="1"/>
  <c r="A22" i="18" s="1"/>
  <c r="A45" i="6" l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23" i="18"/>
  <c r="A24" i="18" s="1"/>
  <c r="A25" i="18" s="1"/>
  <c r="A26" i="18" s="1"/>
  <c r="A27" i="18" s="1"/>
  <c r="A28" i="18" s="1"/>
  <c r="A29" i="18" s="1"/>
  <c r="A30" i="18" s="1"/>
  <c r="A31" i="18" s="1"/>
  <c r="A32" i="18" l="1"/>
  <c r="A33" i="18" s="1"/>
  <c r="A34" i="18" s="1"/>
  <c r="A35" i="18" s="1"/>
  <c r="A36" i="18" s="1"/>
  <c r="A72" i="6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37" i="18" l="1"/>
  <c r="A38" i="18" s="1"/>
  <c r="A39" i="18" s="1"/>
  <c r="A40" i="18" s="1"/>
  <c r="A92" i="6"/>
  <c r="A41" i="18" l="1"/>
  <c r="A42" i="18" s="1"/>
  <c r="A93" i="6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A110" i="6" s="1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A129" i="6" s="1"/>
  <c r="A130" i="6" s="1"/>
  <c r="A131" i="6" s="1"/>
  <c r="A132" i="6" s="1"/>
  <c r="A133" i="6" s="1"/>
  <c r="A134" i="6" s="1"/>
  <c r="A135" i="6" s="1"/>
  <c r="A136" i="6" s="1"/>
  <c r="A137" i="6" s="1"/>
  <c r="A138" i="6" s="1"/>
  <c r="A139" i="6" s="1"/>
  <c r="A140" i="6" s="1"/>
  <c r="A141" i="6" s="1"/>
  <c r="A142" i="6" s="1"/>
  <c r="A43" i="18" l="1"/>
  <c r="A44" i="18" s="1"/>
  <c r="A45" i="18" s="1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143" i="6"/>
  <c r="A144" i="6" s="1"/>
  <c r="A145" i="6" s="1"/>
  <c r="A146" i="6" s="1"/>
  <c r="A147" i="6" s="1"/>
  <c r="A148" i="6" s="1"/>
  <c r="A149" i="6" s="1"/>
  <c r="A150" i="6" s="1"/>
  <c r="A151" i="6" s="1"/>
  <c r="A152" i="6" s="1"/>
  <c r="A153" i="6" s="1"/>
  <c r="A154" i="6" s="1"/>
  <c r="A155" i="6" s="1"/>
  <c r="A156" i="6" s="1"/>
  <c r="A157" i="6" s="1"/>
  <c r="A158" i="6" s="1"/>
  <c r="A75" i="18" l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59" i="6"/>
  <c r="A160" i="6" s="1"/>
  <c r="A161" i="6" s="1"/>
  <c r="A162" i="6" s="1"/>
  <c r="A163" i="6" s="1"/>
  <c r="A164" i="6" s="1"/>
  <c r="A165" i="6" s="1"/>
  <c r="A166" i="6" s="1"/>
  <c r="A167" i="6" s="1"/>
  <c r="A168" i="6" s="1"/>
  <c r="A169" i="6" s="1"/>
  <c r="A170" i="6" s="1"/>
  <c r="A171" i="6" s="1"/>
  <c r="A172" i="6" s="1"/>
  <c r="A173" i="6" s="1"/>
  <c r="A174" i="6" s="1"/>
  <c r="A175" i="6" s="1"/>
  <c r="A176" i="6" s="1"/>
  <c r="A177" i="6" s="1"/>
  <c r="A178" i="6" s="1"/>
  <c r="A179" i="6" s="1"/>
  <c r="A118" i="18" l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80" i="6"/>
  <c r="A181" i="6" s="1"/>
  <c r="A182" i="6" s="1"/>
  <c r="A183" i="6" s="1"/>
  <c r="A184" i="6" s="1"/>
  <c r="A185" i="6" s="1"/>
  <c r="A186" i="6" s="1"/>
  <c r="A187" i="6" s="1"/>
  <c r="A188" i="6" s="1"/>
  <c r="A189" i="6" s="1"/>
  <c r="A190" i="6" s="1"/>
  <c r="A191" i="6" s="1"/>
  <c r="A192" i="6" l="1"/>
  <c r="A193" i="6" s="1"/>
  <c r="A194" i="6" s="1"/>
  <c r="A195" i="6" s="1"/>
  <c r="A196" i="6" s="1"/>
  <c r="A197" i="6" s="1"/>
  <c r="A198" i="6" s="1"/>
  <c r="A199" i="6" s="1"/>
  <c r="A200" i="6" s="1"/>
  <c r="A201" i="6" s="1"/>
  <c r="A202" i="6" s="1"/>
  <c r="A203" i="6" s="1"/>
  <c r="A204" i="6" s="1"/>
  <c r="A205" i="6" s="1"/>
  <c r="A206" i="6" s="1"/>
  <c r="A207" i="6" s="1"/>
  <c r="A208" i="6" s="1"/>
  <c r="A209" i="6" s="1"/>
  <c r="A210" i="6" s="1"/>
  <c r="A211" i="6" s="1"/>
  <c r="A212" i="6" s="1"/>
  <c r="A213" i="6" s="1"/>
  <c r="A214" i="6" s="1"/>
  <c r="A215" i="6" s="1"/>
  <c r="A216" i="6" s="1"/>
  <c r="A217" i="6" s="1"/>
  <c r="A218" i="6" s="1"/>
  <c r="A219" i="6" s="1"/>
  <c r="A220" i="6" s="1"/>
  <c r="A221" i="6" s="1"/>
  <c r="A222" i="6" s="1"/>
  <c r="A223" i="6" s="1"/>
  <c r="A224" i="6" s="1"/>
  <c r="A225" i="6" s="1"/>
  <c r="A226" i="6" s="1"/>
  <c r="A227" i="6" s="1"/>
  <c r="A228" i="6" s="1"/>
  <c r="A229" i="6" s="1"/>
  <c r="A230" i="6" s="1"/>
  <c r="A231" i="6" s="1"/>
  <c r="A232" i="6" s="1"/>
  <c r="A233" i="6" s="1"/>
  <c r="A234" i="6" s="1"/>
  <c r="A235" i="6" s="1"/>
  <c r="A236" i="6" s="1"/>
  <c r="A237" i="6" s="1"/>
  <c r="A238" i="6" s="1"/>
  <c r="A239" i="6" s="1"/>
  <c r="A240" i="6" s="1"/>
  <c r="A241" i="6" s="1"/>
  <c r="A242" i="6" s="1"/>
  <c r="A243" i="6" s="1"/>
  <c r="A244" i="6" s="1"/>
  <c r="A245" i="6" s="1"/>
  <c r="A246" i="6" s="1"/>
  <c r="A247" i="6" s="1"/>
  <c r="A248" i="6" s="1"/>
  <c r="A249" i="6" s="1"/>
  <c r="A250" i="6" s="1"/>
  <c r="A251" i="6" s="1"/>
  <c r="A252" i="6" s="1"/>
  <c r="A253" i="6" s="1"/>
  <c r="A254" i="6" s="1"/>
  <c r="A255" i="6" s="1"/>
  <c r="A256" i="6" s="1"/>
  <c r="A257" i="6" s="1"/>
  <c r="A258" i="6" s="1"/>
  <c r="A259" i="6" s="1"/>
  <c r="A260" i="6" s="1"/>
  <c r="A261" i="6" s="1"/>
  <c r="A262" i="6" s="1"/>
  <c r="A263" i="6" s="1"/>
  <c r="A264" i="6" s="1"/>
  <c r="A265" i="6" s="1"/>
  <c r="A266" i="6" s="1"/>
  <c r="A267" i="6" s="1"/>
  <c r="A268" i="6" s="1"/>
  <c r="A269" i="6" s="1"/>
  <c r="A270" i="6" s="1"/>
  <c r="A271" i="6" s="1"/>
  <c r="A272" i="6" s="1"/>
  <c r="A273" i="6" s="1"/>
  <c r="A274" i="6" s="1"/>
  <c r="A275" i="6" s="1"/>
  <c r="A276" i="6" s="1"/>
  <c r="A277" i="6" s="1"/>
  <c r="A278" i="6" s="1"/>
  <c r="A279" i="6" s="1"/>
  <c r="A280" i="6" s="1"/>
  <c r="A281" i="6" s="1"/>
  <c r="A282" i="6" s="1"/>
  <c r="A283" i="6" s="1"/>
  <c r="A284" i="6" s="1"/>
  <c r="A285" i="6" s="1"/>
  <c r="A286" i="6" s="1"/>
  <c r="A287" i="6" s="1"/>
  <c r="A288" i="6" s="1"/>
  <c r="A289" i="6" s="1"/>
  <c r="A290" i="6" s="1"/>
  <c r="A291" i="6" s="1"/>
  <c r="A292" i="6" s="1"/>
  <c r="A293" i="6" s="1"/>
  <c r="A294" i="6" s="1"/>
  <c r="A295" i="6" s="1"/>
  <c r="A296" i="6" s="1"/>
  <c r="A297" i="6" s="1"/>
  <c r="A298" i="6" s="1"/>
  <c r="A299" i="6" s="1"/>
  <c r="A300" i="6" s="1"/>
  <c r="A301" i="6" s="1"/>
  <c r="A302" i="6" s="1"/>
  <c r="A303" i="6" s="1"/>
  <c r="A304" i="6" s="1"/>
  <c r="A305" i="6" s="1"/>
  <c r="A306" i="6" s="1"/>
  <c r="A307" i="6" s="1"/>
  <c r="A308" i="6" s="1"/>
  <c r="A309" i="6" s="1"/>
  <c r="A310" i="6" s="1"/>
  <c r="A311" i="6" s="1"/>
  <c r="A312" i="6" s="1"/>
  <c r="A313" i="6" s="1"/>
  <c r="A314" i="6" s="1"/>
  <c r="A315" i="6" s="1"/>
  <c r="A316" i="6" s="1"/>
  <c r="A317" i="6" s="1"/>
  <c r="A141" i="18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A168" i="18" l="1"/>
  <c r="A169" i="18" s="1"/>
  <c r="A170" i="18" s="1"/>
  <c r="A171" i="18" s="1"/>
  <c r="A172" i="18" s="1"/>
  <c r="A173" i="18" s="1"/>
  <c r="A174" i="18" s="1"/>
  <c r="A175" i="18" s="1"/>
  <c r="A176" i="18" s="1"/>
  <c r="A177" i="18" s="1"/>
  <c r="A178" i="18" s="1"/>
  <c r="A179" i="18" s="1"/>
  <c r="A180" i="18" s="1"/>
  <c r="A181" i="18" s="1"/>
  <c r="A182" i="18" s="1"/>
  <c r="A183" i="18" s="1"/>
  <c r="A184" i="18" s="1"/>
  <c r="A185" i="18" s="1"/>
  <c r="A186" i="18" s="1"/>
  <c r="A187" i="18" s="1"/>
  <c r="A188" i="18" s="1"/>
  <c r="A189" i="18" s="1"/>
  <c r="A190" i="18" s="1"/>
  <c r="A191" i="18" s="1"/>
  <c r="A192" i="18" s="1"/>
  <c r="A193" i="18" s="1"/>
  <c r="A194" i="18" s="1"/>
  <c r="A195" i="18" s="1"/>
  <c r="A196" i="18" s="1"/>
  <c r="A197" i="18" s="1"/>
  <c r="A198" i="18" s="1"/>
  <c r="A199" i="18" s="1"/>
  <c r="A200" i="18" s="1"/>
  <c r="A201" i="18" s="1"/>
  <c r="A202" i="18" s="1"/>
  <c r="A203" i="18" s="1"/>
  <c r="A318" i="6"/>
  <c r="A319" i="6" s="1"/>
  <c r="A320" i="6" s="1"/>
  <c r="A321" i="6" s="1"/>
  <c r="A322" i="6" s="1"/>
  <c r="A323" i="6" s="1"/>
  <c r="A324" i="6" s="1"/>
  <c r="A325" i="6" s="1"/>
  <c r="A326" i="6" s="1"/>
  <c r="A327" i="6" s="1"/>
  <c r="A328" i="6" s="1"/>
  <c r="A329" i="6" s="1"/>
  <c r="A330" i="6" s="1"/>
  <c r="A204" i="18" l="1"/>
  <c r="A205" i="18" s="1"/>
  <c r="A206" i="18" s="1"/>
  <c r="A207" i="18" s="1"/>
  <c r="A208" i="18" s="1"/>
  <c r="A209" i="18" s="1"/>
  <c r="A210" i="18" s="1"/>
  <c r="A211" i="18" s="1"/>
  <c r="A212" i="18" s="1"/>
  <c r="A213" i="18" s="1"/>
  <c r="A214" i="18" s="1"/>
  <c r="A215" i="18" s="1"/>
  <c r="A216" i="18" s="1"/>
  <c r="A217" i="18" s="1"/>
  <c r="A218" i="18" s="1"/>
  <c r="A219" i="18" s="1"/>
  <c r="A220" i="18" s="1"/>
  <c r="A221" i="18" s="1"/>
  <c r="A222" i="18" s="1"/>
  <c r="A223" i="18" s="1"/>
  <c r="A224" i="18" s="1"/>
  <c r="A225" i="18" s="1"/>
  <c r="A226" i="18" s="1"/>
  <c r="A227" i="18" s="1"/>
  <c r="A228" i="18" s="1"/>
  <c r="A229" i="18" s="1"/>
  <c r="A230" i="18" s="1"/>
  <c r="A231" i="18" s="1"/>
  <c r="A232" i="18" s="1"/>
  <c r="A233" i="18" s="1"/>
  <c r="A234" i="18" s="1"/>
  <c r="A235" i="18" s="1"/>
  <c r="A236" i="18" s="1"/>
  <c r="A237" i="18" s="1"/>
  <c r="A238" i="18" s="1"/>
  <c r="A239" i="18" s="1"/>
  <c r="A240" i="18" s="1"/>
  <c r="A241" i="18" s="1"/>
  <c r="A242" i="18" s="1"/>
  <c r="A243" i="18" s="1"/>
  <c r="A244" i="18" s="1"/>
  <c r="A245" i="18" s="1"/>
  <c r="A246" i="18" s="1"/>
  <c r="A247" i="18" s="1"/>
  <c r="A248" i="18" s="1"/>
  <c r="A249" i="18" s="1"/>
  <c r="A250" i="18" s="1"/>
  <c r="A251" i="18" s="1"/>
  <c r="A252" i="18" s="1"/>
  <c r="A253" i="18" s="1"/>
  <c r="A254" i="18" s="1"/>
  <c r="A255" i="18" s="1"/>
  <c r="A256" i="18" s="1"/>
  <c r="A257" i="18" s="1"/>
  <c r="A258" i="18" s="1"/>
  <c r="A259" i="18" s="1"/>
  <c r="A260" i="18" s="1"/>
  <c r="A261" i="18" s="1"/>
  <c r="A262" i="18" s="1"/>
  <c r="A263" i="18" s="1"/>
  <c r="A264" i="18" s="1"/>
  <c r="A265" i="18" s="1"/>
  <c r="A266" i="18" s="1"/>
  <c r="A267" i="18" s="1"/>
  <c r="A268" i="18" s="1"/>
  <c r="A269" i="18" s="1"/>
  <c r="A270" i="18" s="1"/>
  <c r="A271" i="18" s="1"/>
  <c r="A272" i="18" s="1"/>
  <c r="A273" i="18" s="1"/>
  <c r="A274" i="18" s="1"/>
  <c r="A275" i="18" s="1"/>
  <c r="A276" i="18" s="1"/>
  <c r="A277" i="18" s="1"/>
  <c r="A278" i="18" s="1"/>
  <c r="A279" i="18" s="1"/>
  <c r="A280" i="18" s="1"/>
  <c r="A281" i="18" s="1"/>
  <c r="A282" i="18" s="1"/>
  <c r="A283" i="18" s="1"/>
  <c r="A284" i="18" s="1"/>
  <c r="A285" i="18" s="1"/>
  <c r="A286" i="18" s="1"/>
  <c r="A287" i="18" s="1"/>
  <c r="A288" i="18" s="1"/>
  <c r="A289" i="18" s="1"/>
  <c r="A290" i="18" s="1"/>
  <c r="A291" i="18" s="1"/>
  <c r="A292" i="18" l="1"/>
  <c r="A293" i="18" s="1"/>
  <c r="A294" i="18" s="1"/>
  <c r="A295" i="18" s="1"/>
  <c r="A296" i="18" s="1"/>
  <c r="A297" i="18" s="1"/>
  <c r="A298" i="18" s="1"/>
  <c r="A299" i="18" s="1"/>
  <c r="A300" i="18" s="1"/>
  <c r="A301" i="18" l="1"/>
  <c r="A302" i="18" s="1"/>
  <c r="A303" i="18" s="1"/>
  <c r="A304" i="18" s="1"/>
  <c r="A305" i="18" s="1"/>
  <c r="A306" i="18" s="1"/>
  <c r="A307" i="18" s="1"/>
  <c r="A308" i="18" s="1"/>
  <c r="A309" i="18" s="1"/>
  <c r="A310" i="18" s="1"/>
  <c r="A311" i="18" s="1"/>
  <c r="A312" i="18" s="1"/>
  <c r="A313" i="18" s="1"/>
  <c r="A314" i="18" s="1"/>
  <c r="A315" i="18" s="1"/>
  <c r="A316" i="18" s="1"/>
  <c r="A317" i="18" s="1"/>
  <c r="A318" i="18" s="1"/>
  <c r="A319" i="18" s="1"/>
  <c r="A320" i="18" s="1"/>
  <c r="A321" i="18" s="1"/>
  <c r="A322" i="18" s="1"/>
  <c r="A323" i="18" s="1"/>
  <c r="A324" i="18" s="1"/>
  <c r="A325" i="18" s="1"/>
  <c r="A326" i="18" s="1"/>
  <c r="A327" i="18" s="1"/>
  <c r="A328" i="18" s="1"/>
  <c r="A329" i="18" s="1"/>
  <c r="A330" i="18" s="1"/>
  <c r="A331" i="18" s="1"/>
  <c r="A332" i="18" s="1"/>
  <c r="A333" i="18" s="1"/>
  <c r="A334" i="18" l="1"/>
  <c r="A335" i="18" s="1"/>
  <c r="A336" i="18" s="1"/>
  <c r="A337" i="18" s="1"/>
  <c r="A338" i="18" s="1"/>
  <c r="A339" i="18" s="1"/>
  <c r="A340" i="18" s="1"/>
  <c r="A341" i="18" s="1"/>
  <c r="A342" i="18" s="1"/>
  <c r="A343" i="18" s="1"/>
  <c r="A344" i="18" s="1"/>
  <c r="A345" i="18" s="1"/>
  <c r="A346" i="18" s="1"/>
  <c r="A347" i="18" s="1"/>
  <c r="A348" i="18" s="1"/>
  <c r="A349" i="18" s="1"/>
  <c r="A350" i="18" s="1"/>
  <c r="A351" i="18" s="1"/>
  <c r="A352" i="18" s="1"/>
  <c r="A353" i="18" s="1"/>
  <c r="A354" i="18" s="1"/>
  <c r="A355" i="18" s="1"/>
  <c r="A356" i="18" s="1"/>
  <c r="A357" i="18" s="1"/>
  <c r="A358" i="18" s="1"/>
  <c r="A359" i="18" s="1"/>
  <c r="A360" i="18" s="1"/>
  <c r="A361" i="18" s="1"/>
  <c r="A362" i="18" s="1"/>
  <c r="A363" i="18" s="1"/>
  <c r="A364" i="18" s="1"/>
  <c r="A365" i="18" s="1"/>
  <c r="A368" i="18" s="1"/>
  <c r="A369" i="18" s="1"/>
  <c r="A370" i="18" s="1"/>
  <c r="A371" i="18" s="1"/>
  <c r="A372" i="18" s="1"/>
  <c r="A373" i="18" s="1"/>
  <c r="A374" i="18" s="1"/>
  <c r="A375" i="18" s="1"/>
  <c r="A376" i="18" s="1"/>
  <c r="A377" i="18" s="1"/>
  <c r="A378" i="18" s="1"/>
  <c r="A379" i="18" s="1"/>
  <c r="A380" i="18" s="1"/>
  <c r="A381" i="18" s="1"/>
  <c r="A382" i="18" s="1"/>
  <c r="A383" i="18" s="1"/>
  <c r="A384" i="18" s="1"/>
  <c r="A385" i="18" s="1"/>
  <c r="A386" i="18" s="1"/>
  <c r="A387" i="18" s="1"/>
  <c r="A388" i="18" s="1"/>
  <c r="A389" i="18" s="1"/>
  <c r="A390" i="18" s="1"/>
  <c r="A391" i="18" s="1"/>
  <c r="A392" i="18" s="1"/>
  <c r="A393" i="18" s="1"/>
  <c r="A394" i="18" s="1"/>
  <c r="A395" i="18" s="1"/>
  <c r="A396" i="18" s="1"/>
  <c r="A397" i="18" s="1"/>
  <c r="A398" i="18" s="1"/>
  <c r="A399" i="18" s="1"/>
  <c r="A400" i="18" s="1"/>
  <c r="A401" i="18" s="1"/>
  <c r="A402" i="18" s="1"/>
  <c r="A403" i="18" s="1"/>
  <c r="A404" i="18" s="1"/>
  <c r="A405" i="18" s="1"/>
  <c r="A406" i="18" s="1"/>
  <c r="A407" i="18" s="1"/>
  <c r="A408" i="18" s="1"/>
  <c r="A409" i="18" s="1"/>
  <c r="A410" i="18" s="1"/>
  <c r="A411" i="18" s="1"/>
  <c r="A412" i="18" s="1"/>
  <c r="A413" i="18" s="1"/>
  <c r="A414" i="18" s="1"/>
  <c r="A415" i="18" s="1"/>
  <c r="A416" i="18" s="1"/>
  <c r="A417" i="18" s="1"/>
  <c r="A418" i="18" s="1"/>
  <c r="A419" i="18" s="1"/>
  <c r="A420" i="18" s="1"/>
  <c r="A421" i="18" s="1"/>
  <c r="A422" i="18" s="1"/>
  <c r="A423" i="18" s="1"/>
  <c r="A424" i="18" s="1"/>
  <c r="A425" i="18" s="1"/>
  <c r="A426" i="18" s="1"/>
  <c r="A427" i="18" s="1"/>
  <c r="A428" i="18" s="1"/>
  <c r="A429" i="18" s="1"/>
  <c r="A430" i="18" s="1"/>
  <c r="A431" i="18" s="1"/>
  <c r="A432" i="18" s="1"/>
  <c r="A433" i="18" s="1"/>
  <c r="A434" i="18" s="1"/>
  <c r="A435" i="18" l="1"/>
  <c r="A436" i="18" s="1"/>
  <c r="A437" i="18" s="1"/>
  <c r="A438" i="18" s="1"/>
  <c r="A439" i="18" s="1"/>
  <c r="A440" i="18" s="1"/>
  <c r="A441" i="18" s="1"/>
  <c r="A442" i="18" s="1"/>
  <c r="A443" i="18" s="1"/>
  <c r="A444" i="18" s="1"/>
  <c r="A445" i="18" s="1"/>
  <c r="A446" i="18" s="1"/>
  <c r="A447" i="18" s="1"/>
  <c r="A448" i="18" s="1"/>
  <c r="A449" i="18" s="1"/>
  <c r="A450" i="18" l="1"/>
  <c r="A451" i="18" s="1"/>
  <c r="A452" i="18" s="1"/>
  <c r="A453" i="18" s="1"/>
  <c r="A454" i="18" s="1"/>
  <c r="A455" i="18" s="1"/>
  <c r="A456" i="18" s="1"/>
  <c r="A457" i="18" s="1"/>
  <c r="A458" i="18" s="1"/>
  <c r="A459" i="18" s="1"/>
  <c r="A460" i="18" s="1"/>
  <c r="A461" i="18" s="1"/>
  <c r="A462" i="18" s="1"/>
  <c r="A463" i="18" s="1"/>
  <c r="A464" i="18" s="1"/>
  <c r="A465" i="18" s="1"/>
  <c r="A466" i="18" s="1"/>
  <c r="A467" i="18" s="1"/>
  <c r="A468" i="18" s="1"/>
  <c r="A469" i="18" s="1"/>
  <c r="A470" i="18" s="1"/>
  <c r="A471" i="18" s="1"/>
  <c r="A472" i="18" s="1"/>
  <c r="A473" i="18" s="1"/>
  <c r="A474" i="18" s="1"/>
  <c r="A475" i="18" s="1"/>
  <c r="A476" i="18" s="1"/>
  <c r="A477" i="18" s="1"/>
  <c r="A478" i="18" s="1"/>
  <c r="A479" i="18" s="1"/>
  <c r="A480" i="18" s="1"/>
  <c r="A481" i="18" s="1"/>
  <c r="A482" i="18" s="1"/>
  <c r="A483" i="18" s="1"/>
  <c r="A484" i="18" s="1"/>
  <c r="A485" i="18" s="1"/>
  <c r="A486" i="18" s="1"/>
  <c r="A487" i="18" s="1"/>
  <c r="A488" i="18" s="1"/>
  <c r="A489" i="18" s="1"/>
  <c r="A490" i="18" s="1"/>
  <c r="A491" i="18" s="1"/>
  <c r="A492" i="18" s="1"/>
  <c r="A493" i="18" s="1"/>
  <c r="A494" i="18" s="1"/>
  <c r="A495" i="18" s="1"/>
  <c r="A496" i="18" s="1"/>
  <c r="A497" i="18" s="1"/>
  <c r="A498" i="18" s="1"/>
  <c r="A499" i="18" s="1"/>
  <c r="A500" i="18" s="1"/>
  <c r="A501" i="18" s="1"/>
  <c r="A502" i="18" s="1"/>
  <c r="A503" i="18" s="1"/>
  <c r="A504" i="18" s="1"/>
  <c r="A505" i="18" s="1"/>
  <c r="A506" i="18" s="1"/>
  <c r="A507" i="18" s="1"/>
  <c r="A508" i="18" s="1"/>
  <c r="A509" i="18" s="1"/>
  <c r="A510" i="18" s="1"/>
  <c r="A511" i="18" s="1"/>
  <c r="A512" i="18" s="1"/>
  <c r="A513" i="18" s="1"/>
  <c r="A514" i="18" s="1"/>
  <c r="A515" i="18" s="1"/>
  <c r="A516" i="18" s="1"/>
  <c r="A517" i="18" s="1"/>
  <c r="A518" i="18" s="1"/>
  <c r="A519" i="18" s="1"/>
  <c r="A520" i="18" s="1"/>
  <c r="A521" i="18" l="1"/>
  <c r="A522" i="18" l="1"/>
  <c r="A523" i="18" s="1"/>
  <c r="A524" i="18" s="1"/>
  <c r="A525" i="18" s="1"/>
  <c r="A526" i="18" s="1"/>
  <c r="A527" i="18" s="1"/>
  <c r="A528" i="18" s="1"/>
  <c r="A529" i="18" s="1"/>
  <c r="A530" i="18" s="1"/>
  <c r="A531" i="18" s="1"/>
  <c r="A532" i="18" s="1"/>
  <c r="A533" i="18" s="1"/>
  <c r="A534" i="18" s="1"/>
  <c r="A535" i="18" s="1"/>
  <c r="A536" i="18" s="1"/>
  <c r="A537" i="18" l="1"/>
  <c r="A538" i="18" s="1"/>
  <c r="A539" i="18" s="1"/>
  <c r="A540" i="18" s="1"/>
  <c r="A541" i="18" s="1"/>
  <c r="A542" i="18" s="1"/>
  <c r="A543" i="18" s="1"/>
  <c r="A544" i="18" s="1"/>
  <c r="A545" i="18" s="1"/>
  <c r="A546" i="18" s="1"/>
  <c r="A547" i="18" s="1"/>
  <c r="A548" i="18" s="1"/>
  <c r="A549" i="18" s="1"/>
  <c r="A550" i="18" s="1"/>
  <c r="A551" i="18" s="1"/>
  <c r="A552" i="18" s="1"/>
  <c r="A553" i="18" s="1"/>
  <c r="A554" i="18" s="1"/>
  <c r="A555" i="18" s="1"/>
  <c r="A556" i="18" s="1"/>
  <c r="A557" i="18" s="1"/>
  <c r="A558" i="18" l="1"/>
  <c r="A559" i="18" s="1"/>
  <c r="A560" i="18" s="1"/>
  <c r="A561" i="18" s="1"/>
  <c r="A562" i="18" s="1"/>
  <c r="A563" i="18" s="1"/>
  <c r="A564" i="18" s="1"/>
  <c r="A565" i="18" s="1"/>
  <c r="A566" i="18" s="1"/>
  <c r="A567" i="18" s="1"/>
  <c r="A568" i="18" s="1"/>
  <c r="B100" i="13"/>
  <c r="B648" i="19"/>
  <c r="B499" i="18"/>
  <c r="B87" i="13"/>
  <c r="B593" i="13"/>
  <c r="B13" i="13"/>
  <c r="B12" i="28"/>
  <c r="B136" i="17"/>
  <c r="B278" i="13"/>
  <c r="C4522" i="1"/>
  <c r="C1407" i="1"/>
  <c r="C3612" i="1"/>
  <c r="B536" i="13"/>
  <c r="B190" i="20"/>
  <c r="B13" i="4"/>
  <c r="C85" i="1"/>
  <c r="B185" i="6"/>
  <c r="B94" i="10"/>
  <c r="B9" i="10"/>
  <c r="C4181" i="1"/>
  <c r="C2520" i="1"/>
  <c r="B524" i="13"/>
  <c r="C1631" i="1"/>
  <c r="B609" i="19"/>
  <c r="B173" i="19"/>
  <c r="B409" i="13"/>
  <c r="B723" i="19"/>
  <c r="B47" i="23"/>
  <c r="B161" i="21"/>
  <c r="B391" i="14"/>
  <c r="C406" i="1"/>
  <c r="B28" i="19"/>
  <c r="C2284" i="1"/>
  <c r="B99" i="18"/>
  <c r="B17" i="6"/>
  <c r="B31" i="14"/>
  <c r="B137" i="3"/>
  <c r="B118" i="16"/>
  <c r="B706" i="13"/>
  <c r="B386" i="14"/>
  <c r="B71" i="16"/>
  <c r="C573" i="1"/>
  <c r="C1328" i="1"/>
  <c r="C2071" i="1"/>
  <c r="B90" i="13"/>
  <c r="C1370" i="1"/>
  <c r="B187" i="13"/>
  <c r="C698" i="1"/>
  <c r="B14" i="20"/>
  <c r="C2327" i="1"/>
  <c r="C469" i="1"/>
  <c r="C4102" i="1"/>
  <c r="B243" i="20"/>
  <c r="B14" i="30"/>
  <c r="B66" i="17"/>
  <c r="C3031" i="1"/>
  <c r="C22" i="1"/>
  <c r="B339" i="13"/>
  <c r="B20" i="31"/>
  <c r="B108" i="31"/>
  <c r="B418" i="13"/>
  <c r="B471" i="14"/>
  <c r="C4508" i="1"/>
  <c r="B18" i="26"/>
  <c r="B303" i="19"/>
  <c r="C3631" i="1"/>
  <c r="B348" i="13"/>
  <c r="C2294" i="1"/>
  <c r="B738" i="13"/>
  <c r="B140" i="29"/>
  <c r="B462" i="13"/>
  <c r="C2591" i="1"/>
  <c r="B77" i="19"/>
  <c r="C1060" i="1"/>
  <c r="C4045" i="1"/>
  <c r="C2541" i="1"/>
  <c r="B105" i="13"/>
  <c r="B49" i="17"/>
  <c r="C330" i="1"/>
  <c r="B710" i="19"/>
  <c r="B398" i="20"/>
  <c r="B79" i="29"/>
  <c r="B872" i="13"/>
  <c r="B383" i="13"/>
  <c r="B360" i="20"/>
  <c r="B626" i="14"/>
  <c r="B154" i="16"/>
  <c r="B269" i="14"/>
  <c r="B331" i="13"/>
  <c r="C1917" i="1"/>
  <c r="B62" i="19"/>
  <c r="C4226" i="1"/>
  <c r="B500" i="13"/>
  <c r="C578" i="1"/>
  <c r="B6" i="13"/>
  <c r="B229" i="18"/>
  <c r="B450" i="20"/>
  <c r="B180" i="19"/>
  <c r="B596" i="13"/>
  <c r="B263" i="13"/>
  <c r="B290" i="13"/>
  <c r="B102" i="23"/>
  <c r="C1902" i="1"/>
  <c r="B201" i="6"/>
  <c r="B609" i="13"/>
  <c r="B177" i="6"/>
  <c r="B264" i="13"/>
  <c r="C833" i="1"/>
  <c r="C178" i="1"/>
  <c r="B295" i="18"/>
  <c r="B631" i="13"/>
  <c r="B105" i="18"/>
  <c r="B859" i="13"/>
  <c r="C4443" i="1"/>
  <c r="B425" i="13"/>
  <c r="B8" i="3"/>
  <c r="B306" i="3"/>
  <c r="B14" i="19"/>
  <c r="B342" i="13"/>
  <c r="B132" i="7"/>
  <c r="B2" i="31"/>
  <c r="B34" i="3"/>
  <c r="B66" i="15"/>
  <c r="C2375" i="1"/>
  <c r="B244" i="6"/>
  <c r="B757" i="13"/>
  <c r="B98" i="19"/>
  <c r="B112" i="19"/>
  <c r="B572" i="13"/>
  <c r="C2258" i="1"/>
  <c r="B336" i="13"/>
  <c r="B10" i="21"/>
  <c r="B421" i="18"/>
  <c r="C3133" i="1"/>
  <c r="B61" i="17"/>
  <c r="B177" i="13"/>
  <c r="B554" i="14"/>
  <c r="B391" i="18"/>
  <c r="B268" i="14"/>
  <c r="B370" i="18"/>
  <c r="C3458" i="1"/>
  <c r="C2639" i="1"/>
  <c r="B172" i="6"/>
  <c r="C1976" i="1"/>
  <c r="B873" i="13"/>
  <c r="B385" i="20"/>
  <c r="B212" i="13"/>
  <c r="B63" i="16"/>
  <c r="B524" i="18"/>
  <c r="B57" i="23"/>
  <c r="B309" i="6"/>
  <c r="B85" i="31"/>
  <c r="C1970" i="1"/>
  <c r="C3640" i="1"/>
  <c r="B296" i="6"/>
  <c r="B642" i="19"/>
  <c r="B225" i="13"/>
  <c r="B664" i="13"/>
  <c r="B448" i="18"/>
  <c r="B91" i="13"/>
  <c r="C484" i="1"/>
  <c r="B271" i="18"/>
  <c r="B80" i="6"/>
  <c r="C4134" i="1"/>
  <c r="B78" i="15"/>
  <c r="B696" i="13"/>
  <c r="C1038" i="1"/>
  <c r="C3392" i="1"/>
  <c r="B13" i="3"/>
  <c r="C158" i="1"/>
  <c r="B160" i="3"/>
  <c r="B50" i="13"/>
  <c r="B74" i="18"/>
  <c r="B597" i="14"/>
  <c r="B468" i="13"/>
  <c r="C388" i="1"/>
  <c r="B140" i="16"/>
  <c r="B148" i="13"/>
  <c r="B203" i="21"/>
  <c r="B30" i="29"/>
  <c r="B34" i="18"/>
  <c r="C3947" i="1"/>
  <c r="C1831" i="1"/>
  <c r="B101" i="19"/>
  <c r="C1013" i="1"/>
  <c r="B60" i="13"/>
  <c r="B236" i="19"/>
  <c r="C867" i="1"/>
  <c r="B826" i="13"/>
  <c r="B45" i="10"/>
  <c r="C2217" i="1"/>
  <c r="B78" i="13"/>
  <c r="C124" i="1"/>
  <c r="B531" i="13"/>
  <c r="B17" i="32"/>
  <c r="B160" i="13"/>
  <c r="B23" i="2"/>
  <c r="B144" i="21"/>
  <c r="B647" i="19"/>
  <c r="B428" i="18"/>
  <c r="B148" i="6"/>
  <c r="B286" i="13"/>
  <c r="B175" i="6"/>
  <c r="B130" i="6"/>
  <c r="C1363" i="1"/>
  <c r="C3039" i="1"/>
  <c r="B46" i="2"/>
  <c r="B67" i="31"/>
  <c r="B167" i="19"/>
  <c r="B177" i="29"/>
  <c r="B39" i="20"/>
  <c r="C1863" i="1"/>
  <c r="B346" i="13"/>
  <c r="B82" i="21"/>
  <c r="C3746" i="1"/>
  <c r="C1703" i="1"/>
  <c r="C2037" i="1"/>
  <c r="B444" i="13"/>
  <c r="C2215" i="1"/>
  <c r="B553" i="19"/>
  <c r="B215" i="13"/>
  <c r="C2878" i="1"/>
  <c r="B636" i="13"/>
  <c r="B61" i="10"/>
  <c r="B131" i="3"/>
  <c r="B34" i="7"/>
  <c r="C1101" i="1"/>
  <c r="B679" i="13"/>
  <c r="B788" i="13"/>
  <c r="B307" i="19"/>
  <c r="C2253" i="1"/>
  <c r="C3438" i="1"/>
  <c r="B237" i="3"/>
  <c r="B112" i="15"/>
  <c r="C1663" i="1"/>
  <c r="C2837" i="1"/>
  <c r="B478" i="13"/>
  <c r="C2804" i="1"/>
  <c r="C3492" i="1"/>
  <c r="C3462" i="1"/>
  <c r="B51" i="13"/>
  <c r="B4" i="13"/>
  <c r="B54" i="31"/>
  <c r="B722" i="13"/>
  <c r="C1214" i="1"/>
  <c r="B48" i="20"/>
  <c r="B65" i="16"/>
  <c r="C977" i="1"/>
  <c r="C2486" i="1"/>
  <c r="B61" i="2"/>
  <c r="B278" i="18"/>
  <c r="B295" i="13"/>
  <c r="B275" i="13"/>
  <c r="C2471" i="1"/>
  <c r="C1723" i="1"/>
  <c r="B255" i="3"/>
  <c r="C3205" i="1"/>
  <c r="C4426" i="1"/>
  <c r="C2022" i="1"/>
  <c r="B630" i="13"/>
  <c r="C4194" i="1"/>
  <c r="B138" i="10"/>
  <c r="C1667" i="1"/>
  <c r="C2988" i="1"/>
  <c r="B503" i="18"/>
  <c r="B220" i="16"/>
  <c r="B131" i="18"/>
  <c r="B176" i="29"/>
  <c r="B323" i="20"/>
  <c r="B131" i="6"/>
  <c r="B416" i="13"/>
  <c r="B26" i="26"/>
  <c r="B742" i="13"/>
  <c r="B29" i="6"/>
  <c r="B585" i="13"/>
  <c r="B219" i="13"/>
  <c r="C3305" i="1"/>
  <c r="B410" i="13"/>
  <c r="C527" i="1"/>
  <c r="C2961" i="1"/>
  <c r="B41" i="20"/>
  <c r="B65" i="7"/>
  <c r="B317" i="20"/>
  <c r="C1056" i="1"/>
  <c r="B102" i="20"/>
  <c r="C198" i="1"/>
  <c r="B80" i="31"/>
  <c r="C2888" i="1"/>
  <c r="B5" i="20"/>
  <c r="B159" i="20"/>
  <c r="B6" i="6"/>
  <c r="B19" i="26"/>
  <c r="C1526" i="1"/>
  <c r="B5" i="13"/>
  <c r="B113" i="6"/>
  <c r="B180" i="7"/>
  <c r="B461" i="19"/>
  <c r="B414" i="13"/>
  <c r="B174" i="29"/>
  <c r="B669" i="13"/>
  <c r="B97" i="16"/>
  <c r="C4070" i="1"/>
  <c r="B4" i="28"/>
  <c r="B632" i="19"/>
  <c r="C209" i="1"/>
  <c r="B95" i="23"/>
  <c r="B249" i="13"/>
  <c r="C2139" i="1"/>
  <c r="C4399" i="1"/>
  <c r="B2" i="5"/>
  <c r="B134" i="19"/>
  <c r="C93" i="1"/>
  <c r="B2" i="10"/>
  <c r="B558" i="13"/>
  <c r="B512" i="19"/>
  <c r="B656" i="19"/>
  <c r="B73" i="13"/>
  <c r="B556" i="13"/>
  <c r="C4135" i="1"/>
  <c r="B508" i="19"/>
  <c r="B621" i="19"/>
  <c r="C156" i="1"/>
  <c r="B24" i="23"/>
  <c r="B624" i="13"/>
  <c r="C844" i="1"/>
  <c r="B42" i="16"/>
  <c r="B18" i="4"/>
  <c r="B88" i="29"/>
  <c r="B45" i="23"/>
  <c r="B95" i="29"/>
  <c r="B172" i="13"/>
  <c r="C3502" i="1"/>
  <c r="C4202" i="1"/>
  <c r="B174" i="21"/>
  <c r="B764" i="13"/>
  <c r="C1371" i="1"/>
  <c r="B261" i="14"/>
  <c r="B68" i="7"/>
  <c r="B193" i="20"/>
  <c r="C1956" i="1"/>
  <c r="B103" i="19"/>
  <c r="B501" i="19"/>
  <c r="B82" i="19"/>
  <c r="C2782" i="1"/>
  <c r="B121" i="10"/>
  <c r="C2799" i="1"/>
  <c r="B188" i="29"/>
  <c r="B156" i="29"/>
  <c r="B434" i="13"/>
  <c r="B185" i="13"/>
  <c r="C4183" i="1"/>
  <c r="B40" i="20"/>
  <c r="C2730" i="1"/>
  <c r="C1209" i="1"/>
  <c r="B759" i="13"/>
  <c r="C1695" i="1"/>
  <c r="B427" i="20"/>
  <c r="C2586" i="1"/>
  <c r="B244" i="16"/>
  <c r="C359" i="1"/>
  <c r="B108" i="10"/>
  <c r="B48" i="15"/>
  <c r="B783" i="19"/>
  <c r="B6" i="24"/>
  <c r="B13" i="22"/>
  <c r="B259" i="13"/>
  <c r="C1055" i="1"/>
  <c r="B280" i="13"/>
  <c r="B82" i="31"/>
  <c r="B893" i="13"/>
  <c r="B126" i="16"/>
  <c r="B139" i="6"/>
  <c r="B287" i="13"/>
  <c r="C685" i="1"/>
  <c r="B867" i="13"/>
  <c r="C4316" i="1"/>
  <c r="B642" i="13"/>
  <c r="B766" i="13"/>
  <c r="C2441" i="1"/>
  <c r="C3546" i="1"/>
  <c r="B455" i="14"/>
  <c r="B456" i="19"/>
  <c r="B58" i="29"/>
  <c r="B490" i="19"/>
  <c r="C695" i="1"/>
  <c r="B80" i="13"/>
  <c r="C3592" i="1"/>
  <c r="B57" i="10"/>
  <c r="C2438" i="1"/>
  <c r="B205" i="29"/>
  <c r="C3292" i="1"/>
  <c r="C2494" i="1"/>
  <c r="B84" i="20"/>
  <c r="B117" i="17"/>
  <c r="C972" i="1"/>
  <c r="B308" i="20"/>
  <c r="C524" i="1"/>
  <c r="B325" i="6"/>
  <c r="C4422" i="1"/>
  <c r="B231" i="18"/>
  <c r="B186" i="19"/>
  <c r="B727" i="19"/>
  <c r="C1068" i="1"/>
  <c r="C2571" i="1"/>
  <c r="B714" i="13"/>
  <c r="B388" i="18"/>
  <c r="B457" i="18"/>
  <c r="C2972" i="1"/>
  <c r="C2152" i="1"/>
  <c r="B6" i="31"/>
  <c r="B507" i="19"/>
  <c r="C1138" i="1"/>
  <c r="B425" i="18"/>
  <c r="B133" i="29"/>
  <c r="C43" i="1"/>
  <c r="B104" i="10"/>
  <c r="B398" i="14"/>
  <c r="C648" i="1"/>
  <c r="B70" i="13"/>
  <c r="B319" i="13"/>
  <c r="C3046" i="1"/>
  <c r="B60" i="17"/>
  <c r="B212" i="29"/>
  <c r="C2317" i="1"/>
  <c r="B101" i="3"/>
  <c r="B159" i="29"/>
  <c r="C1865" i="1"/>
  <c r="C450" i="1"/>
  <c r="C879" i="1"/>
  <c r="B416" i="20"/>
  <c r="B13" i="25"/>
  <c r="C1657" i="1"/>
  <c r="C3624" i="1"/>
  <c r="B286" i="14"/>
  <c r="B141" i="7"/>
  <c r="C1208" i="1"/>
  <c r="B291" i="3"/>
  <c r="C4012" i="1"/>
  <c r="C3018" i="1"/>
  <c r="C2703" i="1"/>
  <c r="B447" i="20"/>
  <c r="C3900" i="1"/>
  <c r="B685" i="13"/>
  <c r="B429" i="13"/>
  <c r="C634" i="1"/>
  <c r="C1959" i="1"/>
  <c r="B93" i="3"/>
  <c r="B14" i="22"/>
  <c r="B49" i="29"/>
  <c r="B50" i="29"/>
  <c r="B444" i="20"/>
  <c r="C2480" i="1"/>
  <c r="C1685" i="1"/>
  <c r="C4487" i="1"/>
  <c r="C1161" i="1"/>
  <c r="C2564" i="1"/>
  <c r="B16" i="23"/>
  <c r="B305" i="13"/>
  <c r="C1746" i="1"/>
  <c r="B120" i="14"/>
  <c r="C2481" i="1"/>
  <c r="C4492" i="1"/>
  <c r="C709" i="1"/>
  <c r="C4498" i="1"/>
  <c r="B70" i="34"/>
  <c r="C529" i="1"/>
  <c r="B344" i="13"/>
  <c r="B538" i="13"/>
  <c r="C546" i="1"/>
  <c r="B99" i="31"/>
  <c r="B464" i="20"/>
  <c r="B562" i="14"/>
  <c r="B40" i="29"/>
  <c r="B53" i="13"/>
  <c r="B462" i="14"/>
  <c r="B30" i="25"/>
  <c r="B9" i="23"/>
  <c r="C2060" i="1"/>
  <c r="B46" i="13"/>
  <c r="B483" i="19"/>
  <c r="C672" i="1"/>
  <c r="C2059" i="1"/>
  <c r="C1063" i="1"/>
  <c r="B389" i="13"/>
  <c r="B611" i="19"/>
  <c r="B345" i="13"/>
  <c r="C3025" i="1"/>
  <c r="B417" i="18"/>
  <c r="C4351" i="1"/>
  <c r="B154" i="6"/>
  <c r="C3008" i="1"/>
  <c r="B81" i="6"/>
  <c r="B314" i="19"/>
  <c r="C4348" i="1"/>
  <c r="C2968" i="1"/>
  <c r="C4013" i="1"/>
  <c r="B78" i="2"/>
  <c r="B374" i="13"/>
  <c r="B91" i="18"/>
  <c r="C2351" i="1"/>
  <c r="B245" i="14"/>
  <c r="B69" i="14"/>
  <c r="C670" i="1"/>
  <c r="B135" i="19"/>
  <c r="B303" i="13"/>
  <c r="B55" i="13"/>
  <c r="B28" i="23"/>
  <c r="C3903" i="1"/>
  <c r="B55" i="15"/>
  <c r="B236" i="6"/>
  <c r="B435" i="20"/>
  <c r="B82" i="13"/>
  <c r="C2170" i="1"/>
  <c r="C4178" i="1"/>
  <c r="C1693" i="1"/>
  <c r="B119" i="21"/>
  <c r="C2181" i="1"/>
  <c r="C3772" i="1"/>
  <c r="B43" i="13"/>
  <c r="C4125" i="1"/>
  <c r="C1893" i="1"/>
  <c r="C3905" i="1"/>
  <c r="C3914" i="1"/>
  <c r="B455" i="20"/>
  <c r="B20" i="19"/>
  <c r="C884" i="1"/>
  <c r="B263" i="6"/>
  <c r="B652" i="13"/>
  <c r="B214" i="3"/>
  <c r="C99" i="1"/>
  <c r="B78" i="19"/>
  <c r="B263" i="19"/>
  <c r="B379" i="14"/>
  <c r="B380" i="20"/>
  <c r="C383" i="1"/>
  <c r="C920" i="1"/>
  <c r="C3595" i="1"/>
  <c r="B703" i="13"/>
  <c r="C2720" i="1"/>
  <c r="B598" i="19"/>
  <c r="B175" i="18"/>
  <c r="B10" i="31"/>
  <c r="B78" i="21"/>
  <c r="B219" i="20"/>
  <c r="B173" i="21"/>
  <c r="B229" i="20"/>
  <c r="B2" i="19"/>
  <c r="B4" i="23"/>
  <c r="B476" i="13"/>
  <c r="B406" i="13"/>
  <c r="B614" i="14"/>
  <c r="B159" i="13"/>
  <c r="B253" i="3"/>
  <c r="B113" i="7"/>
  <c r="B888" i="13"/>
  <c r="B205" i="16"/>
  <c r="C2746" i="1"/>
  <c r="B123" i="29"/>
  <c r="B92" i="21"/>
  <c r="C2634" i="1"/>
  <c r="C3359" i="1"/>
  <c r="B353" i="13"/>
  <c r="B738" i="19"/>
  <c r="B313" i="13"/>
  <c r="B214" i="21"/>
  <c r="C171" i="1"/>
  <c r="C2987" i="1"/>
  <c r="C1084" i="1"/>
  <c r="B193" i="16"/>
  <c r="B442" i="20"/>
  <c r="B57" i="17"/>
  <c r="B498" i="18"/>
  <c r="B542" i="14"/>
  <c r="B111" i="14"/>
  <c r="C3357" i="1"/>
  <c r="B15" i="20"/>
  <c r="C3820" i="1"/>
  <c r="B97" i="6"/>
  <c r="C2058" i="1"/>
  <c r="B146" i="19"/>
  <c r="B189" i="18"/>
  <c r="B543" i="13"/>
  <c r="B698" i="13"/>
  <c r="B37" i="15"/>
  <c r="B488" i="19"/>
  <c r="B78" i="14"/>
  <c r="B506" i="19"/>
  <c r="B103" i="29"/>
  <c r="B512" i="18"/>
  <c r="C1163" i="1"/>
  <c r="C2207" i="1"/>
  <c r="B335" i="13"/>
  <c r="C2466" i="1"/>
  <c r="B5" i="17"/>
  <c r="B394" i="20"/>
  <c r="B377" i="19"/>
  <c r="C1578" i="1"/>
  <c r="C1832" i="1"/>
  <c r="B318" i="3"/>
  <c r="B4" i="32"/>
  <c r="B75" i="29"/>
  <c r="C3529" i="1"/>
  <c r="B550" i="18"/>
  <c r="C4223" i="1"/>
  <c r="B405" i="20"/>
  <c r="C2574" i="1"/>
  <c r="B76" i="21"/>
  <c r="B545" i="14"/>
  <c r="C1813" i="1"/>
  <c r="B76" i="18"/>
  <c r="B265" i="18"/>
  <c r="B23" i="29"/>
  <c r="B666" i="13"/>
  <c r="C1108" i="1"/>
  <c r="C2155" i="1"/>
  <c r="B12" i="24"/>
  <c r="B94" i="29"/>
  <c r="C2473" i="1"/>
  <c r="C3652" i="1"/>
  <c r="B132" i="6"/>
  <c r="C4382" i="1"/>
  <c r="B624" i="19"/>
  <c r="B211" i="18"/>
  <c r="B238" i="3"/>
  <c r="B5" i="18"/>
  <c r="B135" i="6"/>
  <c r="B228" i="13"/>
  <c r="B47" i="17"/>
  <c r="B37" i="26"/>
  <c r="B535" i="13"/>
  <c r="B258" i="13"/>
  <c r="B34" i="17"/>
  <c r="B11" i="10"/>
  <c r="B641" i="13"/>
  <c r="B385" i="13"/>
  <c r="C2428" i="1"/>
  <c r="B312" i="14"/>
  <c r="B162" i="20"/>
  <c r="C4009" i="1"/>
  <c r="B168" i="7"/>
  <c r="B55" i="21"/>
  <c r="C3611" i="1"/>
  <c r="B871" i="13"/>
  <c r="C1805" i="1"/>
  <c r="B473" i="13"/>
  <c r="C970" i="1"/>
  <c r="B135" i="3"/>
  <c r="B831" i="13"/>
  <c r="B235" i="6"/>
  <c r="C4434" i="1"/>
  <c r="B106" i="10"/>
  <c r="B51" i="7"/>
  <c r="C2020" i="1"/>
  <c r="C1588" i="1"/>
  <c r="B332" i="3"/>
  <c r="C3644" i="1"/>
  <c r="B44" i="3"/>
  <c r="B84" i="18"/>
  <c r="B772" i="13"/>
  <c r="B653" i="19"/>
  <c r="B47" i="14"/>
  <c r="B656" i="13"/>
  <c r="B268" i="13"/>
  <c r="B342" i="14"/>
  <c r="C3597" i="1"/>
  <c r="B156" i="6"/>
  <c r="B69" i="31"/>
  <c r="B533" i="14"/>
  <c r="C4346" i="1"/>
  <c r="C2809" i="1"/>
  <c r="B105" i="20"/>
  <c r="B252" i="13"/>
  <c r="B36" i="6"/>
  <c r="B199" i="19"/>
  <c r="B569" i="13"/>
  <c r="B189" i="13"/>
  <c r="C3518" i="1"/>
  <c r="B834" i="13"/>
  <c r="C3707" i="1"/>
  <c r="B149" i="3"/>
  <c r="B245" i="13"/>
  <c r="B5" i="27"/>
  <c r="B116" i="18"/>
  <c r="B210" i="13"/>
  <c r="C937" i="1"/>
  <c r="C1602" i="1"/>
  <c r="B568" i="13"/>
  <c r="B171" i="3"/>
  <c r="B47" i="15"/>
  <c r="B128" i="18"/>
  <c r="B291" i="13"/>
  <c r="C1996" i="1"/>
  <c r="C623" i="1"/>
  <c r="B204" i="6"/>
  <c r="B30" i="6"/>
  <c r="B10" i="5"/>
  <c r="C4154" i="1"/>
  <c r="C3590" i="1"/>
  <c r="C2088" i="1"/>
  <c r="B64" i="2"/>
  <c r="B299" i="19"/>
  <c r="B528" i="13"/>
  <c r="B135" i="14"/>
  <c r="B16" i="13"/>
  <c r="C976" i="1"/>
  <c r="C2775" i="1"/>
  <c r="C3821" i="1"/>
  <c r="B116" i="13"/>
  <c r="B64" i="10"/>
  <c r="B126" i="17"/>
  <c r="C2148" i="1"/>
  <c r="B18" i="23"/>
  <c r="B132" i="19"/>
  <c r="B134" i="13"/>
  <c r="B43" i="29"/>
  <c r="B634" i="13"/>
  <c r="B102" i="31"/>
  <c r="B24" i="25"/>
  <c r="B655" i="13"/>
  <c r="B33" i="2"/>
  <c r="B84" i="14"/>
  <c r="C580" i="1"/>
  <c r="B389" i="20"/>
  <c r="C960" i="1"/>
  <c r="C700" i="1"/>
  <c r="C1548" i="1"/>
  <c r="C1866" i="1"/>
  <c r="B286" i="18"/>
  <c r="B257" i="14"/>
  <c r="C2475" i="1"/>
  <c r="B344" i="19"/>
  <c r="B29" i="20"/>
  <c r="B20" i="14"/>
  <c r="C3948" i="1"/>
  <c r="B15" i="9"/>
  <c r="B371" i="18"/>
  <c r="B611" i="14"/>
  <c r="C4035" i="1"/>
  <c r="B778" i="13"/>
  <c r="B350" i="18"/>
  <c r="C1347" i="1"/>
  <c r="C4326" i="1"/>
  <c r="B449" i="13"/>
  <c r="C429" i="1"/>
  <c r="C4209" i="1"/>
  <c r="B1" i="9"/>
  <c r="B9" i="6"/>
  <c r="C286" i="1"/>
  <c r="B615" i="14"/>
  <c r="B6" i="30"/>
  <c r="B598" i="13"/>
  <c r="B123" i="3"/>
  <c r="B32" i="15"/>
  <c r="B144" i="19"/>
  <c r="B22" i="4"/>
  <c r="B26" i="7"/>
  <c r="C914" i="1"/>
  <c r="B530" i="13"/>
  <c r="B114" i="3"/>
  <c r="B651" i="13"/>
  <c r="B148" i="3"/>
  <c r="B316" i="13"/>
  <c r="B58" i="34"/>
  <c r="B17" i="30"/>
  <c r="B219" i="3"/>
  <c r="C2109" i="1"/>
  <c r="B35" i="26"/>
  <c r="B25" i="30"/>
  <c r="B746" i="13"/>
  <c r="B22" i="31"/>
  <c r="C4489" i="1"/>
  <c r="C123" i="1"/>
  <c r="B190" i="6"/>
  <c r="C3786" i="1"/>
  <c r="C2869" i="1"/>
  <c r="B136" i="14"/>
  <c r="B108" i="21"/>
  <c r="B404" i="13"/>
  <c r="C1639" i="1"/>
  <c r="C3917" i="1"/>
  <c r="B592" i="13"/>
  <c r="C2004" i="1"/>
  <c r="B737" i="13"/>
  <c r="C4168" i="1"/>
  <c r="B116" i="21"/>
  <c r="B528" i="18"/>
  <c r="B492" i="13"/>
  <c r="B621" i="13"/>
  <c r="B190" i="18"/>
  <c r="C2515" i="1"/>
  <c r="B312" i="13"/>
  <c r="C913" i="1"/>
  <c r="B411" i="13"/>
  <c r="B108" i="16"/>
  <c r="B69" i="13"/>
  <c r="C4249" i="1"/>
  <c r="B390" i="13"/>
  <c r="B497" i="13"/>
  <c r="B84" i="3"/>
  <c r="C3583" i="1"/>
  <c r="C1218" i="1"/>
  <c r="B13" i="6"/>
  <c r="B38" i="20"/>
  <c r="C3397" i="1"/>
  <c r="B218" i="13"/>
  <c r="B443" i="13"/>
  <c r="B13" i="2"/>
  <c r="C1937" i="1"/>
  <c r="B190" i="7"/>
  <c r="C1393" i="1"/>
  <c r="C2569" i="1"/>
  <c r="C4513" i="1"/>
  <c r="B113" i="14"/>
  <c r="B827" i="13"/>
  <c r="B350" i="13"/>
  <c r="C986" i="1"/>
  <c r="B79" i="21"/>
  <c r="B145" i="17"/>
  <c r="B589" i="14"/>
  <c r="B119" i="20"/>
  <c r="B47" i="3"/>
  <c r="B263" i="14"/>
  <c r="C2624" i="1"/>
  <c r="C554" i="1"/>
  <c r="B118" i="13"/>
  <c r="C3470" i="1"/>
  <c r="B491" i="13"/>
  <c r="C3716" i="1"/>
  <c r="C1463" i="1"/>
  <c r="C3580" i="1"/>
  <c r="B230" i="20"/>
  <c r="C2874" i="1"/>
  <c r="B285" i="19"/>
  <c r="B72" i="7"/>
  <c r="C1302" i="1"/>
  <c r="C1334" i="1"/>
  <c r="B33" i="3"/>
  <c r="C878" i="1"/>
  <c r="B285" i="13"/>
  <c r="B40" i="13"/>
  <c r="C2376" i="1"/>
  <c r="B312" i="19"/>
  <c r="B77" i="13"/>
  <c r="B28" i="28"/>
  <c r="B282" i="3"/>
  <c r="B879" i="13"/>
  <c r="C1891" i="1"/>
  <c r="B423" i="13"/>
  <c r="C1691" i="1"/>
  <c r="B54" i="23"/>
  <c r="B626" i="13"/>
  <c r="C2734" i="1"/>
  <c r="C453" i="1"/>
  <c r="B393" i="19"/>
  <c r="C1502" i="1"/>
  <c r="B140" i="13"/>
  <c r="B49" i="28"/>
  <c r="B141" i="21"/>
  <c r="B333" i="13"/>
  <c r="C3562" i="1"/>
  <c r="C84" i="1"/>
  <c r="C1335" i="1"/>
  <c r="B453" i="20"/>
  <c r="B457" i="20"/>
  <c r="B320" i="18"/>
  <c r="B34" i="31"/>
  <c r="B811" i="13"/>
  <c r="C770" i="1"/>
  <c r="B103" i="20"/>
  <c r="B784" i="13"/>
  <c r="B5" i="10"/>
  <c r="C1274" i="1"/>
  <c r="B71" i="13"/>
  <c r="B65" i="15"/>
  <c r="B77" i="21"/>
  <c r="C3542" i="1"/>
  <c r="C3698" i="1"/>
  <c r="B379" i="13"/>
  <c r="C1482" i="1"/>
  <c r="B219" i="21"/>
  <c r="B302" i="6"/>
  <c r="B79" i="13"/>
  <c r="B38" i="31"/>
  <c r="B29" i="18"/>
  <c r="C3144" i="1"/>
  <c r="C1250" i="1"/>
  <c r="C1940" i="1"/>
  <c r="C2314" i="1"/>
  <c r="B29" i="7"/>
  <c r="B186" i="29"/>
  <c r="C2065" i="1"/>
  <c r="C999" i="1"/>
  <c r="B519" i="13"/>
  <c r="B218" i="19"/>
  <c r="B153" i="13"/>
  <c r="C815" i="1"/>
  <c r="B216" i="6"/>
  <c r="C1636" i="1"/>
  <c r="B646" i="13"/>
  <c r="C1473" i="1"/>
  <c r="B221" i="14"/>
  <c r="B80" i="18"/>
  <c r="B448" i="20"/>
  <c r="B430" i="18"/>
  <c r="B678" i="13"/>
  <c r="B619" i="13"/>
  <c r="B308" i="13"/>
  <c r="B64" i="16"/>
  <c r="C2653" i="1"/>
  <c r="B703" i="19"/>
  <c r="C2229" i="1"/>
  <c r="C1189" i="1"/>
  <c r="C1187" i="1"/>
  <c r="B385" i="18"/>
  <c r="C3769" i="1"/>
  <c r="C3517" i="1"/>
  <c r="B223" i="14"/>
  <c r="B64" i="23"/>
  <c r="B544" i="18"/>
  <c r="C2848" i="1"/>
  <c r="C1338" i="1"/>
  <c r="B164" i="16"/>
  <c r="C1445" i="1"/>
  <c r="B7" i="18"/>
  <c r="B104" i="3"/>
  <c r="C2463" i="1"/>
  <c r="B39" i="16"/>
  <c r="B749" i="19"/>
  <c r="B14" i="2"/>
  <c r="B237" i="19"/>
  <c r="C3660" i="1"/>
  <c r="B173" i="3"/>
  <c r="C1627" i="1"/>
  <c r="B154" i="13"/>
  <c r="B697" i="19"/>
  <c r="B25" i="28"/>
  <c r="B552" i="19"/>
  <c r="B121" i="16"/>
  <c r="B69" i="17"/>
  <c r="C3430" i="1"/>
  <c r="B37" i="2"/>
  <c r="B133" i="13"/>
  <c r="C1850" i="1"/>
  <c r="B101" i="13"/>
  <c r="B674" i="13"/>
  <c r="B165" i="13"/>
  <c r="B465" i="20"/>
  <c r="C2622" i="1"/>
  <c r="C870" i="1"/>
  <c r="B138" i="17"/>
  <c r="B76" i="31"/>
  <c r="B254" i="14"/>
  <c r="B250" i="6"/>
  <c r="C2308" i="1"/>
  <c r="C518" i="1"/>
  <c r="B59" i="20"/>
  <c r="B152" i="13"/>
  <c r="B152" i="21"/>
  <c r="B121" i="7"/>
  <c r="B254" i="6"/>
  <c r="C2926" i="1"/>
  <c r="B430" i="20"/>
  <c r="C1568" i="1"/>
  <c r="B179" i="3"/>
  <c r="B392" i="13"/>
  <c r="B220" i="14"/>
  <c r="B7" i="6"/>
  <c r="B80" i="30"/>
  <c r="C4047" i="1"/>
  <c r="B58" i="17"/>
  <c r="B85" i="7"/>
  <c r="B198" i="14"/>
  <c r="C224" i="1"/>
  <c r="C801" i="1"/>
  <c r="B83" i="31"/>
  <c r="B761" i="13"/>
  <c r="B21" i="26"/>
  <c r="B507" i="13"/>
  <c r="B130" i="7"/>
  <c r="C2279" i="1"/>
  <c r="B41" i="6"/>
  <c r="B215" i="18"/>
  <c r="B50" i="15"/>
  <c r="B53" i="31"/>
  <c r="B178" i="6"/>
  <c r="B508" i="18"/>
  <c r="C538" i="1"/>
  <c r="B437" i="13"/>
  <c r="B89" i="13"/>
  <c r="C3262" i="1"/>
  <c r="B115" i="29"/>
  <c r="B206" i="13"/>
  <c r="B15" i="31"/>
  <c r="C3807" i="1"/>
  <c r="C3808" i="1"/>
  <c r="C3727" i="1"/>
  <c r="B812" i="13"/>
  <c r="C1619" i="1"/>
  <c r="C2656" i="1"/>
  <c r="B193" i="6"/>
  <c r="B352" i="18"/>
  <c r="B339" i="14"/>
  <c r="B543" i="18"/>
  <c r="C3419" i="1"/>
  <c r="B594" i="13"/>
  <c r="C2866" i="1"/>
  <c r="B274" i="20"/>
  <c r="B510" i="19"/>
  <c r="C4533" i="1"/>
  <c r="B280" i="14"/>
  <c r="B640" i="19"/>
  <c r="B22" i="7"/>
  <c r="B66" i="23"/>
  <c r="B194" i="13"/>
  <c r="C746" i="1"/>
  <c r="B789" i="19"/>
  <c r="C18" i="1"/>
  <c r="C3834" i="1"/>
  <c r="C1741" i="1"/>
  <c r="B488" i="13"/>
  <c r="C1377" i="1"/>
  <c r="B262" i="3"/>
  <c r="B157" i="13"/>
  <c r="B327" i="13"/>
  <c r="B262" i="13"/>
  <c r="B173" i="29"/>
  <c r="B166" i="13"/>
  <c r="B6" i="32"/>
  <c r="B417" i="20"/>
  <c r="B635" i="13"/>
  <c r="C3098" i="1"/>
  <c r="B199" i="13"/>
  <c r="C3068" i="1"/>
  <c r="C765" i="1"/>
  <c r="B629" i="19"/>
  <c r="B202" i="20"/>
  <c r="B40" i="23"/>
  <c r="B848" i="13"/>
  <c r="B155" i="16"/>
  <c r="B164" i="6"/>
  <c r="B436" i="20"/>
  <c r="B623" i="13"/>
  <c r="C2499" i="1"/>
  <c r="B477" i="13"/>
  <c r="C3310" i="1"/>
  <c r="B448" i="13"/>
  <c r="B133" i="10"/>
  <c r="B54" i="29"/>
  <c r="B47" i="6"/>
  <c r="B885" i="13"/>
  <c r="C1726" i="1"/>
  <c r="B293" i="13"/>
  <c r="B175" i="3"/>
  <c r="B401" i="13"/>
  <c r="C3602" i="1"/>
  <c r="B41" i="26"/>
  <c r="B120" i="18"/>
  <c r="B32" i="10"/>
  <c r="C302" i="1"/>
  <c r="C1467" i="1"/>
  <c r="B40" i="17"/>
  <c r="C548" i="1"/>
  <c r="B48" i="13"/>
  <c r="C3128" i="1"/>
  <c r="C2726" i="1"/>
  <c r="B60" i="16"/>
  <c r="B548" i="13"/>
  <c r="B560" i="13"/>
  <c r="B876" i="13"/>
  <c r="B369" i="14"/>
  <c r="B180" i="14"/>
  <c r="B466" i="20"/>
  <c r="B793" i="13"/>
  <c r="B301" i="14"/>
  <c r="B586" i="13"/>
  <c r="C213" i="1"/>
  <c r="C1114" i="1"/>
  <c r="B275" i="6"/>
  <c r="C2254" i="1"/>
  <c r="B510" i="13"/>
  <c r="B183" i="13"/>
  <c r="B197" i="13"/>
  <c r="C1276" i="1"/>
  <c r="C3729" i="1"/>
  <c r="B140" i="14"/>
  <c r="B452" i="13"/>
  <c r="B486" i="18"/>
  <c r="B52" i="10"/>
  <c r="C149" i="1"/>
  <c r="C1870" i="1"/>
  <c r="B50" i="17"/>
  <c r="C4063" i="1"/>
  <c r="C2679" i="1"/>
  <c r="B81" i="13"/>
  <c r="B85" i="19"/>
  <c r="B27" i="10"/>
  <c r="B97" i="19"/>
  <c r="C3671" i="1"/>
  <c r="B274" i="18"/>
  <c r="B581" i="13"/>
  <c r="B11" i="17"/>
  <c r="B142" i="20"/>
  <c r="C1005" i="1"/>
  <c r="B59" i="15"/>
  <c r="B240" i="14"/>
  <c r="B277" i="20"/>
  <c r="C2192" i="1"/>
  <c r="B122" i="13"/>
  <c r="B649" i="19"/>
  <c r="B748" i="13"/>
  <c r="C496" i="1"/>
  <c r="C2442" i="1"/>
  <c r="C2519" i="1"/>
  <c r="B515" i="13"/>
  <c r="C1235" i="1"/>
  <c r="B77" i="23"/>
  <c r="B9" i="22"/>
  <c r="B90" i="17"/>
  <c r="B392" i="18"/>
  <c r="B245" i="3"/>
  <c r="C876" i="1"/>
  <c r="B117" i="13"/>
  <c r="C3763" i="1"/>
  <c r="C4287" i="1"/>
  <c r="B56" i="31"/>
  <c r="B475" i="19"/>
  <c r="C725" i="1"/>
  <c r="C1186" i="1"/>
  <c r="C1967" i="1"/>
  <c r="C1182" i="1"/>
  <c r="C3968" i="1"/>
  <c r="C3713" i="1"/>
  <c r="B22" i="20"/>
  <c r="B265" i="14"/>
  <c r="B91" i="14"/>
  <c r="B5" i="6"/>
  <c r="B271" i="6"/>
  <c r="C4505" i="1"/>
  <c r="B220" i="20"/>
  <c r="B132" i="29"/>
  <c r="C4485" i="1"/>
  <c r="C3732" i="1"/>
  <c r="B169" i="18"/>
  <c r="B77" i="34"/>
  <c r="B338" i="20"/>
  <c r="B370" i="19"/>
  <c r="C2643" i="1"/>
  <c r="B276" i="6"/>
  <c r="C3269" i="1"/>
  <c r="B526" i="14"/>
  <c r="B304" i="13"/>
  <c r="C1825" i="1"/>
  <c r="C2516" i="1"/>
  <c r="B111" i="20"/>
  <c r="B98" i="31"/>
  <c r="B374" i="19"/>
  <c r="C3806" i="1"/>
  <c r="B344" i="20"/>
  <c r="C570" i="1"/>
  <c r="B494" i="18"/>
  <c r="C218" i="1"/>
  <c r="B479" i="13"/>
  <c r="B129" i="10"/>
  <c r="B252" i="18"/>
  <c r="C1686" i="1"/>
  <c r="B529" i="13"/>
  <c r="C2102" i="1"/>
  <c r="B724" i="13"/>
  <c r="C558" i="1"/>
  <c r="B492" i="19"/>
  <c r="B30" i="20"/>
  <c r="B147" i="13"/>
  <c r="B208" i="21"/>
  <c r="B522" i="13"/>
  <c r="B237" i="14"/>
  <c r="B20" i="25"/>
  <c r="B55" i="23"/>
  <c r="C3723" i="1"/>
  <c r="B208" i="20"/>
  <c r="B86" i="2"/>
  <c r="B100" i="31"/>
  <c r="C132" i="1"/>
  <c r="B367" i="13"/>
  <c r="B11" i="19"/>
  <c r="C2261" i="1"/>
  <c r="C4427" i="1"/>
  <c r="B469" i="13"/>
  <c r="C918" i="1"/>
  <c r="C3756" i="1"/>
  <c r="B70" i="18"/>
  <c r="C1524" i="1"/>
  <c r="B167" i="3"/>
  <c r="B179" i="18"/>
  <c r="C2393" i="1"/>
  <c r="B289" i="19"/>
  <c r="C143" i="1"/>
  <c r="B438" i="13"/>
  <c r="C2638" i="1"/>
  <c r="B12" i="22"/>
  <c r="C1567" i="1"/>
  <c r="B98" i="13"/>
  <c r="C326" i="1"/>
  <c r="B431" i="13"/>
  <c r="B337" i="3"/>
  <c r="C1248" i="1"/>
  <c r="B343" i="20"/>
  <c r="B22" i="2"/>
  <c r="C2828" i="1"/>
  <c r="C485" i="1"/>
  <c r="B9" i="32"/>
  <c r="C1205" i="1"/>
  <c r="C1653" i="1"/>
  <c r="B196" i="21"/>
  <c r="C3927" i="1"/>
  <c r="C3571" i="1"/>
  <c r="C2718" i="1"/>
  <c r="C251" i="1"/>
  <c r="B41" i="28"/>
  <c r="B19" i="19"/>
  <c r="C2212" i="1"/>
  <c r="B441" i="20"/>
  <c r="B396" i="20"/>
  <c r="B856" i="13"/>
  <c r="C1771" i="1"/>
  <c r="C1296" i="1"/>
  <c r="B102" i="15"/>
  <c r="B726" i="13"/>
  <c r="C1193" i="1"/>
  <c r="B65" i="34"/>
  <c r="C2880" i="1"/>
  <c r="B30" i="10"/>
  <c r="C4043" i="1"/>
  <c r="B114" i="7"/>
  <c r="B107" i="18"/>
  <c r="B24" i="31"/>
  <c r="B5" i="15"/>
  <c r="C1343" i="1"/>
  <c r="C2803" i="1"/>
  <c r="C967" i="1"/>
  <c r="C168" i="1"/>
  <c r="B357" i="13"/>
  <c r="B78" i="29"/>
  <c r="B134" i="10"/>
  <c r="B430" i="19"/>
  <c r="B208" i="13"/>
  <c r="C2501" i="1"/>
  <c r="C3089" i="1"/>
  <c r="B67" i="3"/>
  <c r="C4164" i="1"/>
  <c r="B131" i="7"/>
  <c r="C1398" i="1"/>
  <c r="B480" i="13"/>
  <c r="C1119" i="1"/>
  <c r="C4404" i="1"/>
  <c r="C575" i="1"/>
  <c r="B324" i="6"/>
  <c r="C3526" i="1"/>
  <c r="C617" i="1"/>
  <c r="B235" i="13"/>
  <c r="C2151" i="1"/>
  <c r="C1971" i="1"/>
  <c r="C3803" i="1"/>
  <c r="C3218" i="1"/>
  <c r="B781" i="13"/>
  <c r="B370" i="14"/>
  <c r="C147" i="1"/>
  <c r="B93" i="34"/>
  <c r="C148" i="1"/>
  <c r="C2111" i="1"/>
  <c r="B791" i="13"/>
  <c r="B618" i="19"/>
  <c r="B68" i="14"/>
  <c r="B244" i="14"/>
  <c r="B338" i="13"/>
  <c r="C3127" i="1"/>
  <c r="C3588" i="1"/>
  <c r="C49" i="1"/>
  <c r="C2234" i="1"/>
  <c r="C3301" i="1"/>
  <c r="C3989" i="1"/>
  <c r="B13" i="14"/>
  <c r="B202" i="18"/>
  <c r="B94" i="34"/>
  <c r="B39" i="7"/>
  <c r="B472" i="13"/>
  <c r="C950" i="1"/>
  <c r="B608" i="19"/>
  <c r="B311" i="20"/>
  <c r="B877" i="13"/>
  <c r="B405" i="13"/>
  <c r="B428" i="13"/>
  <c r="B461" i="20"/>
  <c r="B20" i="22"/>
  <c r="C3563" i="1"/>
  <c r="B160" i="14"/>
  <c r="B12" i="5"/>
  <c r="C2979" i="1"/>
  <c r="C3783" i="1"/>
  <c r="B143" i="14"/>
  <c r="B15" i="6"/>
  <c r="B123" i="10"/>
  <c r="B52" i="6"/>
  <c r="B96" i="13"/>
  <c r="B824" i="13"/>
  <c r="C1039" i="1"/>
  <c r="B325" i="13"/>
  <c r="C1224" i="1"/>
  <c r="C2281" i="1"/>
  <c r="B25" i="20"/>
  <c r="B313" i="20"/>
  <c r="B469" i="20"/>
  <c r="B400" i="13"/>
  <c r="B2" i="28"/>
  <c r="C1858" i="1"/>
  <c r="B589" i="13"/>
  <c r="B493" i="13"/>
  <c r="B506" i="13"/>
  <c r="B849" i="13"/>
  <c r="C4374" i="1"/>
  <c r="B382" i="13"/>
  <c r="B121" i="18"/>
  <c r="B364" i="19"/>
  <c r="B338" i="3"/>
  <c r="B64" i="7"/>
  <c r="B324" i="18"/>
  <c r="C3918" i="1"/>
  <c r="C3891" i="1"/>
  <c r="B229" i="19"/>
  <c r="C3879" i="1"/>
  <c r="B100" i="29"/>
  <c r="B292" i="13"/>
  <c r="C2015" i="1"/>
  <c r="B424" i="20"/>
  <c r="B204" i="29"/>
  <c r="B18" i="16"/>
  <c r="C5" i="1"/>
  <c r="C194" i="1"/>
  <c r="C136" i="1"/>
  <c r="B607" i="19"/>
  <c r="B41" i="17"/>
  <c r="B50" i="2"/>
  <c r="B125" i="10"/>
  <c r="B460" i="20"/>
  <c r="C816" i="1"/>
  <c r="B81" i="3"/>
  <c r="B238" i="19"/>
  <c r="C3231" i="1"/>
  <c r="C41" i="1"/>
  <c r="B542" i="19"/>
  <c r="B495" i="18"/>
  <c r="B67" i="20"/>
  <c r="C2430" i="1"/>
  <c r="B277" i="18"/>
  <c r="B128" i="7"/>
  <c r="B87" i="7"/>
  <c r="B750" i="13"/>
  <c r="B294" i="20"/>
  <c r="B4" i="3"/>
  <c r="C3283" i="1"/>
  <c r="B225" i="18"/>
  <c r="B248" i="13"/>
  <c r="B366" i="18"/>
  <c r="C3274" i="1"/>
  <c r="B31" i="21"/>
  <c r="B39" i="10"/>
  <c r="B171" i="21"/>
  <c r="B511" i="13"/>
  <c r="C3432" i="1"/>
  <c r="C4472" i="1"/>
  <c r="C3112" i="1"/>
  <c r="B86" i="3"/>
  <c r="B60" i="20"/>
  <c r="B349" i="13"/>
  <c r="C747" i="1"/>
  <c r="C1225" i="1"/>
  <c r="B720" i="19"/>
  <c r="B279" i="20"/>
  <c r="C3341" i="1"/>
  <c r="B46" i="20"/>
  <c r="C1761" i="1"/>
  <c r="C2208" i="1"/>
  <c r="B662" i="19"/>
  <c r="C4549" i="1"/>
  <c r="B85" i="34"/>
  <c r="B232" i="6"/>
  <c r="C1110" i="1"/>
  <c r="C2136" i="1"/>
  <c r="B54" i="13"/>
  <c r="B504" i="13"/>
  <c r="B159" i="19"/>
  <c r="C3801" i="1"/>
  <c r="B27" i="30"/>
  <c r="C1951" i="1"/>
  <c r="B207" i="21"/>
  <c r="C3124" i="1"/>
  <c r="B735" i="13"/>
  <c r="C3663" i="1"/>
  <c r="B347" i="20"/>
  <c r="B38" i="26"/>
  <c r="B503" i="14"/>
  <c r="C737" i="1"/>
  <c r="B60" i="18"/>
  <c r="B107" i="7"/>
  <c r="B252" i="6"/>
  <c r="B32" i="28"/>
  <c r="C1233" i="1"/>
  <c r="B541" i="14"/>
  <c r="C3700" i="1"/>
  <c r="C1308" i="1"/>
  <c r="C468" i="1"/>
  <c r="C2402" i="1"/>
  <c r="B5" i="19"/>
  <c r="C4407" i="1"/>
  <c r="B37" i="23"/>
  <c r="C3250" i="1"/>
  <c r="B351" i="14"/>
  <c r="C3036" i="1"/>
  <c r="C3071" i="1"/>
  <c r="C838" i="1"/>
  <c r="B252" i="14"/>
  <c r="B112" i="29"/>
  <c r="B242" i="20"/>
  <c r="C4342" i="1"/>
  <c r="B673" i="13"/>
  <c r="C2766" i="1"/>
  <c r="B31" i="29"/>
  <c r="B18" i="31"/>
  <c r="C4353" i="1"/>
  <c r="B179" i="14"/>
  <c r="C1903" i="1"/>
  <c r="B22" i="14"/>
  <c r="C1387" i="1"/>
  <c r="C4331" i="1"/>
  <c r="C63" i="1"/>
  <c r="B418" i="18"/>
  <c r="B551" i="18"/>
  <c r="C3785" i="1"/>
  <c r="B3" i="24"/>
  <c r="C2722" i="1"/>
  <c r="C1540" i="1"/>
  <c r="C69" i="1"/>
  <c r="C3221" i="1"/>
  <c r="C3899" i="1"/>
  <c r="B30" i="2"/>
  <c r="C3569" i="1"/>
  <c r="C2301" i="1"/>
  <c r="C3217" i="1"/>
  <c r="C2671" i="1"/>
  <c r="B314" i="13"/>
  <c r="B214" i="13"/>
  <c r="B37" i="17"/>
  <c r="B124" i="20"/>
  <c r="C3721" i="1"/>
  <c r="C3148" i="1"/>
  <c r="B397" i="20"/>
  <c r="B742" i="19"/>
  <c r="B518" i="19"/>
  <c r="C4424" i="1"/>
  <c r="C1483" i="1"/>
  <c r="B61" i="23"/>
  <c r="B115" i="13"/>
  <c r="C2489" i="1"/>
  <c r="C2248" i="1"/>
  <c r="B25" i="13"/>
  <c r="C2808" i="1"/>
  <c r="C4264" i="1"/>
  <c r="C3280" i="1"/>
  <c r="B84" i="19"/>
  <c r="B71" i="19"/>
  <c r="C3019" i="1"/>
  <c r="B136" i="20"/>
  <c r="C1376" i="1"/>
  <c r="B303" i="20"/>
  <c r="C2719" i="1"/>
  <c r="C4086" i="1"/>
  <c r="B56" i="20"/>
  <c r="B15" i="18"/>
  <c r="C3728" i="1"/>
  <c r="B281" i="13"/>
  <c r="B40" i="18"/>
  <c r="B74" i="31"/>
  <c r="C3440" i="1"/>
  <c r="B3" i="34"/>
  <c r="B159" i="3"/>
  <c r="C4192" i="1"/>
  <c r="B60" i="2"/>
  <c r="B368" i="13"/>
  <c r="C2278" i="1"/>
  <c r="C1696" i="1"/>
  <c r="B452" i="19"/>
  <c r="B71" i="7"/>
  <c r="B154" i="29"/>
  <c r="B861" i="13"/>
  <c r="B350" i="20"/>
  <c r="B206" i="20"/>
  <c r="C3708" i="1"/>
  <c r="C402" i="1"/>
  <c r="B18" i="34"/>
  <c r="C539" i="1"/>
  <c r="B88" i="18"/>
  <c r="B32" i="14"/>
  <c r="B320" i="14"/>
  <c r="B42" i="23"/>
  <c r="B4" i="20"/>
  <c r="B339" i="20"/>
  <c r="B321" i="6"/>
  <c r="C4095" i="1"/>
  <c r="C3386" i="1"/>
  <c r="C1999" i="1"/>
  <c r="C707" i="1"/>
  <c r="C2771" i="1"/>
  <c r="C293" i="1"/>
  <c r="B97" i="3"/>
  <c r="B17" i="15"/>
  <c r="B23" i="19"/>
  <c r="C3480" i="1"/>
  <c r="B532" i="14"/>
  <c r="C2978" i="1"/>
  <c r="C3685" i="1"/>
  <c r="C2506" i="1"/>
  <c r="B216" i="29"/>
  <c r="B137" i="10"/>
  <c r="B512" i="14"/>
  <c r="B174" i="13"/>
  <c r="B53" i="23"/>
  <c r="B84" i="16"/>
  <c r="C993" i="1"/>
  <c r="B92" i="15"/>
  <c r="C2594" i="1"/>
  <c r="B71" i="31"/>
  <c r="C1048" i="1"/>
  <c r="B59" i="7"/>
  <c r="C3861" i="1"/>
  <c r="C704" i="1"/>
  <c r="B32" i="30"/>
  <c r="C91" i="1"/>
  <c r="B452" i="20"/>
  <c r="B301" i="19"/>
  <c r="B238" i="13"/>
  <c r="B57" i="15"/>
  <c r="B103" i="3"/>
  <c r="B430" i="13"/>
  <c r="B116" i="23"/>
  <c r="B301" i="6"/>
  <c r="B160" i="21"/>
  <c r="B179" i="7"/>
  <c r="B82" i="3"/>
  <c r="B269" i="13"/>
  <c r="C247" i="1"/>
  <c r="B754" i="13"/>
  <c r="C2933" i="1"/>
  <c r="C2658" i="1"/>
  <c r="C3361" i="1"/>
  <c r="B496" i="13"/>
  <c r="C2087" i="1"/>
  <c r="B106" i="16"/>
  <c r="B287" i="20"/>
  <c r="C2899" i="1"/>
  <c r="B322" i="14"/>
  <c r="B78" i="31"/>
  <c r="B63" i="14"/>
  <c r="B717" i="13"/>
  <c r="B362" i="13"/>
  <c r="B242" i="3"/>
  <c r="C4173" i="1"/>
  <c r="C4103" i="1"/>
  <c r="C1785" i="1"/>
  <c r="B265" i="13"/>
  <c r="B439" i="18"/>
  <c r="B127" i="16"/>
  <c r="C2054" i="1"/>
  <c r="B261" i="13"/>
  <c r="B64" i="17"/>
  <c r="C1596" i="1"/>
  <c r="C2966" i="1"/>
  <c r="B91" i="23"/>
  <c r="B34" i="26"/>
  <c r="B246" i="13"/>
  <c r="B274" i="14"/>
  <c r="C2666" i="1"/>
  <c r="C2664" i="1"/>
  <c r="B72" i="20"/>
  <c r="B47" i="16"/>
  <c r="C193" i="1"/>
  <c r="B34" i="6"/>
  <c r="C2378" i="1"/>
  <c r="B36" i="17"/>
  <c r="B393" i="20"/>
  <c r="B48" i="6"/>
  <c r="B488" i="18"/>
  <c r="B158" i="17"/>
  <c r="C3406" i="1"/>
  <c r="B322" i="20"/>
  <c r="C1179" i="1"/>
  <c r="C50" i="1"/>
  <c r="B328" i="13"/>
  <c r="C754" i="1"/>
  <c r="C4395" i="1"/>
  <c r="B94" i="20"/>
  <c r="B93" i="13"/>
  <c r="B11" i="9"/>
  <c r="B28" i="30"/>
  <c r="C1153" i="1"/>
  <c r="B604" i="13"/>
  <c r="B393" i="18"/>
  <c r="B363" i="20"/>
  <c r="C2895" i="1"/>
  <c r="B518" i="13"/>
  <c r="B343" i="19"/>
  <c r="C1050" i="1"/>
  <c r="B483" i="18"/>
  <c r="B220" i="18"/>
  <c r="B96" i="15"/>
  <c r="B7" i="22"/>
  <c r="B500" i="19"/>
  <c r="B790" i="13"/>
  <c r="B796" i="19"/>
  <c r="B204" i="13"/>
  <c r="B207" i="14"/>
  <c r="C4369" i="1"/>
  <c r="B727" i="13"/>
  <c r="B427" i="14"/>
  <c r="C2485" i="1"/>
  <c r="C3940" i="1"/>
  <c r="C2744" i="1"/>
  <c r="B12" i="19"/>
  <c r="B62" i="34"/>
  <c r="C2311" i="1"/>
  <c r="C443" i="1"/>
  <c r="B111" i="10"/>
  <c r="B248" i="3"/>
  <c r="C3831" i="1"/>
  <c r="B6" i="34"/>
  <c r="C1017" i="1"/>
  <c r="C4462" i="1"/>
  <c r="B263" i="20"/>
  <c r="C1758" i="1"/>
  <c r="C333" i="1"/>
  <c r="B20" i="18"/>
  <c r="C3509" i="1"/>
  <c r="B60" i="3"/>
  <c r="C600" i="1"/>
  <c r="B659" i="13"/>
  <c r="C4338" i="1"/>
  <c r="C3354" i="1"/>
  <c r="B40" i="21"/>
  <c r="B28" i="9"/>
  <c r="B128" i="20"/>
  <c r="B103" i="14"/>
  <c r="C3330" i="1"/>
  <c r="B76" i="20"/>
  <c r="B455" i="13"/>
  <c r="C179" i="1"/>
  <c r="C3868" i="1"/>
  <c r="C1350" i="1"/>
  <c r="C2751" i="1"/>
  <c r="B17" i="24"/>
  <c r="C1555" i="1"/>
  <c r="B5" i="28"/>
  <c r="B175" i="21"/>
  <c r="C2572" i="1"/>
  <c r="B158" i="13"/>
  <c r="B119" i="16"/>
  <c r="B618" i="14"/>
  <c r="B171" i="20"/>
  <c r="B443" i="19"/>
  <c r="B60" i="30"/>
  <c r="B330" i="20"/>
  <c r="B315" i="14"/>
  <c r="C2251" i="1"/>
  <c r="C3424" i="1"/>
  <c r="B139" i="21"/>
  <c r="B214" i="29"/>
  <c r="C644" i="1"/>
  <c r="C823" i="1"/>
  <c r="B889" i="13"/>
  <c r="C307" i="1"/>
  <c r="C1353" i="1"/>
  <c r="C2001" i="1"/>
  <c r="C3240" i="1"/>
  <c r="B68" i="17"/>
  <c r="B128" i="16"/>
  <c r="C3040" i="1"/>
  <c r="C86" i="1"/>
  <c r="C681" i="1"/>
  <c r="B417" i="19"/>
  <c r="C2158" i="1"/>
  <c r="B491" i="18"/>
  <c r="B19" i="21"/>
  <c r="B440" i="20"/>
  <c r="C3982" i="1"/>
  <c r="C4151" i="1"/>
  <c r="B186" i="18"/>
  <c r="C14" i="1"/>
  <c r="C360" i="1"/>
  <c r="B55" i="28"/>
  <c r="B23" i="34"/>
  <c r="B454" i="13"/>
  <c r="C1102" i="1"/>
  <c r="B43" i="6"/>
  <c r="B7" i="19"/>
  <c r="B14" i="13"/>
  <c r="C478" i="1"/>
  <c r="C1961" i="1"/>
  <c r="B224" i="6"/>
  <c r="B470" i="13"/>
  <c r="C2177" i="1"/>
  <c r="C4376" i="1"/>
  <c r="C1563" i="1"/>
  <c r="C1266" i="1"/>
  <c r="B212" i="21"/>
  <c r="C3353" i="1"/>
  <c r="B63" i="17"/>
  <c r="C1434" i="1"/>
  <c r="B463" i="14"/>
  <c r="B163" i="18"/>
  <c r="B599" i="13"/>
  <c r="B771" i="13"/>
  <c r="C2937" i="1"/>
  <c r="B173" i="14"/>
  <c r="C3544" i="1"/>
  <c r="C3108" i="1"/>
  <c r="B321" i="20"/>
  <c r="B88" i="21"/>
  <c r="B394" i="14"/>
  <c r="B438" i="20"/>
  <c r="B206" i="14"/>
  <c r="B132" i="20"/>
  <c r="B9" i="34"/>
  <c r="B798" i="13"/>
  <c r="C3669" i="1"/>
  <c r="C2268" i="1"/>
  <c r="C557" i="1"/>
  <c r="B543" i="14"/>
  <c r="C3802" i="1"/>
  <c r="C1220" i="1"/>
  <c r="C4269" i="1"/>
  <c r="B93" i="31"/>
  <c r="C1867" i="1"/>
  <c r="B226" i="6"/>
  <c r="B291" i="20"/>
  <c r="C541" i="1"/>
  <c r="B749" i="13"/>
  <c r="C1007" i="1"/>
  <c r="B107" i="6"/>
  <c r="C1924" i="1"/>
  <c r="C911" i="1"/>
  <c r="B489" i="18"/>
  <c r="C3848" i="1"/>
  <c r="B354" i="19"/>
  <c r="B391" i="13"/>
  <c r="C1311" i="1"/>
  <c r="B670" i="13"/>
  <c r="B16" i="22"/>
  <c r="C2417" i="1"/>
  <c r="B423" i="20"/>
  <c r="C2449" i="1"/>
  <c r="C3983" i="1"/>
  <c r="C1701" i="1"/>
  <c r="C4032" i="1"/>
  <c r="C3086" i="1"/>
  <c r="C4564" i="1"/>
  <c r="C4370" i="1"/>
  <c r="C1751" i="1"/>
  <c r="B99" i="20"/>
  <c r="C1754" i="1"/>
  <c r="B381" i="13"/>
  <c r="B8" i="10"/>
  <c r="B7" i="13"/>
  <c r="C1142" i="1"/>
  <c r="B106" i="31"/>
  <c r="B597" i="13"/>
  <c r="B139" i="10"/>
  <c r="C4112" i="1"/>
  <c r="B6" i="20"/>
  <c r="C1280" i="1"/>
  <c r="B15" i="26"/>
  <c r="C380" i="1"/>
  <c r="C2114" i="1"/>
  <c r="B368" i="14"/>
  <c r="B101" i="29"/>
  <c r="B258" i="19"/>
  <c r="B33" i="18"/>
  <c r="B460" i="13"/>
  <c r="B411" i="20"/>
  <c r="B390" i="18"/>
  <c r="B88" i="31"/>
  <c r="C1854" i="1"/>
  <c r="B260" i="14"/>
  <c r="C2105" i="1"/>
  <c r="B78" i="18"/>
  <c r="B349" i="18"/>
  <c r="B364" i="18"/>
  <c r="C3097" i="1"/>
  <c r="B796" i="13"/>
  <c r="B55" i="17"/>
  <c r="B54" i="14"/>
  <c r="B509" i="19"/>
  <c r="C340" i="1"/>
  <c r="B412" i="20"/>
  <c r="B223" i="18"/>
  <c r="C1360" i="1"/>
  <c r="C3448" i="1"/>
  <c r="B453" i="14"/>
  <c r="C2528" i="1"/>
  <c r="C235" i="1"/>
  <c r="B34" i="34"/>
  <c r="B208" i="19"/>
  <c r="B40" i="26"/>
  <c r="C934" i="1"/>
  <c r="C1742" i="1"/>
  <c r="B13" i="20"/>
  <c r="C4379" i="1"/>
  <c r="B299" i="13"/>
  <c r="C199" i="1"/>
  <c r="B37" i="30"/>
  <c r="C4415" i="1"/>
  <c r="C2552" i="1"/>
  <c r="C2345" i="1"/>
  <c r="B143" i="20"/>
  <c r="C3139" i="1"/>
  <c r="B337" i="13"/>
  <c r="C1362" i="1"/>
  <c r="B290" i="19"/>
  <c r="C2005" i="1"/>
  <c r="C1549" i="1"/>
  <c r="B307" i="13"/>
  <c r="C690" i="1"/>
  <c r="C3887" i="1"/>
  <c r="B779" i="13"/>
  <c r="B1" i="10"/>
  <c r="B552" i="18"/>
  <c r="C4040" i="1"/>
  <c r="B165" i="17"/>
  <c r="B24" i="2"/>
  <c r="B154" i="14"/>
  <c r="B62" i="13"/>
  <c r="C663" i="1"/>
  <c r="C3331" i="1"/>
  <c r="B114" i="14"/>
  <c r="B16" i="25"/>
  <c r="C584" i="1"/>
  <c r="B13" i="23"/>
  <c r="B561" i="19"/>
  <c r="B188" i="19"/>
  <c r="B3" i="19"/>
  <c r="B591" i="13"/>
  <c r="C386" i="1"/>
  <c r="B18" i="30"/>
  <c r="C800" i="1"/>
  <c r="C1272" i="1"/>
  <c r="C4330" i="1"/>
  <c r="B299" i="6"/>
  <c r="B139" i="18"/>
  <c r="B643" i="19"/>
  <c r="C3651" i="1"/>
  <c r="C3044" i="1"/>
  <c r="B592" i="19"/>
  <c r="C2868" i="1"/>
  <c r="C3189" i="1"/>
  <c r="C3348" i="1"/>
  <c r="C3499" i="1"/>
  <c r="C3213" i="1"/>
  <c r="B174" i="3"/>
  <c r="B239" i="13"/>
  <c r="B122" i="6"/>
  <c r="C2585" i="1"/>
  <c r="C2883" i="1"/>
  <c r="B24" i="17"/>
  <c r="B602" i="14"/>
  <c r="B646" i="19"/>
  <c r="C2110" i="1"/>
  <c r="B514" i="19"/>
  <c r="B48" i="28"/>
  <c r="C276" i="1"/>
  <c r="C3258" i="1"/>
  <c r="B613" i="14"/>
  <c r="C1580" i="1"/>
  <c r="C3013" i="1"/>
  <c r="B835" i="13"/>
  <c r="C1887" i="1"/>
  <c r="C236" i="1"/>
  <c r="C382" i="1"/>
  <c r="B245" i="6"/>
  <c r="B134" i="20"/>
  <c r="B40" i="15"/>
  <c r="B287" i="14"/>
  <c r="B570" i="14"/>
  <c r="B72" i="34"/>
  <c r="B413" i="13"/>
  <c r="B723" i="13"/>
  <c r="B363" i="19"/>
  <c r="B246" i="20"/>
  <c r="B114" i="16"/>
  <c r="B105" i="6"/>
  <c r="B93" i="23"/>
  <c r="C1744" i="1"/>
  <c r="B179" i="19"/>
  <c r="B637" i="13"/>
  <c r="C2882" i="1"/>
  <c r="B184" i="16"/>
  <c r="C1670" i="1"/>
  <c r="C2582" i="1"/>
  <c r="B144" i="13"/>
  <c r="C889" i="1"/>
  <c r="B231" i="14"/>
  <c r="B9" i="18"/>
  <c r="C1493" i="1"/>
  <c r="C4295" i="1"/>
  <c r="B18" i="24"/>
  <c r="B84" i="10"/>
  <c r="B443" i="20"/>
  <c r="B517" i="19"/>
  <c r="C87" i="1"/>
  <c r="C3495" i="1"/>
  <c r="B51" i="29"/>
  <c r="B62" i="23"/>
  <c r="B338" i="18"/>
  <c r="B111" i="6"/>
  <c r="C1888" i="1"/>
  <c r="B48" i="25"/>
  <c r="B25" i="9"/>
  <c r="B340" i="3"/>
  <c r="B428" i="19"/>
  <c r="C3450" i="1"/>
  <c r="B74" i="16"/>
  <c r="B57" i="34"/>
  <c r="C3954" i="1"/>
  <c r="B329" i="19"/>
  <c r="B75" i="2"/>
  <c r="B7" i="7"/>
  <c r="B3" i="27"/>
  <c r="B236" i="3"/>
  <c r="B28" i="29"/>
  <c r="B122" i="29"/>
  <c r="B42" i="6"/>
  <c r="C2385" i="1"/>
  <c r="C3620" i="1"/>
  <c r="B186" i="6"/>
  <c r="B732" i="13"/>
  <c r="C2406" i="1"/>
  <c r="C1408" i="1"/>
  <c r="B68" i="23"/>
  <c r="B97" i="21"/>
  <c r="B79" i="10"/>
  <c r="C3455" i="1"/>
  <c r="B278" i="3"/>
  <c r="C3343" i="1"/>
  <c r="B219" i="18"/>
  <c r="B5" i="32"/>
  <c r="B140" i="17"/>
  <c r="B365" i="19"/>
  <c r="C932" i="1"/>
  <c r="C3062" i="1"/>
  <c r="C501" i="1"/>
  <c r="C3675" i="1"/>
  <c r="B786" i="13"/>
  <c r="B100" i="23"/>
  <c r="C1494" i="1"/>
  <c r="B46" i="23"/>
  <c r="C2842" i="1"/>
  <c r="C1842" i="1"/>
  <c r="B234" i="16"/>
  <c r="C4442" i="1"/>
  <c r="B509" i="14"/>
  <c r="B729" i="19"/>
  <c r="B28" i="3"/>
  <c r="C2006" i="1"/>
  <c r="C1671" i="1"/>
  <c r="C4033" i="1"/>
  <c r="C1252" i="1"/>
  <c r="C2500" i="1"/>
  <c r="B3" i="13"/>
  <c r="C1617" i="1"/>
  <c r="B165" i="21"/>
  <c r="B679" i="19"/>
  <c r="B96" i="23"/>
  <c r="B515" i="19"/>
  <c r="C1420" i="1"/>
  <c r="B22" i="34"/>
  <c r="B37" i="13"/>
  <c r="C2954" i="1"/>
  <c r="C1190" i="1"/>
  <c r="C1624" i="1"/>
  <c r="C559" i="1"/>
  <c r="B80" i="19"/>
  <c r="B487" i="19"/>
  <c r="B534" i="13"/>
  <c r="B508" i="13"/>
  <c r="B187" i="18"/>
  <c r="C4098" i="1"/>
  <c r="C4115" i="1"/>
  <c r="B313" i="14"/>
  <c r="B13" i="19"/>
  <c r="C300" i="1"/>
  <c r="C1583" i="1"/>
  <c r="C2193" i="1"/>
  <c r="C1330" i="1"/>
  <c r="B729" i="13"/>
  <c r="B404" i="20"/>
  <c r="B631" i="19"/>
  <c r="C3132" i="1"/>
  <c r="B104" i="18"/>
  <c r="C2492" i="1"/>
  <c r="B401" i="18"/>
  <c r="B60" i="31"/>
  <c r="B304" i="3"/>
  <c r="B117" i="20"/>
  <c r="B604" i="19"/>
  <c r="B112" i="3"/>
  <c r="B124" i="3"/>
  <c r="C2331" i="1"/>
  <c r="C2453" i="1"/>
  <c r="C2760" i="1"/>
  <c r="B81" i="29"/>
  <c r="C2336" i="1"/>
  <c r="B19" i="16"/>
  <c r="C217" i="1"/>
  <c r="B573" i="13"/>
  <c r="B614" i="19"/>
  <c r="B102" i="10"/>
  <c r="B229" i="14"/>
  <c r="C3745" i="1"/>
  <c r="B110" i="13"/>
  <c r="B144" i="6"/>
  <c r="C1859" i="1"/>
  <c r="C3193" i="1"/>
  <c r="B541" i="19"/>
  <c r="B444" i="18"/>
  <c r="C2756" i="1"/>
  <c r="C1436" i="1"/>
  <c r="B434" i="20"/>
  <c r="B15" i="10"/>
  <c r="B4" i="6"/>
  <c r="B87" i="23"/>
  <c r="C772" i="1"/>
  <c r="B117" i="3"/>
  <c r="C2401" i="1"/>
  <c r="B145" i="21"/>
  <c r="B762" i="13"/>
  <c r="B7" i="23"/>
  <c r="C1453" i="1"/>
  <c r="B412" i="19"/>
  <c r="B48" i="34"/>
  <c r="C3688" i="1"/>
  <c r="B191" i="14"/>
  <c r="B198" i="21"/>
  <c r="B309" i="14"/>
  <c r="C994" i="1"/>
  <c r="C836" i="1"/>
  <c r="B109" i="23"/>
  <c r="C269" i="1"/>
  <c r="C1155" i="1"/>
  <c r="B107" i="13"/>
  <c r="C1579" i="1"/>
  <c r="B616" i="14"/>
  <c r="C2112" i="1"/>
  <c r="B136" i="18"/>
  <c r="B83" i="7"/>
  <c r="B434" i="14"/>
  <c r="C4515" i="1"/>
  <c r="C1344" i="1"/>
  <c r="B110" i="15"/>
  <c r="B280" i="6"/>
  <c r="C3587" i="1"/>
  <c r="C3160" i="1"/>
  <c r="B232" i="19"/>
  <c r="C973" i="1"/>
  <c r="B298" i="6"/>
  <c r="C2159" i="1"/>
  <c r="B521" i="19"/>
  <c r="C3323" i="1"/>
  <c r="C2395" i="1"/>
  <c r="B125" i="17"/>
  <c r="C1409" i="1"/>
  <c r="B470" i="14"/>
  <c r="B195" i="14"/>
  <c r="B110" i="3"/>
  <c r="B687" i="19"/>
  <c r="B44" i="2"/>
  <c r="B8" i="18"/>
  <c r="C2165" i="1"/>
  <c r="B229" i="16"/>
  <c r="C1262" i="1"/>
  <c r="C997" i="1"/>
  <c r="B424" i="18"/>
  <c r="C3192" i="1"/>
  <c r="C266" i="1"/>
  <c r="B45" i="20"/>
  <c r="C1293" i="1"/>
  <c r="B290" i="18"/>
  <c r="B200" i="21"/>
  <c r="C720" i="1"/>
  <c r="B677" i="13"/>
  <c r="B530" i="14"/>
  <c r="C4096" i="1"/>
  <c r="B12" i="6"/>
  <c r="C1489" i="1"/>
  <c r="B194" i="21"/>
  <c r="C1672" i="1"/>
  <c r="C1430" i="1"/>
  <c r="B42" i="10"/>
  <c r="C2769" i="1"/>
  <c r="C31" i="1"/>
  <c r="C288" i="1"/>
  <c r="C3252" i="1"/>
  <c r="B753" i="13"/>
  <c r="B15" i="5"/>
  <c r="C2806" i="1"/>
  <c r="B461" i="13"/>
  <c r="C854" i="1"/>
  <c r="B243" i="19"/>
  <c r="B287" i="3"/>
  <c r="B8" i="28"/>
  <c r="B53" i="6"/>
  <c r="B37" i="3"/>
  <c r="C1962" i="1"/>
  <c r="B676" i="19"/>
  <c r="B136" i="10"/>
  <c r="B150" i="21"/>
  <c r="B23" i="4"/>
  <c r="B15" i="3"/>
  <c r="B38" i="10"/>
  <c r="C4520" i="1"/>
  <c r="B142" i="13"/>
  <c r="B32" i="19"/>
  <c r="C4254" i="1"/>
  <c r="C2503" i="1"/>
  <c r="B844" i="13"/>
  <c r="C1710" i="1"/>
  <c r="C2672" i="1"/>
  <c r="B217" i="19"/>
  <c r="B93" i="20"/>
  <c r="C107" i="1"/>
  <c r="C4215" i="1"/>
  <c r="B22" i="21"/>
  <c r="B108" i="6"/>
  <c r="C1170" i="1"/>
  <c r="C2512" i="1"/>
  <c r="B136" i="7"/>
  <c r="B126" i="13"/>
  <c r="B309" i="19"/>
  <c r="C1034" i="1"/>
  <c r="C3182" i="1"/>
  <c r="B112" i="7"/>
  <c r="B4" i="14"/>
  <c r="C3476" i="1"/>
  <c r="B76" i="16"/>
  <c r="C1655" i="1"/>
  <c r="B21" i="9"/>
  <c r="C1871" i="1"/>
  <c r="C3367" i="1"/>
  <c r="B52" i="15"/>
  <c r="C412" i="1"/>
  <c r="B419" i="18"/>
  <c r="C3843" i="1"/>
  <c r="B247" i="3"/>
  <c r="B672" i="19"/>
  <c r="B27" i="25"/>
  <c r="C1053" i="1"/>
  <c r="B622" i="14"/>
  <c r="B891" i="13"/>
  <c r="B68" i="15"/>
  <c r="B704" i="13"/>
  <c r="B471" i="19"/>
  <c r="B90" i="18"/>
  <c r="B256" i="19"/>
  <c r="B12" i="31"/>
  <c r="B96" i="18"/>
  <c r="C96" i="1"/>
  <c r="B753" i="19"/>
  <c r="B850" i="13"/>
  <c r="C4433" i="1"/>
  <c r="B664" i="19"/>
  <c r="C3327" i="1"/>
  <c r="B469" i="14"/>
  <c r="B17" i="23"/>
  <c r="B504" i="19"/>
  <c r="C3770" i="1"/>
  <c r="B276" i="3"/>
  <c r="C4235" i="1"/>
  <c r="C819" i="1"/>
  <c r="B2" i="34"/>
  <c r="C585" i="1"/>
  <c r="C327" i="1"/>
  <c r="C2976" i="1"/>
  <c r="B718" i="19"/>
  <c r="C411" i="1"/>
  <c r="C354" i="1"/>
  <c r="B13" i="21"/>
  <c r="B787" i="13"/>
  <c r="B546" i="19"/>
  <c r="C389" i="1"/>
  <c r="B94" i="18"/>
  <c r="C1933" i="1"/>
  <c r="C4372" i="1"/>
  <c r="B169" i="21"/>
  <c r="C3067" i="1"/>
  <c r="B176" i="14"/>
  <c r="B327" i="14"/>
  <c r="C1864" i="1"/>
  <c r="C743" i="1"/>
  <c r="C1290" i="1"/>
  <c r="B211" i="13"/>
  <c r="B169" i="14"/>
  <c r="C545" i="1"/>
  <c r="B163" i="16"/>
  <c r="C2919" i="1"/>
  <c r="B28" i="18"/>
  <c r="C3536" i="1"/>
  <c r="B421" i="14"/>
  <c r="B314" i="20"/>
  <c r="C1403" i="1"/>
  <c r="C3117" i="1"/>
  <c r="C855" i="1"/>
  <c r="B377" i="18"/>
  <c r="B191" i="13"/>
  <c r="C3377" i="1"/>
  <c r="C4218" i="1"/>
  <c r="B415" i="19"/>
  <c r="C2789" i="1"/>
  <c r="C1113" i="1"/>
  <c r="B396" i="13"/>
  <c r="C1064" i="1"/>
  <c r="B191" i="19"/>
  <c r="B2" i="22"/>
  <c r="B545" i="19"/>
  <c r="C2812" i="1"/>
  <c r="C4144" i="1"/>
  <c r="B348" i="19"/>
  <c r="B90" i="20"/>
  <c r="C2745" i="1"/>
  <c r="B628" i="13"/>
  <c r="B92" i="13"/>
  <c r="C3177" i="1"/>
  <c r="B91" i="29"/>
  <c r="B563" i="18"/>
  <c r="B62" i="16"/>
  <c r="B892" i="13"/>
  <c r="B20" i="13"/>
  <c r="B127" i="21"/>
  <c r="B444" i="19"/>
  <c r="C626" i="1"/>
  <c r="B730" i="13"/>
  <c r="B371" i="13"/>
  <c r="B121" i="29"/>
  <c r="B390" i="19"/>
  <c r="B50" i="6"/>
  <c r="B16" i="4"/>
  <c r="B174" i="18"/>
  <c r="B18" i="2"/>
  <c r="B27" i="34"/>
  <c r="B240" i="19"/>
  <c r="B300" i="20"/>
  <c r="B663" i="13"/>
  <c r="C2012" i="1"/>
  <c r="B95" i="14"/>
  <c r="B769" i="13"/>
  <c r="B623" i="19"/>
  <c r="B366" i="13"/>
  <c r="C3378" i="1"/>
  <c r="B482" i="13"/>
  <c r="C4476" i="1"/>
  <c r="B728" i="19"/>
  <c r="C479" i="1"/>
  <c r="C1440" i="1"/>
  <c r="B376" i="19"/>
  <c r="B246" i="19"/>
  <c r="C225" i="1"/>
  <c r="C3869" i="1"/>
  <c r="B553" i="18"/>
  <c r="C856" i="1"/>
  <c r="B75" i="19"/>
  <c r="C1593" i="1"/>
  <c r="B301" i="13"/>
  <c r="B526" i="13"/>
  <c r="C4280" i="1"/>
  <c r="B112" i="13"/>
  <c r="B348" i="18"/>
  <c r="C1622" i="1"/>
  <c r="C610" i="1"/>
  <c r="C791" i="1"/>
  <c r="C3919" i="1"/>
  <c r="C1477" i="1"/>
  <c r="B201" i="19"/>
  <c r="B41" i="34"/>
  <c r="C1772" i="1"/>
  <c r="B43" i="26"/>
  <c r="B204" i="14"/>
  <c r="B258" i="18"/>
  <c r="B628" i="19"/>
  <c r="C1861" i="1"/>
  <c r="B7" i="4"/>
  <c r="C1675" i="1"/>
  <c r="B386" i="20"/>
  <c r="C1697" i="1"/>
  <c r="B773" i="19"/>
  <c r="C3152" i="1"/>
  <c r="B741" i="13"/>
  <c r="B181" i="7"/>
  <c r="C1295" i="1"/>
  <c r="B293" i="14"/>
  <c r="C2465" i="1"/>
  <c r="B237" i="20"/>
  <c r="C2687" i="1"/>
  <c r="B25" i="7"/>
  <c r="B213" i="3"/>
  <c r="C206" i="1"/>
  <c r="B134" i="16"/>
  <c r="B213" i="21"/>
  <c r="C3705" i="1"/>
  <c r="B138" i="14"/>
  <c r="B8" i="13"/>
  <c r="B579" i="13"/>
  <c r="C1826" i="1"/>
  <c r="C494" i="1"/>
  <c r="B20" i="23"/>
  <c r="B466" i="13"/>
  <c r="C3768" i="1"/>
  <c r="B60" i="7"/>
  <c r="B110" i="7"/>
  <c r="B67" i="17"/>
  <c r="C1077" i="1"/>
  <c r="C2143" i="1"/>
  <c r="C2079" i="1"/>
  <c r="B52" i="17"/>
  <c r="B138" i="21"/>
  <c r="C3453" i="1"/>
  <c r="B459" i="20"/>
  <c r="B5" i="3"/>
  <c r="C1104" i="1"/>
  <c r="C4283" i="1"/>
  <c r="B613" i="13"/>
  <c r="C4093" i="1"/>
  <c r="C2423" i="1"/>
  <c r="C2131" i="1"/>
  <c r="C3174" i="1"/>
  <c r="B650" i="13"/>
  <c r="B713" i="13"/>
  <c r="B124" i="14"/>
  <c r="C1405" i="1"/>
  <c r="C1529" i="1"/>
  <c r="B277" i="13"/>
  <c r="B503" i="13"/>
  <c r="B309" i="13"/>
  <c r="B119" i="29"/>
  <c r="C3781" i="1"/>
  <c r="B124" i="29"/>
  <c r="C475" i="1"/>
  <c r="C1523" i="1"/>
  <c r="B803" i="13"/>
  <c r="C1297" i="1"/>
  <c r="C951" i="1"/>
  <c r="C2748" i="1"/>
  <c r="B355" i="20"/>
  <c r="C1981" i="1"/>
  <c r="B54" i="3"/>
  <c r="C4259" i="1"/>
  <c r="B785" i="13"/>
  <c r="B363" i="13"/>
  <c r="B197" i="14"/>
  <c r="C1049" i="1"/>
  <c r="C1522" i="1"/>
  <c r="C3789" i="1"/>
  <c r="C1800" i="1"/>
  <c r="C3342" i="1"/>
  <c r="B203" i="6"/>
  <c r="C1232" i="1"/>
  <c r="B326" i="13"/>
  <c r="B22" i="25"/>
  <c r="C1575" i="1"/>
  <c r="B486" i="13"/>
  <c r="B524" i="14"/>
  <c r="C4464" i="1"/>
  <c r="B26" i="2"/>
  <c r="C267" i="1"/>
  <c r="B419" i="20"/>
  <c r="B57" i="16"/>
  <c r="B116" i="31"/>
  <c r="C2024" i="1"/>
  <c r="C331" i="1"/>
  <c r="C2556" i="1"/>
  <c r="C2589" i="1"/>
  <c r="B230" i="14"/>
  <c r="B507" i="18"/>
  <c r="B185" i="7"/>
  <c r="B661" i="19"/>
  <c r="C2346" i="1"/>
  <c r="B531" i="14"/>
  <c r="B459" i="19"/>
  <c r="C3626" i="1"/>
  <c r="B860" i="13"/>
  <c r="B226" i="16"/>
  <c r="C4569" i="1"/>
  <c r="C517" i="1"/>
  <c r="B615" i="13"/>
  <c r="C3088" i="1"/>
  <c r="C3237" i="1"/>
  <c r="C752" i="1"/>
  <c r="B731" i="13"/>
  <c r="B184" i="3"/>
  <c r="C4511" i="1"/>
  <c r="B215" i="21"/>
  <c r="C3120" i="1"/>
  <c r="B20" i="32"/>
  <c r="B56" i="23"/>
  <c r="C1743" i="1"/>
  <c r="C2548" i="1"/>
  <c r="B456" i="20"/>
  <c r="B302" i="19"/>
  <c r="C1799" i="1"/>
  <c r="C1543" i="1"/>
  <c r="B79" i="19"/>
  <c r="B271" i="3"/>
  <c r="B212" i="20"/>
  <c r="B216" i="14"/>
  <c r="C3613" i="1"/>
  <c r="C627" i="1"/>
  <c r="B20" i="34"/>
  <c r="B317" i="13"/>
  <c r="C97" i="1"/>
  <c r="C2337" i="1"/>
  <c r="B246" i="3"/>
  <c r="B157" i="7"/>
  <c r="B22" i="18"/>
  <c r="B25" i="3"/>
  <c r="C3525" i="1"/>
  <c r="B549" i="19"/>
  <c r="B24" i="14"/>
  <c r="B287" i="19"/>
  <c r="C3363" i="1"/>
  <c r="C2000" i="1"/>
  <c r="B77" i="15"/>
  <c r="B19" i="2"/>
  <c r="C532" i="1"/>
  <c r="C2921" i="1"/>
  <c r="C2717" i="1"/>
  <c r="C4417" i="1"/>
  <c r="C3969" i="1"/>
  <c r="C80" i="1"/>
  <c r="B682" i="19"/>
  <c r="C2685" i="1"/>
  <c r="B296" i="3"/>
  <c r="C883" i="1"/>
  <c r="B80" i="21"/>
  <c r="B116" i="7"/>
  <c r="B300" i="13"/>
  <c r="C1389" i="1"/>
  <c r="C2593" i="1"/>
  <c r="B67" i="23"/>
  <c r="B120" i="20"/>
  <c r="B475" i="13"/>
  <c r="B257" i="13"/>
  <c r="C237" i="1"/>
  <c r="C1066" i="1"/>
  <c r="B101" i="18"/>
  <c r="C3075" i="1"/>
  <c r="B49" i="23"/>
  <c r="B47" i="10"/>
  <c r="B388" i="19"/>
  <c r="C1404" i="1"/>
  <c r="C3473" i="1"/>
  <c r="C738" i="1"/>
  <c r="B443" i="14"/>
  <c r="B654" i="19"/>
  <c r="B458" i="18"/>
  <c r="B60" i="14"/>
  <c r="B108" i="3"/>
  <c r="C66" i="1"/>
  <c r="C3449" i="1"/>
  <c r="B186" i="7"/>
  <c r="B158" i="21"/>
  <c r="C544" i="1"/>
  <c r="B163" i="21"/>
  <c r="C3382" i="1"/>
  <c r="B198" i="18"/>
  <c r="C4460" i="1"/>
  <c r="B324" i="13"/>
  <c r="B98" i="10"/>
  <c r="B433" i="20"/>
  <c r="C4100" i="1"/>
  <c r="C625" i="1"/>
  <c r="B91" i="7"/>
  <c r="C1199" i="1"/>
  <c r="C1833" i="1"/>
  <c r="C900" i="1"/>
  <c r="C874" i="1"/>
  <c r="B23" i="15"/>
  <c r="B131" i="13"/>
  <c r="B260" i="19"/>
  <c r="B522" i="14"/>
  <c r="C551" i="1"/>
  <c r="B16" i="20"/>
  <c r="B778" i="19"/>
  <c r="C751" i="1"/>
  <c r="C3105" i="1"/>
  <c r="B73" i="20"/>
  <c r="C3695" i="1"/>
  <c r="B272" i="6"/>
  <c r="C229" i="1"/>
  <c r="C4490" i="1"/>
  <c r="C1397" i="1"/>
  <c r="B196" i="16"/>
  <c r="B619" i="14"/>
  <c r="C1418" i="1"/>
  <c r="C3555" i="1"/>
  <c r="B322" i="13"/>
  <c r="B302" i="14"/>
  <c r="C1178" i="1"/>
  <c r="C3095" i="1"/>
  <c r="B332" i="14"/>
  <c r="B577" i="13"/>
  <c r="B535" i="19"/>
  <c r="C3851" i="1"/>
  <c r="C948" i="1"/>
  <c r="C3346" i="1"/>
  <c r="B164" i="14"/>
  <c r="C2183" i="1"/>
  <c r="B380" i="19"/>
  <c r="C3572" i="1"/>
  <c r="C2062" i="1"/>
  <c r="C3282" i="1"/>
  <c r="C763" i="1"/>
  <c r="B221" i="18"/>
  <c r="B172" i="21"/>
  <c r="C4406" i="1"/>
  <c r="C1027" i="1"/>
  <c r="C4204" i="1"/>
  <c r="B425" i="14"/>
  <c r="C912" i="1"/>
  <c r="C4334" i="1"/>
  <c r="B176" i="13"/>
  <c r="B67" i="19"/>
  <c r="B129" i="13"/>
  <c r="C3244" i="1"/>
  <c r="B83" i="10"/>
  <c r="B554" i="19"/>
  <c r="C3830" i="1"/>
  <c r="B108" i="7"/>
  <c r="B281" i="6"/>
  <c r="B567" i="13"/>
  <c r="C2187" i="1"/>
  <c r="B111" i="19"/>
  <c r="B71" i="20"/>
  <c r="C4465" i="1"/>
  <c r="C1784" i="1"/>
  <c r="C2871" i="1"/>
  <c r="C3589" i="1"/>
  <c r="C2073" i="1"/>
  <c r="C757" i="1"/>
  <c r="B7" i="26"/>
  <c r="B422" i="18"/>
  <c r="B562" i="13"/>
  <c r="B585" i="19"/>
  <c r="C1098" i="1"/>
  <c r="B446" i="19"/>
  <c r="B541" i="13"/>
  <c r="B415" i="18"/>
  <c r="B340" i="20"/>
  <c r="C882" i="1"/>
  <c r="B56" i="14"/>
  <c r="B184" i="29"/>
  <c r="C1241" i="1"/>
  <c r="C2042" i="1"/>
  <c r="B174" i="19"/>
  <c r="B195" i="21"/>
  <c r="C1159" i="1"/>
  <c r="B529" i="19"/>
  <c r="B96" i="10"/>
  <c r="B13" i="15"/>
  <c r="B94" i="13"/>
  <c r="B816" i="13"/>
  <c r="C2184" i="1"/>
  <c r="B90" i="10"/>
  <c r="B65" i="13"/>
  <c r="C4240" i="1"/>
  <c r="C3826" i="1"/>
  <c r="C2807" i="1"/>
  <c r="B248" i="20"/>
  <c r="B603" i="13"/>
  <c r="C611" i="1"/>
  <c r="B295" i="20"/>
  <c r="C1895" i="1"/>
  <c r="C3135" i="1"/>
  <c r="C1759" i="1"/>
  <c r="C2819" i="1"/>
  <c r="C426" i="1"/>
  <c r="C4450" i="1"/>
  <c r="B333" i="3"/>
  <c r="B36" i="14"/>
  <c r="C2241" i="1"/>
  <c r="B111" i="29"/>
  <c r="B573" i="19"/>
  <c r="C435" i="1"/>
  <c r="C15" i="1"/>
  <c r="C3061" i="1"/>
  <c r="C2997" i="1"/>
  <c r="B1" i="3"/>
  <c r="B15" i="13"/>
  <c r="C665" i="1"/>
  <c r="B176" i="16"/>
  <c r="B335" i="3"/>
  <c r="C2835" i="1"/>
  <c r="B461" i="18"/>
  <c r="C4122" i="1"/>
  <c r="B496" i="14"/>
  <c r="B3" i="9"/>
  <c r="B38" i="19"/>
  <c r="C4560" i="1"/>
  <c r="B169" i="13"/>
  <c r="C150" i="1"/>
  <c r="B359" i="20"/>
  <c r="B125" i="14"/>
  <c r="C3309" i="1"/>
  <c r="B61" i="15"/>
  <c r="B51" i="16"/>
  <c r="B599" i="19"/>
  <c r="B86" i="20"/>
  <c r="B399" i="20"/>
  <c r="B31" i="6"/>
  <c r="C3676" i="1"/>
  <c r="B430" i="14"/>
  <c r="B41" i="23"/>
  <c r="C3706" i="1"/>
  <c r="B160" i="20"/>
  <c r="C749" i="1"/>
  <c r="C4221" i="1"/>
  <c r="B137" i="18"/>
  <c r="B378" i="13"/>
  <c r="B63" i="20"/>
  <c r="B235" i="16"/>
  <c r="B408" i="20"/>
  <c r="B165" i="3"/>
  <c r="B331" i="20"/>
  <c r="B75" i="31"/>
  <c r="B164" i="3"/>
  <c r="C1495" i="1"/>
  <c r="B240" i="3"/>
  <c r="C549" i="1"/>
  <c r="B59" i="13"/>
  <c r="C1709" i="1"/>
  <c r="C1897" i="1"/>
  <c r="C11" i="1"/>
  <c r="C1948" i="1"/>
  <c r="B10" i="34"/>
  <c r="B64" i="29"/>
  <c r="B36" i="3"/>
  <c r="B439" i="13"/>
  <c r="B388" i="13"/>
  <c r="B200" i="6"/>
  <c r="C2129" i="1"/>
  <c r="B674" i="19"/>
  <c r="B438" i="18"/>
  <c r="B442" i="18"/>
  <c r="B685" i="19"/>
  <c r="C2418" i="1"/>
  <c r="C3506" i="1"/>
  <c r="C2292" i="1"/>
  <c r="B357" i="20"/>
  <c r="B677" i="19"/>
  <c r="C760" i="1"/>
  <c r="C2189" i="1"/>
  <c r="B116" i="16"/>
  <c r="B46" i="29"/>
  <c r="B621" i="14"/>
  <c r="C1764" i="1"/>
  <c r="B105" i="10"/>
  <c r="C1439" i="1"/>
  <c r="B299" i="20"/>
  <c r="C560" i="1"/>
  <c r="B214" i="19"/>
  <c r="B546" i="18"/>
  <c r="C777" i="1"/>
  <c r="B386" i="13"/>
  <c r="B432" i="20"/>
  <c r="B105" i="3"/>
  <c r="B397" i="14"/>
  <c r="B433" i="13"/>
  <c r="B229" i="6"/>
  <c r="C2705" i="1"/>
  <c r="B184" i="13"/>
  <c r="B795" i="13"/>
  <c r="B547" i="14"/>
  <c r="B398" i="13"/>
  <c r="C4318" i="1"/>
  <c r="B20" i="3"/>
  <c r="B284" i="20"/>
  <c r="C192" i="1"/>
  <c r="B513" i="13"/>
  <c r="C2735" i="1"/>
  <c r="B81" i="18"/>
  <c r="C4529" i="1"/>
  <c r="B550" i="19"/>
  <c r="C866" i="1"/>
  <c r="B43" i="14"/>
  <c r="B183" i="14"/>
  <c r="B800" i="13"/>
  <c r="B550" i="13"/>
  <c r="C2551" i="1"/>
  <c r="C2855" i="1"/>
  <c r="B173" i="13"/>
  <c r="C809" i="1"/>
  <c r="C3780" i="1"/>
  <c r="C3893" i="1"/>
  <c r="C1649" i="1"/>
  <c r="B322" i="6"/>
  <c r="B156" i="16"/>
  <c r="B233" i="3"/>
  <c r="C2536" i="1"/>
  <c r="B317" i="3"/>
  <c r="B14" i="26"/>
  <c r="C1146" i="1"/>
  <c r="C1269" i="1"/>
  <c r="C1312" i="1"/>
  <c r="B341" i="20"/>
  <c r="B653" i="13"/>
  <c r="B16" i="26"/>
  <c r="B34" i="20"/>
  <c r="B409" i="14"/>
  <c r="C151" i="1"/>
  <c r="C1708" i="1"/>
  <c r="C4512" i="1"/>
  <c r="B52" i="34"/>
  <c r="B578" i="19"/>
  <c r="C90" i="1"/>
  <c r="C666" i="1"/>
  <c r="B10" i="4"/>
  <c r="C2829" i="1"/>
  <c r="C2625" i="1"/>
  <c r="C290" i="1"/>
  <c r="C1711" i="1"/>
  <c r="C3655" i="1"/>
  <c r="B806" i="13"/>
  <c r="B45" i="26"/>
  <c r="C2394" i="1"/>
  <c r="B810" i="13"/>
  <c r="B9" i="17"/>
  <c r="C3862" i="1"/>
  <c r="B627" i="19"/>
  <c r="B64" i="28"/>
  <c r="C112" i="1"/>
  <c r="B41" i="16"/>
  <c r="C3886" i="1"/>
  <c r="B303" i="6"/>
  <c r="B32" i="7"/>
  <c r="C1544" i="1"/>
  <c r="C1845" i="1"/>
  <c r="C2358" i="1"/>
  <c r="C2550" i="1"/>
  <c r="B60" i="34"/>
  <c r="B209" i="21"/>
  <c r="C2824" i="1"/>
  <c r="C2832" i="1"/>
  <c r="B49" i="19"/>
  <c r="B34" i="15"/>
  <c r="B4" i="10"/>
  <c r="B288" i="14"/>
  <c r="C3403" i="1"/>
  <c r="C2881" i="1"/>
  <c r="B90" i="31"/>
  <c r="B44" i="23"/>
  <c r="C3755" i="1"/>
  <c r="B490" i="13"/>
  <c r="B106" i="13"/>
  <c r="B256" i="14"/>
  <c r="B2" i="15"/>
  <c r="B32" i="20"/>
  <c r="C1167" i="1"/>
  <c r="C1455" i="1"/>
  <c r="C512" i="1"/>
  <c r="B399" i="13"/>
  <c r="B190" i="16"/>
  <c r="C4174" i="1"/>
  <c r="B16" i="24"/>
  <c r="B100" i="19"/>
  <c r="B227" i="16"/>
  <c r="C2542" i="1"/>
  <c r="B36" i="31"/>
  <c r="C420" i="1"/>
  <c r="C3684" i="1"/>
  <c r="B140" i="19"/>
  <c r="C2578" i="1"/>
  <c r="B776" i="13"/>
  <c r="C2064" i="1"/>
  <c r="B110" i="20"/>
  <c r="B279" i="14"/>
  <c r="B97" i="29"/>
  <c r="C1004" i="1"/>
  <c r="B178" i="29"/>
  <c r="B304" i="14"/>
  <c r="B10" i="7"/>
  <c r="C3101" i="1"/>
  <c r="C187" i="1"/>
  <c r="B9" i="4"/>
  <c r="B440" i="18"/>
  <c r="C3059" i="1"/>
  <c r="C4197" i="1"/>
  <c r="C3154" i="1"/>
  <c r="B482" i="14"/>
  <c r="B368" i="19"/>
  <c r="C2676" i="1"/>
  <c r="B106" i="7"/>
  <c r="B473" i="18"/>
  <c r="C2483" i="1"/>
  <c r="C3263" i="1"/>
  <c r="C3123" i="1"/>
  <c r="C3300" i="1"/>
  <c r="C1612" i="1"/>
  <c r="B137" i="14"/>
  <c r="C2133" i="1"/>
  <c r="C4398" i="1"/>
  <c r="B537" i="19"/>
  <c r="B164" i="13"/>
  <c r="B333" i="20"/>
  <c r="C366" i="1"/>
  <c r="C1550" i="1"/>
  <c r="B8" i="23"/>
  <c r="B26" i="25"/>
  <c r="C56" i="1"/>
  <c r="C3639" i="1"/>
  <c r="C2991" i="1"/>
  <c r="C1419" i="1"/>
  <c r="C452" i="1"/>
  <c r="B143" i="21"/>
  <c r="B330" i="3"/>
  <c r="C3814" i="1"/>
  <c r="B299" i="3"/>
  <c r="C309" i="1"/>
  <c r="C1388" i="1"/>
  <c r="C500" i="1"/>
  <c r="C2861" i="1"/>
  <c r="B684" i="19"/>
  <c r="C4225" i="1"/>
  <c r="C176" i="1"/>
  <c r="B665" i="13"/>
  <c r="B387" i="13"/>
  <c r="C1721" i="1"/>
  <c r="C755" i="1"/>
  <c r="B36" i="34"/>
  <c r="C3722" i="1"/>
  <c r="B107" i="20"/>
  <c r="B168" i="21"/>
  <c r="C36" i="1"/>
  <c r="C1944" i="1"/>
  <c r="C3022" i="1"/>
  <c r="C265" i="1"/>
  <c r="B11" i="29"/>
  <c r="B61" i="20"/>
  <c r="C3017" i="1"/>
  <c r="B620" i="13"/>
  <c r="C3066" i="1"/>
  <c r="B557" i="14"/>
  <c r="B129" i="29"/>
  <c r="B797" i="13"/>
  <c r="C2496" i="1"/>
  <c r="B298" i="20"/>
  <c r="B199" i="6"/>
  <c r="B426" i="13"/>
  <c r="B73" i="19"/>
  <c r="C3284" i="1"/>
  <c r="C4329" i="1"/>
  <c r="C1369" i="1"/>
  <c r="B135" i="7"/>
  <c r="C4267" i="1"/>
  <c r="C499" i="1"/>
  <c r="B206" i="19"/>
  <c r="C294" i="1"/>
  <c r="C2440" i="1"/>
  <c r="C2576" i="1"/>
  <c r="C1044" i="1"/>
  <c r="C2983" i="1"/>
  <c r="C4463" i="1"/>
  <c r="C4435" i="1"/>
  <c r="B170" i="3"/>
  <c r="B121" i="13"/>
  <c r="C4473" i="1"/>
  <c r="C51" i="1"/>
  <c r="C274" i="1"/>
  <c r="C1714" i="1"/>
  <c r="B211" i="19"/>
  <c r="B358" i="19"/>
  <c r="B21" i="7"/>
  <c r="C4039" i="1"/>
  <c r="C2877" i="1"/>
  <c r="B172" i="7"/>
  <c r="B26" i="20"/>
  <c r="C2454" i="1"/>
  <c r="B38" i="3"/>
  <c r="C1515" i="1"/>
  <c r="C1065" i="1"/>
  <c r="C1428" i="1"/>
  <c r="B11" i="32"/>
  <c r="C3885" i="1"/>
  <c r="C3451" i="1"/>
  <c r="B39" i="31"/>
  <c r="B234" i="20"/>
  <c r="C1827" i="1"/>
  <c r="B2" i="7"/>
  <c r="C2320" i="1"/>
  <c r="B11" i="26"/>
  <c r="B446" i="20"/>
  <c r="C1949" i="1"/>
  <c r="C2382" i="1"/>
  <c r="B30" i="19"/>
  <c r="B404" i="19"/>
  <c r="C1438" i="1"/>
  <c r="B34" i="23"/>
  <c r="B524" i="19"/>
  <c r="C2218" i="1"/>
  <c r="B315" i="13"/>
  <c r="B473" i="19"/>
  <c r="B25" i="15"/>
  <c r="C2498" i="1"/>
  <c r="B29" i="30"/>
  <c r="C3125" i="1"/>
  <c r="B545" i="13"/>
  <c r="B145" i="20"/>
  <c r="C3870" i="1"/>
  <c r="B253" i="19"/>
  <c r="B204" i="21"/>
  <c r="C142" i="1"/>
  <c r="B129" i="20"/>
  <c r="C1725" i="1"/>
  <c r="C1516" i="1"/>
  <c r="C3561" i="1"/>
  <c r="B394" i="13"/>
  <c r="B129" i="3"/>
  <c r="B107" i="31"/>
  <c r="C2260" i="1"/>
  <c r="B49" i="3"/>
  <c r="B86" i="14"/>
  <c r="C2364" i="1"/>
  <c r="B502" i="19"/>
  <c r="C280" i="1"/>
  <c r="C4385" i="1"/>
  <c r="C2380" i="1"/>
  <c r="B51" i="20"/>
  <c r="B105" i="7"/>
  <c r="B279" i="6"/>
  <c r="C2166" i="1"/>
  <c r="B15" i="25"/>
  <c r="B728" i="13"/>
  <c r="C4537" i="1"/>
  <c r="C2731" i="1"/>
  <c r="B447" i="18"/>
  <c r="C2168" i="1"/>
  <c r="B81" i="23"/>
  <c r="C2355" i="1"/>
  <c r="C372" i="1"/>
  <c r="C2415" i="1"/>
  <c r="B99" i="21"/>
  <c r="C673" i="1"/>
  <c r="C4510" i="1"/>
  <c r="C315" i="1"/>
  <c r="C3816" i="1"/>
  <c r="C2257" i="1"/>
  <c r="B375" i="20"/>
  <c r="C1613" i="1"/>
  <c r="C1640" i="1"/>
  <c r="C2179" i="1"/>
  <c r="B610" i="19"/>
  <c r="B163" i="29"/>
  <c r="C3796" i="1"/>
  <c r="C3725" i="1"/>
  <c r="C802" i="1"/>
  <c r="B436" i="14"/>
  <c r="B241" i="14"/>
  <c r="B152" i="7"/>
  <c r="C1456" i="1"/>
  <c r="C3436" i="1"/>
  <c r="B80" i="3"/>
  <c r="C1680" i="1"/>
  <c r="B15" i="30"/>
  <c r="C3845" i="1"/>
  <c r="B435" i="14"/>
  <c r="C4084" i="1"/>
  <c r="C284" i="1"/>
  <c r="C1373" i="1"/>
  <c r="B165" i="18"/>
  <c r="C2266" i="1"/>
  <c r="B102" i="7"/>
  <c r="B94" i="31"/>
  <c r="B161" i="13"/>
  <c r="C2198" i="1"/>
  <c r="C593" i="1"/>
  <c r="B130" i="13"/>
  <c r="B26" i="17"/>
  <c r="B320" i="3"/>
  <c r="B228" i="3"/>
  <c r="C1231" i="1"/>
  <c r="B149" i="6"/>
  <c r="B150" i="17"/>
  <c r="B198" i="13"/>
  <c r="B345" i="20"/>
  <c r="B90" i="14"/>
  <c r="C589" i="1"/>
  <c r="B112" i="21"/>
  <c r="C1036" i="1"/>
  <c r="B397" i="13"/>
  <c r="B353" i="14"/>
  <c r="B14" i="14"/>
  <c r="C2650" i="1"/>
  <c r="B225" i="6"/>
  <c r="B88" i="17"/>
  <c r="B336" i="3"/>
  <c r="C841" i="1"/>
  <c r="B72" i="15"/>
  <c r="C1735" i="1"/>
  <c r="B517" i="14"/>
  <c r="B336" i="19"/>
  <c r="B198" i="16"/>
  <c r="B481" i="18"/>
  <c r="C2386" i="1"/>
  <c r="B63" i="23"/>
  <c r="B96" i="3"/>
  <c r="B887" i="13"/>
  <c r="C3558" i="1"/>
  <c r="B290" i="3"/>
  <c r="C4155" i="1"/>
  <c r="C74" i="1"/>
  <c r="B595" i="13"/>
  <c r="B38" i="21"/>
  <c r="C1811" i="1"/>
  <c r="B13" i="9"/>
  <c r="C1011" i="1"/>
  <c r="B611" i="13"/>
  <c r="B313" i="19"/>
  <c r="B11" i="27"/>
  <c r="B31" i="20"/>
  <c r="C4026" i="1"/>
  <c r="B603" i="19"/>
  <c r="C3839" i="1"/>
  <c r="C4274" i="1"/>
  <c r="C4506" i="1"/>
  <c r="C701" i="1"/>
  <c r="B173" i="7"/>
  <c r="C2873" i="1"/>
  <c r="C2575" i="1"/>
  <c r="C865" i="1"/>
  <c r="B716" i="19"/>
  <c r="B277" i="14"/>
  <c r="B461" i="14"/>
  <c r="B88" i="13"/>
  <c r="B178" i="13"/>
  <c r="C1247" i="1"/>
  <c r="C624" i="1"/>
  <c r="B17" i="10"/>
  <c r="B163" i="6"/>
  <c r="B221" i="13"/>
  <c r="C1834" i="1"/>
  <c r="C3176" i="1"/>
  <c r="C4272" i="1"/>
  <c r="B248" i="19"/>
  <c r="C376" i="1"/>
  <c r="C3260" i="1"/>
  <c r="B29" i="19"/>
  <c r="B29" i="16"/>
  <c r="C2038" i="1"/>
  <c r="B59" i="10"/>
  <c r="B407" i="20"/>
  <c r="B378" i="19"/>
  <c r="B168" i="14"/>
  <c r="C820" i="1"/>
  <c r="B12" i="9"/>
  <c r="B747" i="13"/>
  <c r="B555" i="14"/>
  <c r="C660" i="1"/>
  <c r="C4530" i="1"/>
  <c r="C1855" i="1"/>
  <c r="C1062" i="1"/>
  <c r="C1539" i="1"/>
  <c r="C3204" i="1"/>
  <c r="C748" i="1"/>
  <c r="C2399" i="1"/>
  <c r="B272" i="3"/>
  <c r="B65" i="17"/>
  <c r="C493" i="1"/>
  <c r="C885" i="1"/>
  <c r="B231" i="20"/>
  <c r="B98" i="21"/>
  <c r="B25" i="26"/>
  <c r="B782" i="13"/>
  <c r="B82" i="29"/>
  <c r="B52" i="25"/>
  <c r="B505" i="19"/>
  <c r="B355" i="13"/>
  <c r="B523" i="19"/>
  <c r="C1985" i="1"/>
  <c r="C3457" i="1"/>
  <c r="B79" i="6"/>
  <c r="B44" i="26"/>
  <c r="B255" i="6"/>
  <c r="B828" i="13"/>
  <c r="B105" i="19"/>
  <c r="B63" i="7"/>
  <c r="B13" i="26"/>
  <c r="C3778" i="1"/>
  <c r="B424" i="14"/>
  <c r="C1314" i="1"/>
  <c r="B49" i="13"/>
  <c r="B660" i="19"/>
  <c r="C295" i="1"/>
  <c r="C724" i="1"/>
  <c r="C3966" i="1"/>
  <c r="C368" i="1"/>
  <c r="B468" i="14"/>
  <c r="C3857" i="1"/>
  <c r="B5" i="4"/>
  <c r="B690" i="19"/>
  <c r="C4025" i="1"/>
  <c r="B8" i="6"/>
  <c r="B28" i="20"/>
  <c r="C2845" i="1"/>
  <c r="C2774" i="1"/>
  <c r="C362" i="1"/>
  <c r="C1690" i="1"/>
  <c r="C4310" i="1"/>
  <c r="B69" i="6"/>
  <c r="C1275" i="1"/>
  <c r="C1236" i="1"/>
  <c r="C2419" i="1"/>
  <c r="B16" i="15"/>
  <c r="B28" i="22"/>
  <c r="B823" i="13"/>
  <c r="B532" i="19"/>
  <c r="B2" i="4"/>
  <c r="C385" i="1"/>
  <c r="C921" i="1"/>
  <c r="C157" i="1"/>
  <c r="B17" i="29"/>
  <c r="B639" i="19"/>
  <c r="C1739" i="1"/>
  <c r="B31" i="31"/>
  <c r="B590" i="13"/>
  <c r="B298" i="13"/>
  <c r="B48" i="10"/>
  <c r="C2407" i="1"/>
  <c r="B485" i="18"/>
  <c r="B20" i="9"/>
  <c r="C2993" i="1"/>
  <c r="C3136" i="1"/>
  <c r="B171" i="16"/>
  <c r="B317" i="6"/>
  <c r="B113" i="16"/>
  <c r="B330" i="14"/>
  <c r="B575" i="13"/>
  <c r="B156" i="13"/>
  <c r="C2227" i="1"/>
  <c r="B116" i="14"/>
  <c r="C1507" i="1"/>
  <c r="B177" i="3"/>
  <c r="B375" i="19"/>
  <c r="B815" i="13"/>
  <c r="B86" i="13"/>
  <c r="B247" i="19"/>
  <c r="C492" i="1"/>
  <c r="B19" i="20"/>
  <c r="C3585" i="1"/>
  <c r="B183" i="29"/>
  <c r="B156" i="3"/>
  <c r="C4153" i="1"/>
  <c r="B501" i="14"/>
  <c r="C2863" i="1"/>
  <c r="C2801" i="1"/>
  <c r="B384" i="20"/>
  <c r="C2779" i="1"/>
  <c r="C4469" i="1"/>
  <c r="B51" i="34"/>
  <c r="B305" i="19"/>
  <c r="C3759" i="1"/>
  <c r="B187" i="7"/>
  <c r="B28" i="21"/>
  <c r="C3034" i="1"/>
  <c r="B303" i="14"/>
  <c r="B115" i="16"/>
  <c r="C2305" i="1"/>
  <c r="C4099" i="1"/>
  <c r="C245" i="1"/>
  <c r="C2927" i="1"/>
  <c r="C3370" i="1"/>
  <c r="B141" i="14"/>
  <c r="C455" i="1"/>
  <c r="C799" i="1"/>
  <c r="C181" i="1"/>
  <c r="B776" i="19"/>
  <c r="C83" i="1"/>
  <c r="B763" i="13"/>
  <c r="B182" i="14"/>
  <c r="B362" i="19"/>
  <c r="B120" i="13"/>
  <c r="C448" i="1"/>
  <c r="C1278" i="1"/>
  <c r="C521" i="1"/>
  <c r="C1822" i="1"/>
  <c r="C1512" i="1"/>
  <c r="B43" i="23"/>
  <c r="C3913" i="1"/>
  <c r="B28" i="17"/>
  <c r="B658" i="13"/>
  <c r="C3297" i="1"/>
  <c r="C713" i="1"/>
  <c r="B648" i="13"/>
  <c r="B308" i="6"/>
  <c r="B127" i="17"/>
  <c r="B216" i="16"/>
  <c r="B756" i="19"/>
  <c r="B10" i="13"/>
  <c r="B206" i="29"/>
  <c r="C1037" i="1"/>
  <c r="B25" i="31"/>
  <c r="B210" i="6"/>
  <c r="B480" i="18"/>
  <c r="C2759" i="1"/>
  <c r="C2478" i="1"/>
  <c r="C3661" i="1"/>
  <c r="C615" i="1"/>
  <c r="C1331" i="1"/>
  <c r="C3720" i="1"/>
  <c r="C3740" i="1"/>
  <c r="B540" i="13"/>
  <c r="B35" i="30"/>
  <c r="B489" i="13"/>
  <c r="B691" i="13"/>
  <c r="C349" i="1"/>
  <c r="B36" i="10"/>
  <c r="B23" i="20"/>
  <c r="C3294" i="1"/>
  <c r="B16" i="14"/>
  <c r="B29" i="31"/>
  <c r="C2010" i="1"/>
  <c r="C2813" i="1"/>
  <c r="B608" i="14"/>
  <c r="C1607" i="1"/>
  <c r="B125" i="13"/>
  <c r="B108" i="23"/>
  <c r="C353" i="1"/>
  <c r="B200" i="3"/>
  <c r="B184" i="14"/>
  <c r="B81" i="31"/>
  <c r="B234" i="14"/>
  <c r="B847" i="13"/>
  <c r="B17" i="3"/>
  <c r="B485" i="13"/>
  <c r="C3836" i="1"/>
  <c r="B78" i="16"/>
  <c r="B441" i="13"/>
  <c r="C1240" i="1"/>
  <c r="B458" i="14"/>
  <c r="B66" i="13"/>
  <c r="B76" i="34"/>
  <c r="B66" i="31"/>
  <c r="B38" i="28"/>
  <c r="B11" i="7"/>
  <c r="B4" i="15"/>
  <c r="B212" i="19"/>
  <c r="C1727" i="1"/>
  <c r="C956" i="1"/>
  <c r="B4" i="2"/>
  <c r="B30" i="30"/>
  <c r="B433" i="14"/>
  <c r="C1883" i="1"/>
  <c r="C3421" i="1"/>
  <c r="B20" i="16"/>
  <c r="B178" i="21"/>
  <c r="B527" i="19"/>
  <c r="C4308" i="1"/>
  <c r="B330" i="13"/>
  <c r="B250" i="3"/>
  <c r="B237" i="13"/>
  <c r="C1964" i="1"/>
  <c r="B245" i="16"/>
  <c r="B492" i="14"/>
  <c r="C3064" i="1"/>
  <c r="C2350" i="1"/>
  <c r="B291" i="19"/>
  <c r="C325" i="1"/>
  <c r="C1715" i="1"/>
  <c r="B118" i="14"/>
  <c r="B46" i="31"/>
  <c r="C4205" i="1"/>
  <c r="C2101" i="1"/>
  <c r="B102" i="6"/>
  <c r="B33" i="6"/>
  <c r="B52" i="16"/>
  <c r="C908" i="1"/>
  <c r="C1931" i="1"/>
  <c r="C2910" i="1"/>
  <c r="B58" i="21"/>
  <c r="B74" i="7"/>
  <c r="B76" i="2"/>
  <c r="B544" i="13"/>
  <c r="B194" i="18"/>
  <c r="C3428" i="1"/>
  <c r="B232" i="13"/>
  <c r="B265" i="6"/>
  <c r="B231" i="13"/>
  <c r="B56" i="2"/>
  <c r="B3" i="15"/>
  <c r="C2517" i="1"/>
  <c r="C3791" i="1"/>
  <c r="C2702" i="1"/>
  <c r="C3372" i="1"/>
  <c r="C1930" i="1"/>
  <c r="C2291" i="1"/>
  <c r="B73" i="34"/>
  <c r="B36" i="21"/>
  <c r="C1789" i="1"/>
  <c r="C1936" i="1"/>
  <c r="B112" i="20"/>
  <c r="C1683" i="1"/>
  <c r="B101" i="23"/>
  <c r="B88" i="19"/>
  <c r="C1932" i="1"/>
  <c r="C2688" i="1"/>
  <c r="C2249" i="1"/>
  <c r="B268" i="20"/>
  <c r="B298" i="3"/>
  <c r="C938" i="1"/>
  <c r="B67" i="29"/>
  <c r="C775" i="1"/>
  <c r="B206" i="18"/>
  <c r="B296" i="14"/>
  <c r="C3824" i="1"/>
  <c r="B153" i="16"/>
  <c r="C2149" i="1"/>
  <c r="C1366" i="1"/>
  <c r="C3976" i="1"/>
  <c r="B180" i="16"/>
  <c r="B244" i="13"/>
  <c r="B109" i="10"/>
  <c r="B580" i="13"/>
  <c r="B3" i="6"/>
  <c r="B107" i="3"/>
  <c r="C2565" i="1"/>
  <c r="B15" i="28"/>
  <c r="B58" i="28"/>
  <c r="B240" i="18"/>
  <c r="C1942" i="1"/>
  <c r="B248" i="6"/>
  <c r="B6" i="26"/>
  <c r="B779" i="19"/>
  <c r="B413" i="18"/>
  <c r="C601" i="1"/>
  <c r="B399" i="14"/>
  <c r="B109" i="13"/>
  <c r="B701" i="19"/>
  <c r="B315" i="6"/>
  <c r="B460" i="14"/>
  <c r="B21" i="20"/>
  <c r="B47" i="2"/>
  <c r="C4238" i="1"/>
  <c r="C3532" i="1"/>
  <c r="C599" i="1"/>
  <c r="B470" i="18"/>
  <c r="C1779" i="1"/>
  <c r="B120" i="6"/>
  <c r="B300" i="19"/>
  <c r="C3423" i="1"/>
  <c r="B457" i="14"/>
  <c r="B23" i="22"/>
  <c r="B48" i="14"/>
  <c r="C2657" i="1"/>
  <c r="C1662" i="1"/>
  <c r="C4471" i="1"/>
  <c r="C3994" i="1"/>
  <c r="C2601" i="1"/>
  <c r="C3882" i="1"/>
  <c r="C4405" i="1"/>
  <c r="C94" i="1"/>
  <c r="C319" i="1"/>
  <c r="B47" i="20"/>
  <c r="B30" i="14"/>
  <c r="C2434" i="1"/>
  <c r="C3694" i="1"/>
  <c r="C3320" i="1"/>
  <c r="B326" i="20"/>
  <c r="C250" i="1"/>
  <c r="B547" i="19"/>
  <c r="B32" i="21"/>
  <c r="B120" i="16"/>
  <c r="B3" i="21"/>
  <c r="B295" i="3"/>
  <c r="B52" i="14"/>
  <c r="C34" i="1"/>
  <c r="B45" i="3"/>
  <c r="C3573" i="1"/>
  <c r="B832" i="13"/>
  <c r="B94" i="15"/>
  <c r="B393" i="13"/>
  <c r="C4324" i="1"/>
  <c r="B288" i="20"/>
  <c r="C2039" i="1"/>
  <c r="C2962" i="1"/>
  <c r="C3389" i="1"/>
  <c r="B224" i="14"/>
  <c r="B676" i="13"/>
  <c r="B45" i="34"/>
  <c r="C656" i="1"/>
  <c r="B358" i="13"/>
  <c r="C4453" i="1"/>
  <c r="C272" i="1"/>
  <c r="C2683" i="1"/>
  <c r="C1058" i="1"/>
  <c r="C1010" i="1"/>
  <c r="C1648" i="1"/>
  <c r="C4289" i="1"/>
  <c r="B17" i="28"/>
  <c r="B413" i="19"/>
  <c r="B146" i="29"/>
  <c r="C2126" i="1"/>
  <c r="B84" i="17"/>
  <c r="B709" i="19"/>
  <c r="C4193" i="1"/>
  <c r="C3838" i="1"/>
  <c r="B54" i="7"/>
  <c r="C1778" i="1"/>
  <c r="C869" i="1"/>
  <c r="B118" i="17"/>
  <c r="B10" i="24"/>
  <c r="C982" i="1"/>
  <c r="B672" i="13"/>
  <c r="B63" i="15"/>
  <c r="C668" i="1"/>
  <c r="C296" i="1"/>
  <c r="C4524" i="1"/>
  <c r="C1260" i="1"/>
  <c r="B215" i="3"/>
  <c r="C4562" i="1"/>
  <c r="B280" i="20"/>
  <c r="C4449" i="1"/>
  <c r="C1374" i="1"/>
  <c r="B31" i="9"/>
  <c r="B64" i="13"/>
  <c r="B44" i="21"/>
  <c r="B317" i="18"/>
  <c r="C1656" i="1"/>
  <c r="B149" i="29"/>
  <c r="C373" i="1"/>
  <c r="B837" i="13"/>
  <c r="C898" i="1"/>
  <c r="C1513" i="1"/>
  <c r="C1490" i="1"/>
  <c r="B395" i="13"/>
  <c r="B109" i="6"/>
  <c r="B269" i="6"/>
  <c r="C3236" i="1"/>
  <c r="B106" i="20"/>
  <c r="B25" i="25"/>
  <c r="B193" i="14"/>
  <c r="C1042" i="1"/>
  <c r="C2304" i="1"/>
  <c r="B16" i="17"/>
  <c r="C4444" i="1"/>
  <c r="B102" i="19"/>
  <c r="B514" i="14"/>
  <c r="C2265" i="1"/>
  <c r="B150" i="29"/>
  <c r="C3959" i="1"/>
  <c r="C3924" i="1"/>
  <c r="C945" i="1"/>
  <c r="C188" i="1"/>
  <c r="C4002" i="1"/>
  <c r="B104" i="16"/>
  <c r="B111" i="16"/>
  <c r="B79" i="16"/>
  <c r="B319" i="3"/>
  <c r="C523" i="1"/>
  <c r="B739" i="13"/>
  <c r="C687" i="1"/>
  <c r="C649" i="1"/>
  <c r="B40" i="14"/>
  <c r="C1265" i="1"/>
  <c r="B134" i="14"/>
  <c r="C710" i="1"/>
  <c r="C1125" i="1"/>
  <c r="C1666" i="1"/>
  <c r="B63" i="13"/>
  <c r="C441" i="1"/>
  <c r="B305" i="20"/>
  <c r="C2412" i="1"/>
  <c r="B49" i="6"/>
  <c r="B204" i="19"/>
  <c r="C2889" i="1"/>
  <c r="B313" i="6"/>
  <c r="C853" i="1"/>
  <c r="B477" i="18"/>
  <c r="B429" i="14"/>
  <c r="C2644" i="1"/>
  <c r="B55" i="30"/>
  <c r="B73" i="2"/>
  <c r="C1641" i="1"/>
  <c r="B56" i="18"/>
  <c r="C2513" i="1"/>
  <c r="C191" i="1"/>
  <c r="B411" i="19"/>
  <c r="B330" i="19"/>
  <c r="C3412" i="1"/>
  <c r="C2098" i="1"/>
  <c r="B281" i="14"/>
  <c r="B499" i="19"/>
  <c r="C3211" i="1"/>
  <c r="B491" i="14"/>
  <c r="B743" i="13"/>
  <c r="B668" i="13"/>
  <c r="C458" i="1"/>
  <c r="B195" i="20"/>
  <c r="C483" i="1"/>
  <c r="B170" i="20"/>
  <c r="B587" i="13"/>
  <c r="B30" i="3"/>
  <c r="B23" i="6"/>
  <c r="B27" i="22"/>
  <c r="C773" i="1"/>
  <c r="B95" i="15"/>
  <c r="B454" i="14"/>
  <c r="B340" i="13"/>
  <c r="B394" i="19"/>
  <c r="C118" i="1"/>
  <c r="C4281" i="1"/>
  <c r="B59" i="19"/>
  <c r="C2629" i="1"/>
  <c r="C3029" i="1"/>
  <c r="C2642" i="1"/>
  <c r="B231" i="16"/>
  <c r="B274" i="3"/>
  <c r="B100" i="14"/>
  <c r="C283" i="1"/>
  <c r="B24" i="28"/>
  <c r="B467" i="13"/>
  <c r="C45" i="1"/>
  <c r="C3201" i="1"/>
  <c r="C2896" i="1"/>
  <c r="B383" i="14"/>
  <c r="B21" i="22"/>
  <c r="C2091" i="1"/>
  <c r="C2858" i="1"/>
  <c r="B322" i="3"/>
  <c r="C1429" i="1"/>
  <c r="B122" i="7"/>
  <c r="B527" i="13"/>
  <c r="C3855" i="1"/>
  <c r="B92" i="20"/>
  <c r="C2023" i="1"/>
  <c r="C3020" i="1"/>
  <c r="B325" i="20"/>
  <c r="C3313" i="1"/>
  <c r="C1227" i="1"/>
  <c r="C3835" i="1"/>
  <c r="B636" i="19"/>
  <c r="C4062" i="1"/>
  <c r="B455" i="19"/>
  <c r="B673" i="19"/>
  <c r="C871" i="1"/>
  <c r="B564" i="18"/>
  <c r="B3" i="23"/>
  <c r="B106" i="19"/>
  <c r="B297" i="14"/>
  <c r="C4544" i="1"/>
  <c r="B146" i="6"/>
  <c r="C2783" i="1"/>
  <c r="B78" i="34"/>
  <c r="B83" i="2"/>
  <c r="B191" i="16"/>
  <c r="C2526" i="1"/>
  <c r="C3852" i="1"/>
  <c r="C4565" i="1"/>
  <c r="B17" i="22"/>
  <c r="B283" i="6"/>
  <c r="C3081" i="1"/>
  <c r="C2340" i="1"/>
  <c r="B179" i="21"/>
  <c r="B483" i="13"/>
  <c r="C1122" i="1"/>
  <c r="B385" i="19"/>
  <c r="C3524" i="1"/>
  <c r="B18" i="17"/>
  <c r="B69" i="15"/>
  <c r="C240" i="1"/>
  <c r="B294" i="14"/>
  <c r="B804" i="13"/>
  <c r="C203" i="1"/>
  <c r="C2853" i="1"/>
  <c r="C3246" i="1"/>
  <c r="C4314" i="1"/>
  <c r="B28" i="14"/>
  <c r="B205" i="18"/>
  <c r="C4148" i="1"/>
  <c r="C1381" i="1"/>
  <c r="C3765" i="1"/>
  <c r="C784" i="1"/>
  <c r="C1729" i="1"/>
  <c r="C2539" i="1"/>
  <c r="B56" i="10"/>
  <c r="C2122" i="1"/>
  <c r="B84" i="15"/>
  <c r="C4" i="1"/>
  <c r="B561" i="14"/>
  <c r="C1828" i="1"/>
  <c r="C3130" i="1"/>
  <c r="B453" i="19"/>
  <c r="C4277" i="1"/>
  <c r="C806" i="1"/>
  <c r="B527" i="18"/>
  <c r="C1211" i="1"/>
  <c r="B91" i="10"/>
  <c r="B108" i="13"/>
  <c r="B55" i="2"/>
  <c r="B426" i="20"/>
  <c r="B31" i="19"/>
  <c r="B169" i="7"/>
  <c r="C987" i="1"/>
  <c r="C3701" i="1"/>
  <c r="B331" i="3"/>
  <c r="C348" i="1"/>
  <c r="B146" i="21"/>
  <c r="B93" i="15"/>
  <c r="C1775" i="1"/>
  <c r="C3972" i="1"/>
  <c r="C1345" i="1"/>
  <c r="C717" i="1"/>
  <c r="B481" i="13"/>
  <c r="C2793" i="1"/>
  <c r="C4145" i="1"/>
  <c r="B285" i="3"/>
  <c r="C2034" i="1"/>
  <c r="C985" i="1"/>
  <c r="C2316" i="1"/>
  <c r="C47" i="1"/>
  <c r="C4266" i="1"/>
  <c r="C4261" i="1"/>
  <c r="C2928" i="1"/>
  <c r="C3741" i="1"/>
  <c r="C2077" i="1"/>
  <c r="B741" i="19"/>
  <c r="B46" i="6"/>
  <c r="C3897" i="1"/>
  <c r="B24" i="20"/>
  <c r="B61" i="31"/>
  <c r="B319" i="18"/>
  <c r="B626" i="19"/>
  <c r="C2046" i="1"/>
  <c r="C308" i="1"/>
  <c r="C2557" i="1"/>
  <c r="C155" i="1"/>
  <c r="B92" i="7"/>
  <c r="C3894" i="1"/>
  <c r="C262" i="1"/>
  <c r="C3819" i="1"/>
  <c r="C4553" i="1"/>
  <c r="C297" i="1"/>
  <c r="B192" i="14"/>
  <c r="B176" i="21"/>
  <c r="B12" i="15"/>
  <c r="C2523" i="1"/>
  <c r="B3" i="4"/>
  <c r="C2752" i="1"/>
  <c r="C214" i="1"/>
  <c r="B403" i="18"/>
  <c r="C2761" i="1"/>
  <c r="B352" i="20"/>
  <c r="B21" i="2"/>
  <c r="C1096" i="1"/>
  <c r="C3394" i="1"/>
  <c r="C3599" i="1"/>
  <c r="C1162" i="1"/>
  <c r="C2154" i="1"/>
  <c r="C3005" i="1"/>
  <c r="B133" i="20"/>
  <c r="B179" i="16"/>
  <c r="B29" i="2"/>
  <c r="C2632" i="1"/>
  <c r="B607" i="13"/>
  <c r="C1425" i="1"/>
  <c r="C1566" i="1"/>
  <c r="C3516" i="1"/>
  <c r="C1091" i="1"/>
  <c r="B65" i="3"/>
  <c r="C1571" i="1"/>
  <c r="B588" i="13"/>
  <c r="B146" i="3"/>
  <c r="B185" i="29"/>
  <c r="B31" i="30"/>
  <c r="C3693" i="1"/>
  <c r="C594" i="1"/>
  <c r="C1546" i="1"/>
  <c r="C289" i="1"/>
  <c r="C3142" i="1"/>
  <c r="C3980" i="1"/>
  <c r="B54" i="30"/>
  <c r="B369" i="19"/>
  <c r="C739" i="1"/>
  <c r="B158" i="7"/>
  <c r="B39" i="6"/>
  <c r="B481" i="19"/>
  <c r="B26" i="9"/>
  <c r="B245" i="18"/>
  <c r="C1032" i="1"/>
  <c r="C2508" i="1"/>
  <c r="B5" i="25"/>
  <c r="C3633" i="1"/>
  <c r="C344" i="1"/>
  <c r="C371" i="1"/>
  <c r="B121" i="20"/>
  <c r="C506" i="1"/>
  <c r="C2116" i="1"/>
  <c r="C100" i="1"/>
  <c r="B77" i="30"/>
  <c r="C2712" i="1"/>
  <c r="C2018" i="1"/>
  <c r="C2468" i="1"/>
  <c r="B4" i="27"/>
  <c r="B175" i="29"/>
  <c r="B15" i="15"/>
  <c r="C1955" i="1"/>
  <c r="C3264" i="1"/>
  <c r="C3143" i="1"/>
  <c r="C1337" i="1"/>
  <c r="C3116" i="1"/>
  <c r="C1022" i="1"/>
  <c r="B268" i="3"/>
  <c r="B85" i="23"/>
  <c r="C19" i="1"/>
  <c r="C1504" i="1"/>
  <c r="B8" i="7"/>
  <c r="C1514" i="1"/>
  <c r="B554" i="13"/>
  <c r="C486" i="1"/>
  <c r="C569" i="1"/>
  <c r="C1306" i="1"/>
  <c r="C2460" i="1"/>
  <c r="C984" i="1"/>
  <c r="C2840" i="1"/>
  <c r="C4302" i="1"/>
  <c r="B296" i="20"/>
  <c r="C742" i="1"/>
  <c r="B302" i="3"/>
  <c r="C2458" i="1"/>
  <c r="C419" i="1"/>
  <c r="B422" i="19"/>
  <c r="B114" i="31"/>
  <c r="C3030" i="1"/>
  <c r="C2617" i="1"/>
  <c r="B50" i="30"/>
  <c r="B310" i="13"/>
  <c r="B351" i="19"/>
  <c r="C1910" i="1"/>
  <c r="B87" i="16"/>
  <c r="C381" i="1"/>
  <c r="C2725" i="1"/>
  <c r="C3840" i="1"/>
  <c r="C341" i="1"/>
  <c r="C719" i="1"/>
  <c r="C2651" i="1"/>
  <c r="B544" i="14"/>
  <c r="C2810" i="1"/>
  <c r="B71" i="14"/>
  <c r="B540" i="19"/>
  <c r="B102" i="3"/>
  <c r="B667" i="19"/>
  <c r="C2256" i="1"/>
  <c r="C2142" i="1"/>
  <c r="B31" i="28"/>
  <c r="B202" i="6"/>
  <c r="C847" i="1"/>
  <c r="C3104" i="1"/>
  <c r="C3601" i="1"/>
  <c r="B4" i="19"/>
  <c r="C1001" i="1"/>
  <c r="C3545" i="1"/>
  <c r="B133" i="6"/>
  <c r="B412" i="13"/>
  <c r="B60" i="23"/>
  <c r="C2344" i="1"/>
  <c r="C2906" i="1"/>
  <c r="B65" i="23"/>
  <c r="C1598" i="1"/>
  <c r="B316" i="19"/>
  <c r="B122" i="16"/>
  <c r="B135" i="29"/>
  <c r="B292" i="14"/>
  <c r="B236" i="13"/>
  <c r="B6" i="16"/>
  <c r="C3464" i="1"/>
  <c r="C2827" i="1"/>
  <c r="B409" i="20"/>
  <c r="C2117" i="1"/>
  <c r="B309" i="3"/>
  <c r="B400" i="19"/>
  <c r="B228" i="6"/>
  <c r="C108" i="1"/>
  <c r="C423" i="1"/>
  <c r="C2104" i="1"/>
  <c r="C1851" i="1"/>
  <c r="B35" i="34"/>
  <c r="B822" i="13"/>
  <c r="C2659" i="1"/>
  <c r="B222" i="19"/>
  <c r="C264" i="1"/>
  <c r="C3622" i="1"/>
  <c r="C3275" i="1"/>
  <c r="C2791" i="1"/>
  <c r="C2271" i="1"/>
  <c r="B203" i="3"/>
  <c r="C2161" i="1"/>
  <c r="C1300" i="1"/>
  <c r="C110" i="1"/>
  <c r="B27" i="7"/>
  <c r="C989" i="1"/>
  <c r="C3990" i="1"/>
  <c r="B21" i="3"/>
  <c r="C2998" i="1"/>
  <c r="B3" i="28"/>
  <c r="C4291" i="1"/>
  <c r="B181" i="3"/>
  <c r="B10" i="17"/>
  <c r="B113" i="21"/>
  <c r="B141" i="16"/>
  <c r="C1466" i="1"/>
  <c r="B196" i="6"/>
  <c r="C466" i="1"/>
  <c r="C137" i="1"/>
  <c r="B50" i="10"/>
  <c r="B253" i="14"/>
  <c r="B323" i="18"/>
  <c r="C655" i="1"/>
  <c r="B299" i="14"/>
  <c r="B266" i="14"/>
  <c r="C1132" i="1"/>
  <c r="C3077" i="1"/>
  <c r="C502" i="1"/>
  <c r="C3908" i="1"/>
  <c r="B402" i="20"/>
  <c r="B418" i="20"/>
  <c r="C318" i="1"/>
  <c r="B4" i="29"/>
  <c r="B406" i="20"/>
  <c r="B234" i="3"/>
  <c r="B12" i="13"/>
  <c r="C2063" i="1"/>
  <c r="C1908" i="1"/>
  <c r="C421" i="1"/>
  <c r="C345" i="1"/>
  <c r="C1533" i="1"/>
  <c r="B85" i="2"/>
  <c r="B17" i="7"/>
  <c r="B279" i="13"/>
  <c r="B487" i="13"/>
  <c r="C4231" i="1"/>
  <c r="B73" i="16"/>
  <c r="C3621" i="1"/>
  <c r="C1144" i="1"/>
  <c r="B116" i="29"/>
  <c r="C2318" i="1"/>
  <c r="C3961" i="1"/>
  <c r="C1401" i="1"/>
  <c r="C3737" i="1"/>
  <c r="B505" i="13"/>
  <c r="B78" i="23"/>
  <c r="C3003" i="1"/>
  <c r="B138" i="6"/>
  <c r="B11" i="3"/>
  <c r="C2050" i="1"/>
  <c r="C329" i="1"/>
  <c r="C2836" i="1"/>
  <c r="B51" i="21"/>
  <c r="B46" i="3"/>
  <c r="B32" i="32"/>
  <c r="B223" i="16"/>
  <c r="C598" i="1"/>
  <c r="C2366" i="1"/>
  <c r="C753" i="1"/>
  <c r="B131" i="19"/>
  <c r="C2772" i="1"/>
  <c r="B520" i="19"/>
  <c r="B7" i="20"/>
  <c r="B434" i="19"/>
  <c r="C4130" i="1"/>
  <c r="C3065" i="1"/>
  <c r="B40" i="16"/>
  <c r="B140" i="21"/>
  <c r="B13" i="7"/>
  <c r="C828" i="1"/>
  <c r="C1202" i="1"/>
  <c r="C1809" i="1"/>
  <c r="C2708" i="1"/>
  <c r="C3762" i="1"/>
  <c r="B91" i="3"/>
  <c r="C1787" i="1"/>
  <c r="B454" i="19"/>
  <c r="B146" i="14"/>
  <c r="B511" i="19"/>
  <c r="C3207" i="1"/>
  <c r="B159" i="7"/>
  <c r="B395" i="14"/>
  <c r="C4343" i="1"/>
  <c r="B337" i="20"/>
  <c r="C1014" i="1"/>
  <c r="B600" i="19"/>
  <c r="C2049" i="1"/>
  <c r="C576" i="1"/>
  <c r="B264" i="18"/>
  <c r="C4038" i="1"/>
  <c r="B321" i="19"/>
  <c r="C3043" i="1"/>
  <c r="C1795" i="1"/>
  <c r="B361" i="13"/>
  <c r="C1160" i="1"/>
  <c r="B51" i="14"/>
  <c r="C852" i="1"/>
  <c r="B7" i="27"/>
  <c r="C3287" i="1"/>
  <c r="C4349" i="1"/>
  <c r="B886" i="13"/>
  <c r="C2626" i="1"/>
  <c r="B84" i="13"/>
  <c r="B33" i="15"/>
  <c r="B53" i="10"/>
  <c r="B35" i="20"/>
  <c r="B171" i="18"/>
  <c r="B377" i="20"/>
  <c r="C1774" i="1"/>
  <c r="C207" i="1"/>
  <c r="B451" i="14"/>
  <c r="B534" i="19"/>
  <c r="C316" i="1"/>
  <c r="C1793" i="1"/>
  <c r="C959" i="1"/>
  <c r="B69" i="20"/>
  <c r="C1400" i="1"/>
  <c r="C3992" i="1"/>
  <c r="B692" i="13"/>
  <c r="C810" i="1"/>
  <c r="C379" i="1"/>
  <c r="B502" i="13"/>
  <c r="B14" i="15"/>
  <c r="B32" i="16"/>
  <c r="C3559" i="1"/>
  <c r="B75" i="14"/>
  <c r="C4514" i="1"/>
  <c r="C44" i="1"/>
  <c r="C3145" i="1"/>
  <c r="C2290" i="1"/>
  <c r="C3281" i="1"/>
  <c r="C4271" i="1"/>
  <c r="C1945" i="1"/>
  <c r="B278" i="14"/>
  <c r="B740" i="13"/>
  <c r="B88" i="10"/>
  <c r="B731" i="19"/>
  <c r="B574" i="14"/>
  <c r="C365" i="1"/>
  <c r="B150" i="6"/>
  <c r="C2487" i="1"/>
  <c r="B468" i="20"/>
  <c r="B89" i="16"/>
  <c r="B57" i="21"/>
  <c r="B170" i="13"/>
  <c r="B386" i="19"/>
  <c r="B39" i="2"/>
  <c r="C794" i="1"/>
  <c r="B389" i="14"/>
  <c r="B349" i="20"/>
  <c r="B111" i="7"/>
  <c r="B10" i="29"/>
  <c r="B347" i="18"/>
  <c r="B96" i="34"/>
  <c r="B177" i="7"/>
  <c r="B254" i="19"/>
  <c r="C1268" i="1"/>
  <c r="C4478" i="1"/>
  <c r="B2" i="29"/>
  <c r="B890" i="13"/>
  <c r="C3004" i="1"/>
  <c r="C2276" i="1"/>
  <c r="B69" i="16"/>
  <c r="B22" i="23"/>
  <c r="C4056" i="1"/>
  <c r="B527" i="14"/>
  <c r="C3795" i="1"/>
  <c r="B382" i="14"/>
  <c r="B307" i="6"/>
  <c r="B116" i="19"/>
  <c r="C2537" i="1"/>
  <c r="C1802" i="1"/>
  <c r="C3276" i="1"/>
  <c r="C4518" i="1"/>
  <c r="B241" i="13"/>
  <c r="C471" i="1"/>
  <c r="B177" i="18"/>
  <c r="B89" i="21"/>
  <c r="B109" i="15"/>
  <c r="B422" i="14"/>
  <c r="C4339" i="1"/>
  <c r="B226" i="20"/>
  <c r="B416" i="14"/>
  <c r="B25" i="23"/>
  <c r="B3" i="17"/>
  <c r="B58" i="10"/>
  <c r="C488" i="1"/>
  <c r="C758" i="1"/>
  <c r="B2" i="26"/>
  <c r="C2849" i="1"/>
  <c r="B86" i="10"/>
  <c r="C2670" i="1"/>
  <c r="B9" i="31"/>
  <c r="C3191" i="1"/>
  <c r="B170" i="18"/>
  <c r="B617" i="13"/>
  <c r="B141" i="20"/>
  <c r="B9" i="30"/>
  <c r="B136" i="13"/>
  <c r="C3734" i="1"/>
  <c r="B19" i="5"/>
  <c r="B223" i="3"/>
  <c r="B102" i="29"/>
  <c r="C1447" i="1"/>
  <c r="B85" i="16"/>
  <c r="C1806" i="1"/>
  <c r="B67" i="34"/>
  <c r="C4439" i="1"/>
  <c r="C2030" i="1"/>
  <c r="B767" i="19"/>
  <c r="B95" i="31"/>
  <c r="C2296" i="1"/>
  <c r="B178" i="7"/>
  <c r="C1390" i="1"/>
  <c r="B494" i="14"/>
  <c r="B532" i="13"/>
  <c r="C356" i="1"/>
  <c r="C2830" i="1"/>
  <c r="C4397" i="1"/>
  <c r="B600" i="14"/>
  <c r="C1978" i="1"/>
  <c r="B346" i="19"/>
  <c r="B64" i="31"/>
  <c r="C1164" i="1"/>
  <c r="C1591" i="1"/>
  <c r="B15" i="2"/>
  <c r="B60" i="21"/>
  <c r="C2892" i="1"/>
  <c r="C792" i="1"/>
  <c r="B403" i="20"/>
  <c r="B194" i="19"/>
  <c r="C3216" i="1"/>
  <c r="C2338" i="1"/>
  <c r="C857" i="1"/>
  <c r="B305" i="14"/>
  <c r="B82" i="16"/>
  <c r="C4156" i="1"/>
  <c r="C4117" i="1"/>
  <c r="B208" i="3"/>
  <c r="B214" i="14"/>
  <c r="B125" i="20"/>
  <c r="B59" i="21"/>
  <c r="B258" i="14"/>
  <c r="B300" i="3"/>
  <c r="B59" i="3"/>
  <c r="B465" i="14"/>
  <c r="B66" i="18"/>
  <c r="C3926" i="1"/>
  <c r="C4304" i="1"/>
  <c r="C1165" i="1"/>
  <c r="B32" i="29"/>
  <c r="B5" i="16"/>
  <c r="C223" i="1"/>
  <c r="C2914" i="1"/>
  <c r="B699" i="19"/>
  <c r="C1829" i="1"/>
  <c r="C3175" i="1"/>
  <c r="B180" i="3"/>
  <c r="B428" i="20"/>
  <c r="C3711" i="1"/>
  <c r="B382" i="19"/>
  <c r="C3505" i="1"/>
  <c r="B97" i="34"/>
  <c r="C119" i="1"/>
  <c r="B82" i="10"/>
  <c r="B576" i="13"/>
  <c r="C688" i="1"/>
  <c r="B306" i="18"/>
  <c r="B327" i="20"/>
  <c r="C4538" i="1"/>
  <c r="C3407" i="1"/>
  <c r="B464" i="19"/>
  <c r="B48" i="21"/>
  <c r="B232" i="16"/>
  <c r="C3896" i="1"/>
  <c r="B76" i="3"/>
  <c r="C4245" i="1"/>
  <c r="C535" i="1"/>
  <c r="C3686" i="1"/>
  <c r="B182" i="7"/>
  <c r="C875" i="1"/>
  <c r="B27" i="28"/>
  <c r="B294" i="3"/>
  <c r="B233" i="14"/>
  <c r="B39" i="15"/>
  <c r="C635" i="1"/>
  <c r="B66" i="10"/>
  <c r="B240" i="20"/>
  <c r="C2397" i="1"/>
  <c r="B183" i="18"/>
  <c r="C1356" i="1"/>
  <c r="B34" i="10"/>
  <c r="B633" i="19"/>
  <c r="C2029" i="1"/>
  <c r="B11" i="34"/>
  <c r="B21" i="13"/>
  <c r="B712" i="13"/>
  <c r="C4504" i="1"/>
  <c r="C3539" i="1"/>
  <c r="C190" i="1"/>
  <c r="B251" i="14"/>
  <c r="B420" i="13"/>
  <c r="B120" i="17"/>
  <c r="B219" i="6"/>
  <c r="C1844" i="1"/>
  <c r="C1158" i="1"/>
  <c r="C2267" i="1"/>
  <c r="C4052" i="1"/>
  <c r="C4335" i="1"/>
  <c r="B98" i="3"/>
  <c r="C2897" i="1"/>
  <c r="C1654" i="1"/>
  <c r="B83" i="18"/>
  <c r="C1136" i="1"/>
  <c r="B270" i="14"/>
  <c r="B566" i="13"/>
  <c r="C4546" i="1"/>
  <c r="C4414" i="1"/>
  <c r="B122" i="3"/>
  <c r="B522" i="19"/>
  <c r="C1342" i="1"/>
  <c r="C1222" i="1"/>
  <c r="C2464" i="1"/>
  <c r="C4076" i="1"/>
  <c r="B143" i="17"/>
  <c r="B24" i="34"/>
  <c r="B342" i="20"/>
  <c r="B553" i="13"/>
  <c r="C3565" i="1"/>
  <c r="C906" i="1"/>
  <c r="C1396" i="1"/>
  <c r="C2507" i="1"/>
  <c r="B341" i="19"/>
  <c r="B192" i="13"/>
  <c r="C2930" i="1"/>
  <c r="B449" i="20"/>
  <c r="C1847" i="1"/>
  <c r="C2452" i="1"/>
  <c r="C2413" i="1"/>
  <c r="C392" i="1"/>
  <c r="B59" i="6"/>
  <c r="C4064" i="1"/>
  <c r="B201" i="14"/>
  <c r="B185" i="21"/>
  <c r="C2957" i="1"/>
  <c r="C2839" i="1"/>
  <c r="C3680" i="1"/>
  <c r="B36" i="20"/>
  <c r="B323" i="6"/>
  <c r="C3557" i="1"/>
  <c r="B92" i="23"/>
  <c r="B74" i="14"/>
  <c r="B373" i="20"/>
  <c r="C907" i="1"/>
  <c r="C1257" i="1"/>
  <c r="B95" i="21"/>
  <c r="B12" i="17"/>
  <c r="C1660" i="1"/>
  <c r="B2" i="17"/>
  <c r="B84" i="23"/>
  <c r="B249" i="14"/>
  <c r="B531" i="19"/>
  <c r="B437" i="18"/>
  <c r="B399" i="18"/>
  <c r="C277" i="1"/>
  <c r="B112" i="17"/>
  <c r="B449" i="19"/>
  <c r="B2" i="32"/>
  <c r="B846" i="13"/>
  <c r="C2495" i="1"/>
  <c r="C1094" i="1"/>
  <c r="B681" i="13"/>
  <c r="C3163" i="1"/>
  <c r="B86" i="18"/>
  <c r="C1557" i="1"/>
  <c r="B34" i="29"/>
  <c r="B111" i="17"/>
  <c r="B196" i="29"/>
  <c r="C4446" i="1"/>
  <c r="C1874" i="1"/>
  <c r="C2070" i="1"/>
  <c r="C1095" i="1"/>
  <c r="C2981" i="1"/>
  <c r="B62" i="6"/>
  <c r="B556" i="19"/>
  <c r="B183" i="7"/>
  <c r="C3967" i="1"/>
  <c r="C2857" i="1"/>
  <c r="C2455" i="1"/>
  <c r="C1914" i="1"/>
  <c r="B105" i="31"/>
  <c r="B768" i="19"/>
  <c r="B197" i="6"/>
  <c r="B137" i="29"/>
  <c r="C2776" i="1"/>
  <c r="C2975" i="1"/>
  <c r="C4527" i="1"/>
  <c r="C952" i="1"/>
  <c r="C4184" i="1"/>
  <c r="C1537" i="1"/>
  <c r="B224" i="13"/>
  <c r="C2025" i="1"/>
  <c r="B197" i="16"/>
  <c r="B423" i="18"/>
  <c r="C395" i="1"/>
  <c r="C3782" i="1"/>
  <c r="B647" i="13"/>
  <c r="C1137" i="1"/>
  <c r="B724" i="19"/>
  <c r="C2055" i="1"/>
  <c r="C2069" i="1"/>
  <c r="B140" i="6"/>
  <c r="C183" i="1"/>
  <c r="C2076" i="1"/>
  <c r="C2348" i="1"/>
  <c r="B44" i="13"/>
  <c r="C4022" i="1"/>
  <c r="B151" i="16"/>
  <c r="B237" i="6"/>
  <c r="B188" i="14"/>
  <c r="B120" i="21"/>
  <c r="C2388" i="1"/>
  <c r="B112" i="16"/>
  <c r="B264" i="6"/>
  <c r="B426" i="14"/>
  <c r="B36" i="28"/>
  <c r="B221" i="6"/>
  <c r="C2655" i="1"/>
  <c r="C3184" i="1"/>
  <c r="B49" i="21"/>
  <c r="C3126" i="1"/>
  <c r="B9" i="27"/>
  <c r="C4143" i="1"/>
  <c r="B247" i="16"/>
  <c r="B686" i="13"/>
  <c r="B164" i="21"/>
  <c r="B630" i="19"/>
  <c r="C2392" i="1"/>
  <c r="C3384" i="1"/>
  <c r="B68" i="18"/>
  <c r="B34" i="16"/>
  <c r="B99" i="23"/>
  <c r="B50" i="20"/>
  <c r="C2390" i="1"/>
  <c r="C3118" i="1"/>
  <c r="C404" i="1"/>
  <c r="B15" i="4"/>
  <c r="B67" i="21"/>
  <c r="C48" i="1"/>
  <c r="B446" i="14"/>
  <c r="B20" i="10"/>
  <c r="B149" i="18"/>
  <c r="C3744" i="1"/>
  <c r="C2282" i="1"/>
  <c r="C4213" i="1"/>
  <c r="B521" i="13"/>
  <c r="C4087" i="1"/>
  <c r="C4222" i="1"/>
  <c r="C4242" i="1"/>
  <c r="C3649" i="1"/>
  <c r="C2134" i="1"/>
  <c r="B5" i="23"/>
  <c r="B359" i="19"/>
  <c r="C1496" i="1"/>
  <c r="B54" i="10"/>
  <c r="C1437" i="1"/>
  <c r="C2300" i="1"/>
  <c r="B525" i="13"/>
  <c r="B78" i="20"/>
  <c r="B173" i="18"/>
  <c r="C230" i="1"/>
  <c r="B94" i="23"/>
  <c r="B605" i="13"/>
  <c r="C4365" i="1"/>
  <c r="B23" i="31"/>
  <c r="B274" i="6"/>
  <c r="C2326" i="1"/>
  <c r="B21" i="6"/>
  <c r="B135" i="10"/>
  <c r="C1411" i="1"/>
  <c r="B429" i="20"/>
  <c r="B645" i="13"/>
  <c r="B78" i="3"/>
  <c r="B10" i="20"/>
  <c r="B227" i="6"/>
  <c r="C1621" i="1"/>
  <c r="C3170" i="1"/>
  <c r="B15" i="29"/>
  <c r="B644" i="13"/>
  <c r="C3776" i="1"/>
  <c r="C1954" i="1"/>
  <c r="B202" i="14"/>
  <c r="C1552" i="1"/>
  <c r="B387" i="14"/>
  <c r="B28" i="25"/>
  <c r="B258" i="3"/>
  <c r="C3867" i="1"/>
  <c r="C2457" i="1"/>
  <c r="C621" i="1"/>
  <c r="C3871" i="1"/>
  <c r="B16" i="19"/>
  <c r="B343" i="13"/>
  <c r="B276" i="13"/>
  <c r="B383" i="18"/>
  <c r="C3122" i="1"/>
  <c r="B583" i="14"/>
  <c r="C1756" i="1"/>
  <c r="B64" i="20"/>
  <c r="B30" i="31"/>
  <c r="B549" i="13"/>
  <c r="B693" i="19"/>
  <c r="C4051" i="1"/>
  <c r="C2645" i="1"/>
  <c r="C2661" i="1"/>
  <c r="B103" i="13"/>
  <c r="B303" i="3"/>
  <c r="C1823" i="1"/>
  <c r="B296" i="13"/>
  <c r="B63" i="29"/>
  <c r="B131" i="10"/>
  <c r="C3398" i="1"/>
  <c r="C2264" i="1"/>
  <c r="B18" i="19"/>
  <c r="B484" i="13"/>
  <c r="B170" i="21"/>
  <c r="B584" i="14"/>
  <c r="B21" i="4"/>
  <c r="B96" i="21"/>
  <c r="C161" i="1"/>
  <c r="B307" i="3"/>
  <c r="B101" i="7"/>
  <c r="B152" i="16"/>
  <c r="B72" i="13"/>
  <c r="B693" i="13"/>
  <c r="B699" i="13"/>
  <c r="B16" i="29"/>
  <c r="C969" i="1"/>
  <c r="B547" i="13"/>
  <c r="B86" i="17"/>
  <c r="B578" i="14"/>
  <c r="B47" i="29"/>
  <c r="C1067" i="1"/>
  <c r="B713" i="19"/>
  <c r="C115" i="1"/>
  <c r="B255" i="19"/>
  <c r="B182" i="6"/>
  <c r="B221" i="19"/>
  <c r="B24" i="22"/>
  <c r="B55" i="29"/>
  <c r="C605" i="1"/>
  <c r="C1394" i="1"/>
  <c r="B356" i="14"/>
  <c r="B104" i="31"/>
  <c r="C4410" i="1"/>
  <c r="C275" i="1"/>
  <c r="B33" i="28"/>
  <c r="C3001" i="1"/>
  <c r="C620" i="1"/>
  <c r="C1712" i="1"/>
  <c r="B429" i="18"/>
  <c r="B120" i="29"/>
  <c r="C4402" i="1"/>
  <c r="C3833" i="1"/>
  <c r="B148" i="20"/>
  <c r="B825" i="13"/>
  <c r="B23" i="7"/>
  <c r="C2707" i="1"/>
  <c r="B230" i="6"/>
  <c r="C4167" i="1"/>
  <c r="C2524" i="1"/>
  <c r="C133" i="1"/>
  <c r="C169" i="1"/>
  <c r="C338" i="1"/>
  <c r="C3349" i="1"/>
  <c r="B114" i="15"/>
  <c r="C3045" i="1"/>
  <c r="C504" i="1"/>
  <c r="B212" i="18"/>
  <c r="B54" i="28"/>
  <c r="B200" i="14"/>
  <c r="B40" i="3"/>
  <c r="B45" i="21"/>
  <c r="B211" i="29"/>
  <c r="B211" i="3"/>
  <c r="C1499" i="1"/>
  <c r="B70" i="14"/>
  <c r="C102" i="1"/>
  <c r="C2860" i="1"/>
  <c r="C444" i="1"/>
  <c r="C3628" i="1"/>
  <c r="B88" i="6"/>
  <c r="B176" i="3"/>
  <c r="B222" i="16"/>
  <c r="B702" i="13"/>
  <c r="C2426" i="1"/>
  <c r="B37" i="14"/>
  <c r="C2470" i="1"/>
  <c r="B855" i="13"/>
  <c r="B597" i="19"/>
  <c r="C4150" i="1"/>
  <c r="B85" i="6"/>
  <c r="C1901" i="1"/>
  <c r="C846" i="1"/>
  <c r="C4543" i="1"/>
  <c r="B77" i="17"/>
  <c r="C894" i="1"/>
  <c r="C2737" i="1"/>
  <c r="B413" i="20"/>
  <c r="B210" i="3"/>
  <c r="B342" i="19"/>
  <c r="B117" i="21"/>
  <c r="C1506" i="1"/>
  <c r="B402" i="13"/>
  <c r="B86" i="23"/>
  <c r="B310" i="14"/>
  <c r="B802" i="13"/>
  <c r="C2178" i="1"/>
  <c r="C2697" i="1"/>
  <c r="B95" i="3"/>
  <c r="B143" i="29"/>
  <c r="C3129" i="1"/>
  <c r="B145" i="6"/>
  <c r="B62" i="3"/>
  <c r="B395" i="18"/>
  <c r="B343" i="3"/>
  <c r="C3964" i="1"/>
  <c r="B627" i="13"/>
  <c r="C3715" i="1"/>
  <c r="C3876" i="1"/>
  <c r="C2925" i="1"/>
  <c r="B178" i="19"/>
  <c r="B10" i="16"/>
  <c r="B157" i="21"/>
  <c r="B526" i="18"/>
  <c r="B49" i="15"/>
  <c r="C3259" i="1"/>
  <c r="B10" i="6"/>
  <c r="C1030" i="1"/>
  <c r="B25" i="10"/>
  <c r="B307" i="14"/>
  <c r="C4340" i="1"/>
  <c r="B55" i="14"/>
  <c r="C925" i="1"/>
  <c r="C4227" i="1"/>
  <c r="B341" i="18"/>
  <c r="C3528" i="1"/>
  <c r="C1383" i="1"/>
  <c r="B276" i="18"/>
  <c r="C2365" i="1"/>
  <c r="B175" i="13"/>
  <c r="B711" i="19"/>
  <c r="C1021" i="1"/>
  <c r="C3234" i="1"/>
  <c r="B99" i="3"/>
  <c r="C1894" i="1"/>
  <c r="B311" i="19"/>
  <c r="B234" i="13"/>
  <c r="B14" i="9"/>
  <c r="C1982" i="1"/>
  <c r="B516" i="14"/>
  <c r="C1717" i="1"/>
  <c r="B19" i="31"/>
  <c r="C1479" i="1"/>
  <c r="B46" i="28"/>
  <c r="B539" i="19"/>
  <c r="B418" i="14"/>
  <c r="C4165" i="1"/>
  <c r="B94" i="19"/>
  <c r="B106" i="6"/>
  <c r="B31" i="18"/>
  <c r="B145" i="19"/>
  <c r="C897" i="1"/>
  <c r="C862" i="1"/>
  <c r="B179" i="13"/>
  <c r="C3329" i="1"/>
  <c r="C2607" i="1"/>
  <c r="C2043" i="1"/>
  <c r="B59" i="17"/>
  <c r="C424" i="1"/>
  <c r="C3015" i="1"/>
  <c r="C1698" i="1"/>
  <c r="C2295" i="1"/>
  <c r="C127" i="1"/>
  <c r="C1267" i="1"/>
  <c r="B199" i="29"/>
  <c r="B9" i="21"/>
  <c r="C4557" i="1"/>
  <c r="B2" i="20"/>
  <c r="B32" i="31"/>
  <c r="C4220" i="1"/>
  <c r="C3162" i="1"/>
  <c r="B670" i="19"/>
  <c r="B420" i="20"/>
  <c r="C1536" i="1"/>
  <c r="B247" i="6"/>
  <c r="C3024" i="1"/>
  <c r="C3787" i="1"/>
  <c r="C3614" i="1"/>
  <c r="C1777" i="1"/>
  <c r="C726" i="1"/>
  <c r="B52" i="3"/>
  <c r="B90" i="3"/>
  <c r="C1950" i="1"/>
  <c r="C135" i="1"/>
  <c r="C2270" i="1"/>
  <c r="C650" i="1"/>
  <c r="B75" i="13"/>
  <c r="B312" i="20"/>
  <c r="C4082" i="1"/>
  <c r="B57" i="28"/>
  <c r="B106" i="21"/>
  <c r="C2620" i="1"/>
  <c r="C4447" i="1"/>
  <c r="C2852" i="1"/>
  <c r="B416" i="19"/>
  <c r="C771" i="1"/>
  <c r="C4381" i="1"/>
  <c r="B560" i="14"/>
  <c r="C1103" i="1"/>
  <c r="C2396" i="1"/>
  <c r="B622" i="13"/>
  <c r="C2615" i="1"/>
  <c r="B163" i="14"/>
  <c r="B306" i="19"/>
  <c r="B248" i="14"/>
  <c r="C4191" i="1"/>
  <c r="C2324" i="1"/>
  <c r="B183" i="21"/>
  <c r="C3577" i="1"/>
  <c r="B194" i="6"/>
  <c r="B12" i="3"/>
  <c r="B582" i="13"/>
  <c r="C2955" i="1"/>
  <c r="B821" i="13"/>
  <c r="B793" i="19"/>
  <c r="C2802" i="1"/>
  <c r="C661" i="1"/>
  <c r="C2884" i="1"/>
  <c r="B118" i="3"/>
  <c r="B202" i="21"/>
  <c r="B357" i="19"/>
  <c r="B77" i="20"/>
  <c r="C1807" i="1"/>
  <c r="B79" i="3"/>
  <c r="B145" i="3"/>
  <c r="B760" i="13"/>
  <c r="C3060" i="1"/>
  <c r="C931" i="1"/>
  <c r="C734" i="1"/>
  <c r="B618" i="13"/>
  <c r="C1461" i="1"/>
  <c r="B613" i="19"/>
  <c r="B48" i="29"/>
  <c r="B342" i="3"/>
  <c r="B8" i="24"/>
  <c r="C3151" i="1"/>
  <c r="B711" i="13"/>
  <c r="C958" i="1"/>
  <c r="C2862" i="1"/>
  <c r="B85" i="15"/>
  <c r="C2140" i="1"/>
  <c r="C3637" i="1"/>
  <c r="C1145" i="1"/>
  <c r="C905" i="1"/>
  <c r="C3498" i="1"/>
  <c r="C2220" i="1"/>
  <c r="B126" i="10"/>
  <c r="B119" i="15"/>
  <c r="C1734" i="1"/>
  <c r="B133" i="17"/>
  <c r="C3804" i="1"/>
  <c r="C4448" i="1"/>
  <c r="C2713" i="1"/>
  <c r="C1412" i="1"/>
  <c r="C3482" i="1"/>
  <c r="B590" i="14"/>
  <c r="B25" i="16"/>
  <c r="B314" i="3"/>
  <c r="C4536" i="1"/>
  <c r="C4247" i="1"/>
  <c r="C2619" i="1"/>
  <c r="B29" i="29"/>
  <c r="B96" i="31"/>
  <c r="C556" i="1"/>
  <c r="C1416" i="1"/>
  <c r="C3467" i="1"/>
  <c r="B200" i="18"/>
  <c r="B33" i="7"/>
  <c r="C1382" i="1"/>
  <c r="C643" i="1"/>
  <c r="B4" i="31"/>
  <c r="B95" i="10"/>
  <c r="C3535" i="1"/>
  <c r="C3979" i="1"/>
  <c r="B92" i="29"/>
  <c r="B14" i="10"/>
  <c r="C103" i="1"/>
  <c r="B12" i="4"/>
  <c r="C304" i="1"/>
  <c r="C1873" i="1"/>
  <c r="B242" i="14"/>
  <c r="C4246" i="1"/>
  <c r="C702" i="1"/>
  <c r="B574" i="19"/>
  <c r="C818" i="1"/>
  <c r="C1921" i="1"/>
  <c r="B258" i="6"/>
  <c r="C3266" i="1"/>
  <c r="C4023" i="1"/>
  <c r="B179" i="20"/>
  <c r="B117" i="14"/>
  <c r="C1305" i="1"/>
  <c r="C363" i="1"/>
  <c r="B4" i="22"/>
  <c r="C4152" i="1"/>
  <c r="C2691" i="1"/>
  <c r="C1700" i="1"/>
  <c r="C3617" i="1"/>
  <c r="C1486" i="1"/>
  <c r="B35" i="6"/>
  <c r="B42" i="34"/>
  <c r="B103" i="21"/>
  <c r="C807" i="1"/>
  <c r="B51" i="23"/>
  <c r="B49" i="20"/>
  <c r="B103" i="18"/>
  <c r="C848" i="1"/>
  <c r="C1747" i="1"/>
  <c r="C1192" i="1"/>
  <c r="B76" i="14"/>
  <c r="B9" i="7"/>
  <c r="B87" i="20"/>
  <c r="B327" i="6"/>
  <c r="C979" i="1"/>
  <c r="C205" i="1"/>
  <c r="B548" i="19"/>
  <c r="C3618" i="1"/>
  <c r="C2886" i="1"/>
  <c r="C3317" i="1"/>
  <c r="C2929" i="1"/>
  <c r="C891" i="1"/>
  <c r="C3933" i="1"/>
  <c r="B321" i="13"/>
  <c r="C215" i="1"/>
  <c r="C2164" i="1"/>
  <c r="B181" i="20"/>
  <c r="B661" i="13"/>
  <c r="C1595" i="1"/>
  <c r="B63" i="2"/>
  <c r="C3712" i="1"/>
  <c r="C3991" i="1"/>
  <c r="C4061" i="1"/>
  <c r="C2213" i="1"/>
  <c r="B82" i="15"/>
  <c r="B192" i="16"/>
  <c r="B152" i="6"/>
  <c r="C46" i="1"/>
  <c r="C2786" i="1"/>
  <c r="C3477" i="1"/>
  <c r="B587" i="14"/>
  <c r="B162" i="6"/>
  <c r="C3489" i="1"/>
  <c r="C1471" i="1"/>
  <c r="B338" i="14"/>
  <c r="C256" i="1"/>
  <c r="C996" i="1"/>
  <c r="B10" i="23"/>
  <c r="C244" i="1"/>
  <c r="B31" i="26"/>
  <c r="B78" i="17"/>
  <c r="C916" i="1"/>
  <c r="C1200" i="1"/>
  <c r="B121" i="15"/>
  <c r="B281" i="20"/>
  <c r="B432" i="14"/>
  <c r="C3325" i="1"/>
  <c r="C2482" i="1"/>
  <c r="B214" i="16"/>
  <c r="B272" i="20"/>
  <c r="C608" i="1"/>
  <c r="C2847" i="1"/>
  <c r="C1071" i="1"/>
  <c r="C3709" i="1"/>
  <c r="B60" i="15"/>
  <c r="B201" i="21"/>
  <c r="C2195" i="1"/>
  <c r="B19" i="30"/>
  <c r="B775" i="13"/>
  <c r="B733" i="13"/>
  <c r="C3761" i="1"/>
  <c r="C442" i="1"/>
  <c r="C3951" i="1"/>
  <c r="B126" i="29"/>
  <c r="B3" i="20"/>
  <c r="B818" i="13"/>
  <c r="C490" i="1"/>
  <c r="C3923" i="1"/>
  <c r="C2767" i="1"/>
  <c r="B282" i="14"/>
  <c r="C2549" i="1"/>
  <c r="C1730" i="1"/>
  <c r="C2103" i="1"/>
  <c r="C226" i="1"/>
  <c r="C1608" i="1"/>
  <c r="B74" i="13"/>
  <c r="B272" i="18"/>
  <c r="B407" i="14"/>
  <c r="C1939" i="1"/>
  <c r="B349" i="14"/>
  <c r="B387" i="20"/>
  <c r="C2742" i="1"/>
  <c r="C487" i="1"/>
  <c r="B124" i="7"/>
  <c r="C2011" i="1"/>
  <c r="C1817" i="1"/>
  <c r="C4333" i="1"/>
  <c r="B190" i="14"/>
  <c r="B792" i="13"/>
  <c r="C2051" i="1"/>
  <c r="C3452" i="1"/>
  <c r="C1088" i="1"/>
  <c r="B688" i="19"/>
  <c r="C440" i="1"/>
  <c r="C347" i="1"/>
  <c r="B410" i="19"/>
  <c r="C619" i="1"/>
  <c r="C2750" i="1"/>
  <c r="B157" i="29"/>
  <c r="C1309" i="1"/>
  <c r="C1282" i="1"/>
  <c r="B704" i="19"/>
  <c r="C3627" i="1"/>
  <c r="C4127" i="1"/>
  <c r="B351" i="18"/>
  <c r="B280" i="18"/>
  <c r="C2621" i="1"/>
  <c r="C4509" i="1"/>
  <c r="C1446" i="1"/>
  <c r="B706" i="19"/>
  <c r="B3" i="25"/>
  <c r="B365" i="20"/>
  <c r="B44" i="15"/>
  <c r="B116" i="17"/>
  <c r="C1281" i="1"/>
  <c r="C2156" i="1"/>
  <c r="C2994" i="1"/>
  <c r="C1564" i="1"/>
  <c r="B119" i="31"/>
  <c r="C744" i="1"/>
  <c r="B40" i="28"/>
  <c r="C2920" i="1"/>
  <c r="B103" i="31"/>
  <c r="C4393" i="1"/>
  <c r="B35" i="16"/>
  <c r="C1836" i="1"/>
  <c r="C667" i="1"/>
  <c r="B35" i="2"/>
  <c r="C756" i="1"/>
  <c r="B17" i="19"/>
  <c r="C2992" i="1"/>
  <c r="C3466" i="1"/>
  <c r="B789" i="13"/>
  <c r="B18" i="3"/>
  <c r="B21" i="25"/>
  <c r="B285" i="20"/>
  <c r="C1291" i="1"/>
  <c r="C3270" i="1"/>
  <c r="B59" i="2"/>
  <c r="B145" i="13"/>
  <c r="C2231" i="1"/>
  <c r="B93" i="21"/>
  <c r="B142" i="14"/>
  <c r="C2732" i="1"/>
  <c r="C1464" i="1"/>
  <c r="B215" i="29"/>
  <c r="B137" i="6"/>
  <c r="B576" i="14"/>
  <c r="C2094" i="1"/>
  <c r="C476" i="1"/>
  <c r="B35" i="15"/>
  <c r="C2232" i="1"/>
  <c r="B297" i="3"/>
  <c r="B542" i="13"/>
  <c r="C2293" i="1"/>
  <c r="C3241" i="1"/>
  <c r="B316" i="3"/>
  <c r="C1333" i="1"/>
  <c r="C105" i="1"/>
  <c r="C3691" i="1"/>
  <c r="B325" i="14"/>
  <c r="B485" i="19"/>
  <c r="C2099" i="1"/>
  <c r="B183" i="6"/>
  <c r="C1881" i="1"/>
  <c r="B599" i="14"/>
  <c r="B175" i="14"/>
  <c r="C384" i="1"/>
  <c r="C712" i="1"/>
  <c r="C2511" i="1"/>
  <c r="B339" i="3"/>
  <c r="C1521" i="1"/>
  <c r="B432" i="13"/>
  <c r="C3662" i="1"/>
  <c r="C2504" i="1"/>
  <c r="B101" i="21"/>
  <c r="C3540" i="1"/>
  <c r="C1020" i="1"/>
  <c r="B43" i="3"/>
  <c r="B110" i="14"/>
  <c r="B21" i="29"/>
  <c r="C2373" i="1"/>
  <c r="B188" i="7"/>
  <c r="B32" i="3"/>
  <c r="C1769" i="1"/>
  <c r="C4233" i="1"/>
  <c r="C3677" i="1"/>
  <c r="B73" i="29"/>
  <c r="B53" i="3"/>
  <c r="B67" i="6"/>
  <c r="C3875" i="1"/>
  <c r="B282" i="13"/>
  <c r="B138" i="3"/>
  <c r="C4392" i="1"/>
  <c r="C2843" i="1"/>
  <c r="B118" i="31"/>
  <c r="B737" i="19"/>
  <c r="C652" i="1"/>
  <c r="B135" i="20"/>
  <c r="B99" i="10"/>
  <c r="C2932" i="1"/>
  <c r="B57" i="13"/>
  <c r="B291" i="14"/>
  <c r="B61" i="18"/>
  <c r="B96" i="14"/>
  <c r="C4412" i="1"/>
  <c r="B548" i="14"/>
  <c r="B783" i="13"/>
  <c r="C3009" i="1"/>
  <c r="B209" i="16"/>
  <c r="B75" i="3"/>
  <c r="C3446" i="1"/>
  <c r="B683" i="19"/>
  <c r="B432" i="18"/>
  <c r="C2493" i="1"/>
  <c r="C832" i="1"/>
  <c r="B107" i="21"/>
  <c r="C2816" i="1"/>
  <c r="C33" i="1"/>
  <c r="B173" i="6"/>
  <c r="B239" i="14"/>
  <c r="C943" i="1"/>
  <c r="C311" i="1"/>
  <c r="C3719" i="1"/>
  <c r="B195" i="16"/>
  <c r="B27" i="6"/>
  <c r="B150" i="14"/>
  <c r="B216" i="13"/>
  <c r="B170" i="14"/>
  <c r="B316" i="6"/>
  <c r="C3805" i="1"/>
  <c r="B18" i="6"/>
  <c r="B7" i="5"/>
  <c r="C2797" i="1"/>
  <c r="B197" i="29"/>
  <c r="C2259" i="1"/>
  <c r="C3981" i="1"/>
  <c r="C3902" i="1"/>
  <c r="C2612" i="1"/>
  <c r="B292" i="19"/>
  <c r="B733" i="19"/>
  <c r="C1984" i="1"/>
  <c r="B160" i="16"/>
  <c r="B181" i="13"/>
  <c r="B49" i="14"/>
  <c r="C664" i="1"/>
  <c r="B36" i="13"/>
  <c r="C3023" i="1"/>
  <c r="B643" i="13"/>
  <c r="B195" i="13"/>
  <c r="C2420" i="1"/>
  <c r="C1753" i="1"/>
  <c r="C2435" i="1"/>
  <c r="B124" i="6"/>
  <c r="B423" i="19"/>
  <c r="B129" i="14"/>
  <c r="B671" i="19"/>
  <c r="B641" i="19"/>
  <c r="C2641" i="1"/>
  <c r="C4423" i="1"/>
  <c r="B249" i="6"/>
  <c r="B226" i="3"/>
  <c r="B120" i="3"/>
  <c r="B865" i="13"/>
  <c r="B108" i="14"/>
  <c r="B382" i="20"/>
  <c r="B198" i="6"/>
  <c r="C4491" i="1"/>
  <c r="C3890" i="1"/>
  <c r="C3817" i="1"/>
  <c r="B97" i="15"/>
  <c r="C2559" i="1"/>
  <c r="C39" i="1"/>
  <c r="B115" i="3"/>
  <c r="B533" i="19"/>
  <c r="B51" i="3"/>
  <c r="C4176" i="1"/>
  <c r="C81" i="1"/>
  <c r="B69" i="29"/>
  <c r="B203" i="18"/>
  <c r="B181" i="16"/>
  <c r="C628" i="1"/>
  <c r="B6" i="28"/>
  <c r="B31" i="15"/>
  <c r="C2970" i="1"/>
  <c r="B180" i="13"/>
  <c r="C439" i="1"/>
  <c r="C104" i="1"/>
  <c r="C4526" i="1"/>
  <c r="B28" i="26"/>
  <c r="C1177" i="1"/>
  <c r="B341" i="3"/>
  <c r="B306" i="13"/>
  <c r="B249" i="19"/>
  <c r="C513" i="1"/>
  <c r="C2330" i="1"/>
  <c r="B409" i="19"/>
  <c r="C1323" i="1"/>
  <c r="C3520" i="1"/>
  <c r="C2297" i="1"/>
  <c r="C4077" i="1"/>
  <c r="B211" i="21"/>
  <c r="C3955" i="1"/>
  <c r="B33" i="29"/>
  <c r="B292" i="3"/>
  <c r="B715" i="19"/>
  <c r="B19" i="7"/>
  <c r="C4000" i="1"/>
  <c r="C413" i="1"/>
  <c r="C352" i="1"/>
  <c r="C24" i="1"/>
  <c r="C3235" i="1"/>
  <c r="B293" i="3"/>
  <c r="B203" i="13"/>
  <c r="B774" i="13"/>
  <c r="C2678" i="1"/>
  <c r="C646" i="1"/>
  <c r="C219" i="1"/>
  <c r="C597" i="1"/>
  <c r="B279" i="18"/>
  <c r="C955" i="1"/>
  <c r="C4107" i="1"/>
  <c r="B467" i="19"/>
  <c r="B374" i="20"/>
  <c r="C2488" i="1"/>
  <c r="C1316" i="1"/>
  <c r="C1610" i="1"/>
  <c r="C745" i="1"/>
  <c r="C2945" i="1"/>
  <c r="B329" i="14"/>
  <c r="C1238" i="1"/>
  <c r="B8" i="5"/>
  <c r="C1307" i="1"/>
  <c r="C3222" i="1"/>
  <c r="C1121" i="1"/>
  <c r="B152" i="19"/>
  <c r="C3984" i="1"/>
  <c r="B8" i="2"/>
  <c r="C803" i="1"/>
  <c r="B36" i="7"/>
  <c r="C1079" i="1"/>
  <c r="C128" i="1"/>
  <c r="C212" i="1"/>
  <c r="B311" i="14"/>
  <c r="B754" i="19"/>
  <c r="B719" i="19"/>
  <c r="C2604" i="1"/>
  <c r="C2682" i="1"/>
  <c r="C4014" i="1"/>
  <c r="B516" i="19"/>
  <c r="C88" i="1"/>
  <c r="B151" i="6"/>
  <c r="B52" i="28"/>
  <c r="B151" i="21"/>
  <c r="C189" i="1"/>
  <c r="C1605" i="1"/>
  <c r="C3548" i="1"/>
  <c r="C3560" i="1"/>
  <c r="C3226" i="1"/>
  <c r="C4359" i="1"/>
  <c r="B83" i="16"/>
  <c r="B406" i="19"/>
  <c r="B191" i="29"/>
  <c r="C953" i="1"/>
  <c r="B267" i="6"/>
  <c r="C1069" i="1"/>
  <c r="C3710" i="1"/>
  <c r="C3456" i="1"/>
  <c r="B397" i="18"/>
  <c r="B216" i="21"/>
  <c r="C4396" i="1"/>
  <c r="B456" i="13"/>
  <c r="C2673" i="1"/>
  <c r="C2640" i="1"/>
  <c r="B68" i="21"/>
  <c r="B202" i="16"/>
  <c r="B384" i="13"/>
  <c r="B694" i="13"/>
  <c r="B15" i="32"/>
  <c r="C1843" i="1"/>
  <c r="C2834" i="1"/>
  <c r="B27" i="16"/>
  <c r="B375" i="13"/>
  <c r="C4180" i="1"/>
  <c r="B13" i="17"/>
  <c r="C4126" i="1"/>
  <c r="C550" i="1"/>
  <c r="C679" i="1"/>
  <c r="B70" i="19"/>
  <c r="C1484" i="1"/>
  <c r="C2875" i="1"/>
  <c r="B114" i="23"/>
  <c r="B736" i="13"/>
  <c r="B368" i="20"/>
  <c r="B115" i="31"/>
  <c r="B209" i="3"/>
  <c r="C1987" i="1"/>
  <c r="C1819" i="1"/>
  <c r="B193" i="18"/>
  <c r="B702" i="19"/>
  <c r="C793" i="1"/>
  <c r="B227" i="19"/>
  <c r="B83" i="14"/>
  <c r="C3460" i="1"/>
  <c r="B118" i="20"/>
  <c r="B151" i="3"/>
  <c r="C1592" i="1"/>
  <c r="C830" i="1"/>
  <c r="C1451" i="1"/>
  <c r="B318" i="13"/>
  <c r="C2721" i="1"/>
  <c r="B435" i="19"/>
  <c r="B137" i="17"/>
  <c r="C3513" i="1"/>
  <c r="B6" i="25"/>
  <c r="B90" i="16"/>
  <c r="B598" i="14"/>
  <c r="C3987" i="1"/>
  <c r="B468" i="18"/>
  <c r="B75" i="7"/>
  <c r="C3415" i="1"/>
  <c r="B841" i="13"/>
  <c r="C4484" i="1"/>
  <c r="B622" i="19"/>
  <c r="B144" i="3"/>
  <c r="C3180" i="1"/>
  <c r="C175" i="1"/>
  <c r="C2580" i="1"/>
  <c r="C3223" i="1"/>
  <c r="B134" i="21"/>
  <c r="B372" i="14"/>
  <c r="C75" i="1"/>
  <c r="B335" i="19"/>
  <c r="C4540" i="1"/>
  <c r="B121" i="19"/>
  <c r="C2224" i="1"/>
  <c r="B153" i="7"/>
  <c r="C1147" i="1"/>
  <c r="B407" i="19"/>
  <c r="C3375" i="1"/>
  <c r="B143" i="7"/>
  <c r="B33" i="10"/>
  <c r="C4418" i="1"/>
  <c r="C2989" i="1"/>
  <c r="C3578" i="1"/>
  <c r="C3109" i="1"/>
  <c r="B605" i="14"/>
  <c r="B14" i="34"/>
  <c r="C574" i="1"/>
  <c r="B17" i="31"/>
  <c r="C2833" i="1"/>
  <c r="B20" i="21"/>
  <c r="C2787" i="1"/>
  <c r="B26" i="23"/>
  <c r="B262" i="18"/>
  <c r="C312" i="1"/>
  <c r="B125" i="16"/>
  <c r="C1979" i="1"/>
  <c r="B30" i="21"/>
  <c r="C511" i="1"/>
  <c r="B479" i="18"/>
  <c r="B223" i="19"/>
  <c r="B90" i="15"/>
  <c r="C4034" i="1"/>
  <c r="B129" i="17"/>
  <c r="B48" i="17"/>
  <c r="B536" i="19"/>
  <c r="B115" i="20"/>
  <c r="B137" i="7"/>
  <c r="C3515" i="1"/>
  <c r="B437" i="14"/>
  <c r="C1928" i="1"/>
  <c r="B203" i="29"/>
  <c r="B79" i="15"/>
  <c r="B116" i="3"/>
  <c r="B874" i="13"/>
  <c r="C3441" i="1"/>
  <c r="B501" i="13"/>
  <c r="B87" i="19"/>
  <c r="C1960" i="1"/>
  <c r="B218" i="6"/>
  <c r="B6" i="21"/>
  <c r="B424" i="13"/>
  <c r="C2389" i="1"/>
  <c r="C4101" i="1"/>
  <c r="C4083" i="1"/>
  <c r="B154" i="17"/>
  <c r="C1993" i="1"/>
  <c r="B110" i="18"/>
  <c r="C2200" i="1"/>
  <c r="C1689" i="1"/>
  <c r="C2226" i="1"/>
  <c r="B130" i="29"/>
  <c r="B56" i="34"/>
  <c r="C454" i="1"/>
  <c r="C231" i="1"/>
  <c r="C3402" i="1"/>
  <c r="C3683" i="1"/>
  <c r="C971" i="1"/>
  <c r="C254" i="1"/>
  <c r="B3" i="10"/>
  <c r="C3504" i="1"/>
  <c r="C3334" i="1"/>
  <c r="C2741" i="1"/>
  <c r="C3408" i="1"/>
  <c r="C1259" i="1"/>
  <c r="B178" i="14"/>
  <c r="C863" i="1"/>
  <c r="C2089" i="1"/>
  <c r="B187" i="6"/>
  <c r="C845" i="1"/>
  <c r="C2211" i="1"/>
  <c r="C2106" i="1"/>
  <c r="B26" i="16"/>
  <c r="B293" i="6"/>
  <c r="C1454" i="1"/>
  <c r="C839" i="1"/>
  <c r="B189" i="6"/>
  <c r="B367" i="20"/>
  <c r="B65" i="20"/>
  <c r="C641" i="1"/>
  <c r="C3600" i="1"/>
  <c r="B145" i="14"/>
  <c r="C2963" i="1"/>
  <c r="C1500" i="1"/>
  <c r="B213" i="16"/>
  <c r="C1000" i="1"/>
  <c r="B11" i="20"/>
  <c r="B302" i="13"/>
  <c r="B768" i="13"/>
  <c r="C3607" i="1"/>
  <c r="B64" i="21"/>
  <c r="C2404" i="1"/>
  <c r="C3666" i="1"/>
  <c r="C1481" i="1"/>
  <c r="C32" i="1"/>
  <c r="C222" i="1"/>
  <c r="C4273" i="1"/>
  <c r="C3748" i="1"/>
  <c r="B371" i="14"/>
  <c r="C568" i="1"/>
  <c r="B242" i="19"/>
  <c r="B570" i="13"/>
  <c r="C76" i="1"/>
  <c r="B153" i="14"/>
  <c r="B148" i="14"/>
  <c r="B629" i="13"/>
  <c r="C2194" i="1"/>
  <c r="B220" i="6"/>
  <c r="C3463" i="1"/>
  <c r="B480" i="14"/>
  <c r="B205" i="21"/>
  <c r="C3757" i="1"/>
  <c r="C2150" i="1"/>
  <c r="C2367" i="1"/>
  <c r="B4" i="26"/>
  <c r="C3606" i="1"/>
  <c r="B123" i="21"/>
  <c r="B21" i="28"/>
  <c r="C2433" i="1"/>
  <c r="B5" i="21"/>
  <c r="C1839" i="1"/>
  <c r="C291" i="1"/>
  <c r="B89" i="15"/>
  <c r="C1216" i="1"/>
  <c r="B29" i="34"/>
  <c r="C3111" i="1"/>
  <c r="B244" i="18"/>
  <c r="B14" i="32"/>
  <c r="B113" i="17"/>
  <c r="C1616" i="1"/>
  <c r="B324" i="19"/>
  <c r="B425" i="20"/>
  <c r="C1148" i="1"/>
  <c r="C95" i="1"/>
  <c r="B89" i="7"/>
  <c r="C1375" i="1"/>
  <c r="C888" i="1"/>
  <c r="B273" i="18"/>
  <c r="B26" i="28"/>
  <c r="B7" i="3"/>
  <c r="C703" i="1"/>
  <c r="C1614" i="1"/>
  <c r="C4074" i="1"/>
  <c r="C1920" i="1"/>
  <c r="C3696" i="1"/>
  <c r="B69" i="3"/>
  <c r="C122" i="1"/>
  <c r="C4475" i="1"/>
  <c r="C4531" i="1"/>
  <c r="C3224" i="1"/>
  <c r="B338" i="19"/>
  <c r="C2805" i="1"/>
  <c r="C1085" i="1"/>
  <c r="B172" i="18"/>
  <c r="C3166" i="1"/>
  <c r="B57" i="29"/>
  <c r="B222" i="14"/>
  <c r="B35" i="14"/>
  <c r="B95" i="20"/>
  <c r="C2635" i="1"/>
  <c r="B173" i="16"/>
  <c r="C3749" i="1"/>
  <c r="B254" i="3"/>
  <c r="B3" i="3"/>
  <c r="B65" i="18"/>
  <c r="C4547" i="1"/>
  <c r="C4411" i="1"/>
  <c r="C1846" i="1"/>
  <c r="C1518" i="1"/>
  <c r="B121" i="6"/>
  <c r="C1786" i="1"/>
  <c r="C1035" i="1"/>
  <c r="B180" i="29"/>
  <c r="C1665" i="1"/>
  <c r="B500" i="14"/>
  <c r="B5" i="14"/>
  <c r="C52" i="1"/>
  <c r="C2618" i="1"/>
  <c r="B770" i="13"/>
  <c r="B18" i="29"/>
  <c r="C1997" i="1"/>
  <c r="B117" i="23"/>
  <c r="B15" i="17"/>
  <c r="B16" i="30"/>
  <c r="C3491" i="1"/>
  <c r="C2606" i="1"/>
  <c r="B700" i="13"/>
  <c r="C3497" i="1"/>
  <c r="C1821" i="1"/>
  <c r="B442" i="14"/>
  <c r="C1812" i="1"/>
  <c r="B103" i="10"/>
  <c r="C4111" i="1"/>
  <c r="C4036" i="1"/>
  <c r="B141" i="13"/>
  <c r="C2628" i="1"/>
  <c r="B38" i="15"/>
  <c r="B360" i="18"/>
  <c r="C3916" i="1"/>
  <c r="B36" i="26"/>
  <c r="C2570" i="1"/>
  <c r="B76" i="10"/>
  <c r="B416" i="18"/>
  <c r="B16" i="21"/>
  <c r="C2600" i="1"/>
  <c r="B410" i="20"/>
  <c r="C2982" i="1"/>
  <c r="C3856" i="1"/>
  <c r="C1510" i="1"/>
  <c r="C4118" i="1"/>
  <c r="B102" i="13"/>
  <c r="C872" i="1"/>
  <c r="C3208" i="1"/>
  <c r="B455" i="18"/>
  <c r="C1154" i="1"/>
  <c r="C461" i="1"/>
  <c r="B8" i="27"/>
  <c r="B6" i="3"/>
  <c r="B193" i="29"/>
  <c r="C4282" i="1"/>
  <c r="C3653" i="1"/>
  <c r="B53" i="2"/>
  <c r="C1878" i="1"/>
  <c r="C1254" i="1"/>
  <c r="C1279" i="1"/>
  <c r="C2092" i="1"/>
  <c r="C26" i="1"/>
  <c r="B181" i="14"/>
  <c r="C2245" i="1"/>
  <c r="C1191" i="1"/>
  <c r="B291" i="18"/>
  <c r="B182" i="18"/>
  <c r="C564" i="1"/>
  <c r="B7" i="28"/>
  <c r="B740" i="19"/>
  <c r="B167" i="6"/>
  <c r="B69" i="10"/>
  <c r="B35" i="13"/>
  <c r="B29" i="21"/>
  <c r="C671" i="1"/>
  <c r="C4198" i="1"/>
  <c r="C202" i="1"/>
  <c r="C489" i="1"/>
  <c r="C1427" i="1"/>
  <c r="C1196" i="1"/>
  <c r="C459" i="1"/>
  <c r="B233" i="18"/>
  <c r="C821" i="1"/>
  <c r="B176" i="6"/>
  <c r="C2867" i="1"/>
  <c r="C1299" i="1"/>
  <c r="B483" i="14"/>
  <c r="C3811" i="1"/>
  <c r="B123" i="13"/>
  <c r="C1028" i="1"/>
  <c r="B15" i="23"/>
  <c r="C3249" i="1"/>
  <c r="C850" i="1"/>
  <c r="B80" i="15"/>
  <c r="B98" i="16"/>
  <c r="C2125" i="1"/>
  <c r="B247" i="13"/>
  <c r="C3938" i="1"/>
  <c r="C1565" i="1"/>
  <c r="B262" i="14"/>
  <c r="B486" i="19"/>
  <c r="B77" i="10"/>
  <c r="B232" i="20"/>
  <c r="C2595" i="1"/>
  <c r="C208" i="1"/>
  <c r="B68" i="6"/>
  <c r="C451" i="1"/>
  <c r="C3928" i="1"/>
  <c r="C2233" i="1"/>
  <c r="B150" i="13"/>
  <c r="C410" i="1"/>
  <c r="C1767" i="1"/>
  <c r="C1172" i="1"/>
  <c r="B147" i="14"/>
  <c r="B60" i="28"/>
  <c r="B878" i="13"/>
  <c r="C323" i="1"/>
  <c r="B283" i="20"/>
  <c r="B68" i="31"/>
  <c r="B109" i="29"/>
  <c r="B42" i="21"/>
  <c r="B187" i="14"/>
  <c r="B756" i="13"/>
  <c r="C405" i="1"/>
  <c r="B11" i="28"/>
  <c r="B109" i="31"/>
  <c r="C4403" i="1"/>
  <c r="C1562" i="1"/>
  <c r="B403" i="13"/>
  <c r="C2510" i="1"/>
  <c r="B23" i="10"/>
  <c r="C3858" i="1"/>
  <c r="C2490" i="1"/>
  <c r="B113" i="20"/>
  <c r="C3229" i="1"/>
  <c r="B269" i="3"/>
  <c r="B12" i="29"/>
  <c r="B129" i="16"/>
  <c r="C400" i="1"/>
  <c r="B334" i="14"/>
  <c r="B123" i="16"/>
  <c r="B14" i="6"/>
  <c r="C2753" i="1"/>
  <c r="B454" i="20"/>
  <c r="C2370" i="1"/>
  <c r="B102" i="18"/>
  <c r="B572" i="19"/>
  <c r="B11" i="14"/>
  <c r="C1176" i="1"/>
  <c r="C3863" i="1"/>
  <c r="C4263" i="1"/>
  <c r="B145" i="29"/>
  <c r="B7" i="25"/>
  <c r="B3" i="29"/>
  <c r="C2947" i="1"/>
  <c r="B297" i="20"/>
  <c r="B463" i="19"/>
  <c r="B208" i="29"/>
  <c r="B233" i="13"/>
  <c r="B391" i="20"/>
  <c r="C1547" i="1"/>
  <c r="B128" i="29"/>
  <c r="C4394" i="1"/>
  <c r="C2138" i="1"/>
  <c r="C1905" i="1"/>
  <c r="C153" i="1"/>
  <c r="B179" i="29"/>
  <c r="C3813" i="1"/>
  <c r="B38" i="13"/>
  <c r="B16" i="18"/>
  <c r="B172" i="19"/>
  <c r="C2362" i="1"/>
  <c r="C1228" i="1"/>
  <c r="B126" i="18"/>
  <c r="B14" i="23"/>
  <c r="C4182" i="1"/>
  <c r="B213" i="29"/>
  <c r="B58" i="3"/>
  <c r="B22" i="6"/>
  <c r="B28" i="31"/>
  <c r="B9" i="25"/>
  <c r="C3099" i="1"/>
  <c r="B189" i="20"/>
  <c r="C3960" i="1"/>
  <c r="C1720" i="1"/>
  <c r="C2084" i="1"/>
  <c r="B7" i="24"/>
  <c r="B3" i="5"/>
  <c r="C2451" i="1"/>
  <c r="C2563" i="1"/>
  <c r="C1086" i="1"/>
  <c r="B777" i="13"/>
  <c r="B528" i="19"/>
  <c r="C370" i="1"/>
  <c r="B667" i="13"/>
  <c r="B104" i="23"/>
  <c r="C1283" i="1"/>
  <c r="B13" i="10"/>
  <c r="B133" i="14"/>
  <c r="B233" i="16"/>
  <c r="C2202" i="1"/>
  <c r="C4452" i="1"/>
  <c r="B836" i="13"/>
  <c r="B845" i="13"/>
  <c r="B56" i="15"/>
  <c r="C4309" i="1"/>
  <c r="C1818" i="1"/>
  <c r="C1426" i="1"/>
  <c r="B229" i="3"/>
  <c r="B22" i="17"/>
  <c r="C2627" i="1"/>
  <c r="C1115" i="1"/>
  <c r="C3630" i="1"/>
  <c r="B6" i="17"/>
  <c r="C4075" i="1"/>
  <c r="B529" i="14"/>
  <c r="B234" i="6"/>
  <c r="B109" i="3"/>
  <c r="B104" i="29"/>
  <c r="C4378" i="1"/>
  <c r="B29" i="14"/>
  <c r="B251" i="3"/>
  <c r="B478" i="18"/>
  <c r="C3339" i="1"/>
  <c r="B10" i="3"/>
  <c r="C3303" i="1"/>
  <c r="B71" i="15"/>
  <c r="B50" i="14"/>
  <c r="C3159" i="1"/>
  <c r="B113" i="10"/>
  <c r="B75" i="34"/>
  <c r="B127" i="10"/>
  <c r="B53" i="16"/>
  <c r="C1852" i="1"/>
  <c r="C3538" i="1"/>
  <c r="C2967" i="1"/>
  <c r="C3486" i="1"/>
  <c r="C4493" i="1"/>
  <c r="B181" i="6"/>
  <c r="B555" i="19"/>
  <c r="B151" i="29"/>
  <c r="B91" i="34"/>
  <c r="B93" i="10"/>
  <c r="C234" i="1"/>
  <c r="B773" i="13"/>
  <c r="B474" i="19"/>
  <c r="B318" i="18"/>
  <c r="C1435" i="1"/>
  <c r="C3764" i="1"/>
  <c r="C72" i="1"/>
  <c r="B380" i="14"/>
  <c r="B858" i="13"/>
  <c r="B634" i="19"/>
  <c r="B22" i="30"/>
  <c r="C3479" i="1"/>
  <c r="B465" i="19"/>
  <c r="C3404" i="1"/>
  <c r="B82" i="20"/>
  <c r="C2763" i="1"/>
  <c r="C3014" i="1"/>
  <c r="B332" i="13"/>
  <c r="C2631" i="1"/>
  <c r="C3681" i="1"/>
  <c r="B17" i="20"/>
  <c r="B649" i="13"/>
  <c r="B33" i="34"/>
  <c r="B3" i="26"/>
  <c r="C3726" i="1"/>
  <c r="B589" i="19"/>
  <c r="C3674" i="1"/>
  <c r="B15" i="21"/>
  <c r="B290" i="6"/>
  <c r="B58" i="18"/>
  <c r="C3773" i="1"/>
  <c r="C4203" i="1"/>
  <c r="C184" i="1"/>
  <c r="C577" i="1"/>
  <c r="B213" i="18"/>
  <c r="C2890" i="1"/>
  <c r="C590" i="1"/>
  <c r="B441" i="14"/>
  <c r="C1973" i="1"/>
  <c r="C525" i="1"/>
  <c r="B340" i="18"/>
  <c r="C1201" i="1"/>
  <c r="C2121" i="1"/>
  <c r="C1569" i="1"/>
  <c r="C618" i="1"/>
  <c r="B117" i="6"/>
  <c r="C415" i="1"/>
  <c r="B230" i="3"/>
  <c r="B41" i="18"/>
  <c r="C4384" i="1"/>
  <c r="B135" i="17"/>
  <c r="C4050" i="1"/>
  <c r="B375" i="18"/>
  <c r="C3368" i="1"/>
  <c r="B277" i="6"/>
  <c r="C3866" i="1"/>
  <c r="B396" i="19"/>
  <c r="C2201" i="1"/>
  <c r="B49" i="2"/>
  <c r="C3079" i="1"/>
  <c r="B20" i="6"/>
  <c r="C1458" i="1"/>
  <c r="C4416" i="1"/>
  <c r="C457" i="1"/>
  <c r="C3286" i="1"/>
  <c r="B405" i="18"/>
  <c r="B80" i="34"/>
  <c r="C113" i="1"/>
  <c r="C2357" i="1"/>
  <c r="C2532" i="1"/>
  <c r="C1706" i="1"/>
  <c r="B22" i="3"/>
  <c r="C4311" i="1"/>
  <c r="B315" i="18"/>
  <c r="C2459" i="1"/>
  <c r="C4300" i="1"/>
  <c r="B433" i="19"/>
  <c r="C3302" i="1"/>
  <c r="B155" i="7"/>
  <c r="B87" i="15"/>
  <c r="B213" i="14"/>
  <c r="B467" i="14"/>
  <c r="C2310" i="1"/>
  <c r="C3912" i="1"/>
  <c r="C4170" i="1"/>
  <c r="B27" i="15"/>
  <c r="C2235" i="1"/>
  <c r="C2429" i="1"/>
  <c r="C1968" i="1"/>
  <c r="C3619" i="1"/>
  <c r="B372" i="20"/>
  <c r="C4089" i="1"/>
  <c r="B286" i="3"/>
  <c r="B311" i="13"/>
  <c r="B165" i="20"/>
  <c r="C3973" i="1"/>
  <c r="C12" i="1"/>
  <c r="B232" i="14"/>
  <c r="C4042" i="1"/>
  <c r="C3799" i="1"/>
  <c r="B68" i="3"/>
  <c r="B376" i="14"/>
  <c r="C2821" i="1"/>
  <c r="B813" i="13"/>
  <c r="B457" i="19"/>
  <c r="B143" i="13"/>
  <c r="C2781" i="1"/>
  <c r="C651" i="1"/>
  <c r="B623" i="14"/>
  <c r="C3735" i="1"/>
  <c r="C4431" i="1"/>
  <c r="B752" i="13"/>
  <c r="B111" i="15"/>
  <c r="B328" i="19"/>
  <c r="B213" i="6"/>
  <c r="C4260" i="1"/>
  <c r="C1246" i="1"/>
  <c r="B42" i="7"/>
  <c r="C2951" i="1"/>
  <c r="B132" i="14"/>
  <c r="B710" i="13"/>
  <c r="C273" i="1"/>
  <c r="C2031" i="1"/>
  <c r="B29" i="17"/>
  <c r="B228" i="16"/>
  <c r="B356" i="20"/>
  <c r="C1450" i="1"/>
  <c r="B21" i="18"/>
  <c r="C3256" i="1"/>
  <c r="B57" i="19"/>
  <c r="C4219" i="1"/>
  <c r="B31" i="10"/>
  <c r="C543" i="1"/>
  <c r="B166" i="14"/>
  <c r="C4292" i="1"/>
  <c r="C220" i="1"/>
  <c r="C602" i="1"/>
  <c r="B266" i="6"/>
  <c r="C285" i="1"/>
  <c r="B5" i="22"/>
  <c r="C2175" i="1"/>
  <c r="B66" i="16"/>
  <c r="C3183" i="1"/>
  <c r="B207" i="3"/>
  <c r="B116" i="20"/>
  <c r="C3930" i="1"/>
  <c r="B70" i="16"/>
  <c r="C3147" i="1"/>
  <c r="C2592" i="1"/>
  <c r="B318" i="20"/>
  <c r="C4147" i="1"/>
  <c r="C1212" i="1"/>
  <c r="B226" i="14"/>
  <c r="B45" i="13"/>
  <c r="C2450" i="1"/>
  <c r="C3164" i="1"/>
  <c r="C1310" i="1"/>
  <c r="C29" i="1"/>
  <c r="C684" i="1"/>
  <c r="C2269" i="1"/>
  <c r="B146" i="20"/>
  <c r="C8" i="1"/>
  <c r="C2736" i="1"/>
  <c r="B104" i="20"/>
  <c r="B119" i="13"/>
  <c r="B26" i="3"/>
  <c r="B74" i="21"/>
  <c r="B14" i="5"/>
  <c r="B671" i="13"/>
  <c r="C3376" i="1"/>
  <c r="B54" i="15"/>
  <c r="B68" i="29"/>
  <c r="C3679" i="1"/>
  <c r="C774" i="1"/>
  <c r="C2573" i="1"/>
  <c r="C2341" i="1"/>
  <c r="B398" i="19"/>
  <c r="C1061" i="1"/>
  <c r="C1674" i="1"/>
  <c r="B44" i="18"/>
  <c r="C2841" i="1"/>
  <c r="C3553" i="1"/>
  <c r="C4367" i="1"/>
  <c r="B506" i="14"/>
  <c r="C1889" i="1"/>
  <c r="C1198" i="1"/>
  <c r="C2715" i="1"/>
  <c r="B118" i="29"/>
  <c r="C2894" i="1"/>
  <c r="B155" i="29"/>
  <c r="C4157" i="1"/>
  <c r="C3253" i="1"/>
  <c r="C3809" i="1"/>
  <c r="B66" i="19"/>
  <c r="C1652" i="1"/>
  <c r="B130" i="18"/>
  <c r="C2167" i="1"/>
  <c r="C2033" i="1"/>
  <c r="C1780" i="1"/>
  <c r="C4298" i="1"/>
  <c r="B466" i="14"/>
  <c r="B282" i="6"/>
  <c r="B276" i="14"/>
  <c r="B20" i="2"/>
  <c r="C940" i="1"/>
  <c r="C2123" i="1"/>
  <c r="C2689" i="1"/>
  <c r="B18" i="22"/>
  <c r="B75" i="21"/>
  <c r="C1051" i="1"/>
  <c r="B371" i="20"/>
  <c r="B147" i="3"/>
  <c r="C1704" i="1"/>
  <c r="B172" i="16"/>
  <c r="C2286" i="1"/>
  <c r="B110" i="6"/>
  <c r="B131" i="14"/>
  <c r="C3069" i="1"/>
  <c r="B82" i="2"/>
  <c r="B38" i="6"/>
  <c r="B32" i="17"/>
  <c r="C1100" i="1"/>
  <c r="C4313" i="1"/>
  <c r="C3156" i="1"/>
  <c r="C3775" i="1"/>
  <c r="C3921" i="1"/>
  <c r="B236" i="14"/>
  <c r="C3629" i="1"/>
  <c r="B270" i="3"/>
  <c r="C817" i="1"/>
  <c r="B28" i="7"/>
  <c r="C1195" i="1"/>
  <c r="B81" i="15"/>
  <c r="C1618" i="1"/>
  <c r="B192" i="21"/>
  <c r="C2754" i="1"/>
  <c r="C303" i="1"/>
  <c r="C4355" i="1"/>
  <c r="B74" i="19"/>
  <c r="C1156" i="1"/>
  <c r="B333" i="19"/>
  <c r="C805" i="1"/>
  <c r="C3210" i="1"/>
  <c r="C3483" i="1"/>
  <c r="B217" i="3"/>
  <c r="B22" i="29"/>
  <c r="C3490" i="1"/>
  <c r="C2319" i="1"/>
  <c r="B505" i="14"/>
  <c r="C3581" i="1"/>
  <c r="C3138" i="1"/>
  <c r="B85" i="29"/>
  <c r="C4466" i="1"/>
  <c r="B198" i="29"/>
  <c r="C693" i="1"/>
  <c r="C2093" i="1"/>
  <c r="C2083" i="1"/>
  <c r="B120" i="7"/>
  <c r="B187" i="29"/>
  <c r="B45" i="15"/>
  <c r="C1911" i="1"/>
  <c r="C3388" i="1"/>
  <c r="B429" i="19"/>
  <c r="C2446" i="1"/>
  <c r="C1965" i="1"/>
  <c r="B56" i="28"/>
  <c r="B544" i="19"/>
  <c r="B79" i="14"/>
  <c r="B107" i="23"/>
  <c r="C2361" i="1"/>
  <c r="B281" i="19"/>
  <c r="B79" i="2"/>
  <c r="B24" i="16"/>
  <c r="B167" i="16"/>
  <c r="B420" i="19"/>
  <c r="B243" i="14"/>
  <c r="C3002" i="1"/>
  <c r="C4199" i="1"/>
  <c r="C3197" i="1"/>
  <c r="B6" i="27"/>
  <c r="C3616" i="1"/>
  <c r="C4371" i="1"/>
  <c r="C3461" i="1"/>
  <c r="B216" i="3"/>
  <c r="B159" i="16"/>
  <c r="C572" i="1"/>
  <c r="B246" i="14"/>
  <c r="B392" i="20"/>
  <c r="B198" i="3"/>
  <c r="C2870" i="1"/>
  <c r="C4368" i="1"/>
  <c r="C2174" i="1"/>
  <c r="B372" i="18"/>
  <c r="C1073" i="1"/>
  <c r="C126" i="1"/>
  <c r="B68" i="2"/>
  <c r="B283" i="13"/>
  <c r="C1796" i="1"/>
  <c r="C3251" i="1"/>
  <c r="C4502" i="1"/>
  <c r="B539" i="14"/>
  <c r="B210" i="19"/>
  <c r="B402" i="14"/>
  <c r="B82" i="30"/>
  <c r="B158" i="29"/>
  <c r="B484" i="14"/>
  <c r="B64" i="3"/>
  <c r="B367" i="19"/>
  <c r="B5" i="5"/>
  <c r="C2321" i="1"/>
  <c r="C3107" i="1"/>
  <c r="B202" i="29"/>
  <c r="B92" i="16"/>
  <c r="C2609" i="1"/>
  <c r="C4454" i="1"/>
  <c r="B47" i="28"/>
  <c r="B255" i="13"/>
  <c r="B178" i="3"/>
  <c r="B148" i="29"/>
  <c r="C675" i="1"/>
  <c r="C1406" i="1"/>
  <c r="C4160" i="1"/>
  <c r="C3443" i="1"/>
  <c r="C4109" i="1"/>
  <c r="B354" i="20"/>
  <c r="C3232" i="1"/>
  <c r="C1203" i="1"/>
  <c r="C3503" i="1"/>
  <c r="B510" i="18"/>
  <c r="B37" i="20"/>
  <c r="B149" i="7"/>
  <c r="B38" i="29"/>
  <c r="B663" i="19"/>
  <c r="C1782" i="1"/>
  <c r="B4" i="5"/>
  <c r="C4456" i="1"/>
  <c r="B268" i="19"/>
  <c r="C233" i="1"/>
  <c r="C4262" i="1"/>
  <c r="B209" i="14"/>
  <c r="B67" i="13"/>
  <c r="B89" i="18"/>
  <c r="C2669" i="1"/>
  <c r="C2974" i="1"/>
  <c r="B668" i="19"/>
  <c r="C1733" i="1"/>
  <c r="C3083" i="1"/>
  <c r="C2171" i="1"/>
  <c r="B89" i="3"/>
  <c r="B246" i="16"/>
  <c r="B460" i="18"/>
  <c r="B115" i="18"/>
  <c r="C1898" i="1"/>
  <c r="B357" i="18"/>
  <c r="B2" i="27"/>
  <c r="C3531" i="1"/>
  <c r="C4486" i="1"/>
  <c r="B275" i="19"/>
  <c r="C936" i="1"/>
  <c r="B34" i="32"/>
  <c r="B4" i="25"/>
  <c r="B238" i="14"/>
  <c r="B498" i="14"/>
  <c r="C2518" i="1"/>
  <c r="B355" i="14"/>
  <c r="C2119" i="1"/>
  <c r="C727" i="1"/>
  <c r="B118" i="21"/>
  <c r="B259" i="6"/>
  <c r="C4106" i="1"/>
  <c r="B61" i="21"/>
  <c r="C317" i="1"/>
  <c r="C3864" i="1"/>
  <c r="C470" i="1"/>
  <c r="B717" i="19"/>
  <c r="C1820" i="1"/>
  <c r="B83" i="34"/>
  <c r="C2082" i="1"/>
  <c r="B28" i="15"/>
  <c r="C114" i="1"/>
  <c r="C1149" i="1"/>
  <c r="B140" i="7"/>
  <c r="C2057" i="1"/>
  <c r="C1738" i="1"/>
  <c r="C2561" i="1"/>
  <c r="B369" i="20"/>
  <c r="C1722" i="1"/>
  <c r="B147" i="29"/>
  <c r="C1681" i="1"/>
  <c r="B85" i="13"/>
  <c r="C1790" i="1"/>
  <c r="B102" i="21"/>
  <c r="B497" i="14"/>
  <c r="B620" i="19"/>
  <c r="B4" i="7"/>
  <c r="B735" i="19"/>
  <c r="C2128" i="1"/>
  <c r="C3993" i="1"/>
  <c r="C4196" i="1"/>
  <c r="B22" i="28"/>
  <c r="B93" i="29"/>
  <c r="C1687" i="1"/>
  <c r="C1180" i="1"/>
  <c r="C1174" i="1"/>
  <c r="C167" i="1"/>
  <c r="B84" i="7"/>
  <c r="C1133" i="1"/>
  <c r="B350" i="19"/>
  <c r="C3953" i="1"/>
  <c r="C4104" i="1"/>
  <c r="C3943" i="1"/>
  <c r="B27" i="21"/>
  <c r="B273" i="13"/>
  <c r="C980" i="1"/>
  <c r="B475" i="18"/>
  <c r="C992" i="1"/>
  <c r="B438" i="19"/>
  <c r="B77" i="18"/>
  <c r="C4354" i="1"/>
  <c r="C4363" i="1"/>
  <c r="C840" i="1"/>
  <c r="C3792" i="1"/>
  <c r="B459" i="14"/>
  <c r="B85" i="10"/>
  <c r="B80" i="29"/>
  <c r="B37" i="21"/>
  <c r="C2814" i="1"/>
  <c r="B97" i="23"/>
  <c r="B97" i="14"/>
  <c r="C1632" i="1"/>
  <c r="C3945" i="1"/>
  <c r="C3058" i="1"/>
  <c r="B56" i="16"/>
  <c r="B334" i="3"/>
  <c r="B358" i="14"/>
  <c r="C173" i="1"/>
  <c r="C2196" i="1"/>
  <c r="C1417" i="1"/>
  <c r="B40" i="7"/>
  <c r="C4085" i="1"/>
  <c r="B499" i="13"/>
  <c r="B178" i="18"/>
  <c r="C1904" i="1"/>
  <c r="B125" i="7"/>
  <c r="C887" i="1"/>
  <c r="C1991" i="1"/>
  <c r="B534" i="18"/>
  <c r="C2061" i="1"/>
  <c r="C3427" i="1"/>
  <c r="C3219" i="1"/>
  <c r="C929" i="1"/>
  <c r="C1443" i="1"/>
  <c r="B167" i="7"/>
  <c r="B88" i="7"/>
  <c r="C2940" i="1"/>
  <c r="B126" i="7"/>
  <c r="C1912" i="1"/>
  <c r="C508" i="1"/>
  <c r="C591" i="1"/>
  <c r="B2" i="3"/>
  <c r="C3496" i="1"/>
  <c r="B884" i="13"/>
  <c r="C1480" i="1"/>
  <c r="C3035" i="1"/>
  <c r="B603" i="14"/>
  <c r="B445" i="19"/>
  <c r="C622" i="1"/>
  <c r="B77" i="14"/>
  <c r="C2115" i="1"/>
  <c r="B105" i="15"/>
  <c r="C1128" i="1"/>
  <c r="C4019" i="1"/>
  <c r="B165" i="14"/>
  <c r="C1857" i="1"/>
  <c r="B421" i="20"/>
  <c r="B425" i="19"/>
  <c r="B172" i="3"/>
  <c r="B318" i="19"/>
  <c r="B115" i="15"/>
  <c r="C77" i="1"/>
  <c r="C4057" i="1"/>
  <c r="B100" i="15"/>
  <c r="B27" i="20"/>
  <c r="C2903" i="1"/>
  <c r="C2649" i="1"/>
  <c r="C2590" i="1"/>
  <c r="C2755" i="1"/>
  <c r="B16" i="16"/>
  <c r="B32" i="6"/>
  <c r="C1129" i="1"/>
  <c r="C659" i="1"/>
  <c r="C2562" i="1"/>
  <c r="B139" i="3"/>
  <c r="C1765" i="1"/>
  <c r="C2477" i="1"/>
  <c r="C4437" i="1"/>
  <c r="B101" i="34"/>
  <c r="C1692" i="1"/>
  <c r="C3643" i="1"/>
  <c r="B169" i="29"/>
  <c r="B619" i="19"/>
  <c r="B440" i="13"/>
  <c r="B161" i="29"/>
  <c r="C790" i="1"/>
  <c r="C1242" i="1"/>
  <c r="C3888" i="1"/>
  <c r="B61" i="16"/>
  <c r="B606" i="13"/>
  <c r="B30" i="15"/>
  <c r="B108" i="20"/>
  <c r="B197" i="3"/>
  <c r="C2107" i="1"/>
  <c r="C2173" i="1"/>
  <c r="B625" i="14"/>
  <c r="C2785" i="1"/>
  <c r="B232" i="3"/>
  <c r="B493" i="19"/>
  <c r="B645" i="19"/>
  <c r="C2431" i="1"/>
  <c r="B774" i="19"/>
  <c r="C3582" i="1"/>
  <c r="B182" i="16"/>
  <c r="B203" i="19"/>
  <c r="C919" i="1"/>
  <c r="B247" i="14"/>
  <c r="C3471" i="1"/>
  <c r="C1538" i="1"/>
  <c r="C4296" i="1"/>
  <c r="B80" i="10"/>
  <c r="B377" i="13"/>
  <c r="C4516" i="1"/>
  <c r="C3731" i="1"/>
  <c r="B17" i="2"/>
  <c r="C1168" i="1"/>
  <c r="B52" i="23"/>
  <c r="B214" i="6"/>
  <c r="B195" i="29"/>
  <c r="C2302" i="1"/>
  <c r="C2647" i="1"/>
  <c r="C1243" i="1"/>
  <c r="B692" i="19"/>
  <c r="C723" i="1"/>
  <c r="C1361" i="1"/>
  <c r="B212" i="6"/>
  <c r="B55" i="10"/>
  <c r="C3956" i="1"/>
  <c r="C3941" i="1"/>
  <c r="C2854" i="1"/>
  <c r="B63" i="28"/>
  <c r="B63" i="19"/>
  <c r="B288" i="19"/>
  <c r="C35" i="1"/>
  <c r="C540" i="1"/>
  <c r="B27" i="3"/>
  <c r="B96" i="6"/>
  <c r="C868" i="1"/>
  <c r="B22" i="19"/>
  <c r="B41" i="3"/>
  <c r="B506" i="18"/>
  <c r="B70" i="7"/>
  <c r="C1752" i="1"/>
  <c r="C1600" i="1"/>
  <c r="B565" i="13"/>
  <c r="C2335" i="1"/>
  <c r="C696" i="1"/>
  <c r="C357" i="1"/>
  <c r="B543" i="19"/>
  <c r="C55" i="1"/>
  <c r="B45" i="2"/>
  <c r="B236" i="16"/>
  <c r="C632" i="1"/>
  <c r="B583" i="13"/>
  <c r="B83" i="23"/>
  <c r="C2400" i="1"/>
  <c r="B135" i="13"/>
  <c r="B6" i="2"/>
  <c r="B234" i="19"/>
  <c r="C1237" i="1"/>
  <c r="C3911" i="1"/>
  <c r="C2915" i="1"/>
  <c r="B250" i="13"/>
  <c r="C4567" i="1"/>
  <c r="B555" i="13"/>
  <c r="C1994" i="1"/>
  <c r="B118" i="10"/>
  <c r="C609" i="1"/>
  <c r="C2818" i="1"/>
  <c r="C1378" i="1"/>
  <c r="B91" i="16"/>
  <c r="C2403" i="1"/>
  <c r="C3417" i="1"/>
  <c r="B76" i="6"/>
  <c r="C28" i="1"/>
  <c r="C3632" i="1"/>
  <c r="B370" i="13"/>
  <c r="C1990" i="1"/>
  <c r="C2081" i="1"/>
  <c r="C3351" i="1"/>
  <c r="B27" i="9"/>
  <c r="B116" i="10"/>
  <c r="C1673" i="1"/>
  <c r="C3369" i="1"/>
  <c r="C322" i="1"/>
  <c r="C3472" i="1"/>
  <c r="B114" i="21"/>
  <c r="C1230" i="1"/>
  <c r="B151" i="18"/>
  <c r="C2053" i="1"/>
  <c r="B497" i="18"/>
  <c r="B2" i="6"/>
  <c r="B151" i="13"/>
  <c r="C228" i="1"/>
  <c r="C2826" i="1"/>
  <c r="B140" i="18"/>
  <c r="C899" i="1"/>
  <c r="B94" i="14"/>
  <c r="C2443" i="1"/>
  <c r="B98" i="6"/>
  <c r="B734" i="13"/>
  <c r="B22" i="16"/>
  <c r="C4044" i="1"/>
  <c r="B83" i="20"/>
  <c r="C1980" i="1"/>
  <c r="C714" i="1"/>
  <c r="C4021" i="1"/>
  <c r="C4258" i="1"/>
  <c r="B162" i="29"/>
  <c r="B24" i="26"/>
  <c r="B207" i="16"/>
  <c r="C1478" i="1"/>
  <c r="B326" i="18"/>
  <c r="C4373" i="1"/>
  <c r="B311" i="3"/>
  <c r="C716" i="1"/>
  <c r="B420" i="18"/>
  <c r="C3844" i="1"/>
  <c r="B103" i="23"/>
  <c r="B43" i="15"/>
  <c r="C1841" i="1"/>
  <c r="B726" i="19"/>
  <c r="B29" i="25"/>
  <c r="B74" i="10"/>
  <c r="C2980" i="1"/>
  <c r="B58" i="16"/>
  <c r="C1724" i="1"/>
  <c r="B33" i="17"/>
  <c r="B25" i="32"/>
  <c r="B55" i="3"/>
  <c r="B149" i="19"/>
  <c r="B147" i="6"/>
  <c r="C1127" i="1"/>
  <c r="B199" i="16"/>
  <c r="C3596" i="1"/>
  <c r="B19" i="14"/>
  <c r="C1611" i="1"/>
  <c r="B286" i="19"/>
  <c r="C1890" i="1"/>
  <c r="B10" i="2"/>
  <c r="B5" i="30"/>
  <c r="C2372" i="1"/>
  <c r="B625" i="19"/>
  <c r="C2749" i="1"/>
  <c r="B553" i="14"/>
  <c r="C3568" i="1"/>
  <c r="C3638" i="1"/>
  <c r="B707" i="13"/>
  <c r="B254" i="20"/>
  <c r="C2977" i="1"/>
  <c r="C3935" i="1"/>
  <c r="C2665" i="1"/>
  <c r="C3818" i="1"/>
  <c r="B66" i="28"/>
  <c r="C3084" i="1"/>
  <c r="C42" i="1"/>
  <c r="B25" i="17"/>
  <c r="C328" i="1"/>
  <c r="B215" i="6"/>
  <c r="C3904" i="1"/>
  <c r="B69" i="2"/>
  <c r="C481" i="1"/>
  <c r="C1301" i="1"/>
  <c r="C211" i="1"/>
  <c r="B139" i="29"/>
  <c r="C3087" i="1"/>
  <c r="C4432" i="1"/>
  <c r="C1824" i="1"/>
  <c r="B142" i="3"/>
  <c r="B42" i="13"/>
  <c r="B35" i="28"/>
  <c r="C1031" i="1"/>
  <c r="C3268" i="1"/>
  <c r="B8" i="15"/>
  <c r="B5" i="34"/>
  <c r="B196" i="13"/>
  <c r="C2185" i="1"/>
  <c r="C3225" i="1"/>
  <c r="C1340" i="1"/>
  <c r="C2352" i="1"/>
  <c r="B6" i="18"/>
  <c r="C2950" i="1"/>
  <c r="B15" i="22"/>
  <c r="C708" i="1"/>
  <c r="B319" i="14"/>
  <c r="B14" i="31"/>
  <c r="C116" i="1"/>
  <c r="B18" i="18"/>
  <c r="C1541" i="1"/>
  <c r="C3051" i="1"/>
  <c r="C1868" i="1"/>
  <c r="B93" i="16"/>
  <c r="C1633" i="1"/>
  <c r="C281" i="1"/>
  <c r="C2533" i="1"/>
  <c r="C1379" i="1"/>
  <c r="B17" i="14"/>
  <c r="B99" i="6"/>
  <c r="C606" i="1"/>
  <c r="C3328" i="1"/>
  <c r="B320" i="19"/>
  <c r="C4046" i="1"/>
  <c r="B13" i="34"/>
  <c r="C2675" i="1"/>
  <c r="C2427" i="1"/>
  <c r="C3409" i="1"/>
  <c r="B721" i="19"/>
  <c r="B127" i="19"/>
  <c r="B427" i="13"/>
  <c r="C3570" i="1"/>
  <c r="B52" i="29"/>
  <c r="B42" i="18"/>
  <c r="B30" i="22"/>
  <c r="B182" i="21"/>
  <c r="B112" i="14"/>
  <c r="B317" i="19"/>
  <c r="C4059" i="1"/>
  <c r="C962" i="1"/>
  <c r="C3753" i="1"/>
  <c r="C3028" i="1"/>
  <c r="B525" i="14"/>
  <c r="B115" i="14"/>
  <c r="B95" i="7"/>
  <c r="B866" i="13"/>
  <c r="B59" i="29"/>
  <c r="C2334" i="1"/>
  <c r="C3507" i="1"/>
  <c r="C3784" i="1"/>
  <c r="C4175" i="1"/>
  <c r="B175" i="16"/>
  <c r="B54" i="21"/>
  <c r="B66" i="2"/>
  <c r="C3827" i="1"/>
  <c r="C4429" i="1"/>
  <c r="B45" i="16"/>
  <c r="B62" i="20"/>
  <c r="C2597" i="1"/>
  <c r="B282" i="18"/>
  <c r="B169" i="6"/>
  <c r="B36" i="29"/>
  <c r="C1792" i="1"/>
  <c r="B218" i="14"/>
  <c r="B3" i="16"/>
  <c r="C53" i="1"/>
  <c r="B145" i="16"/>
  <c r="C813" i="1"/>
  <c r="C721" i="1"/>
  <c r="C2277" i="1"/>
  <c r="B55" i="6"/>
  <c r="C3447" i="1"/>
  <c r="B83" i="3"/>
  <c r="B94" i="16"/>
  <c r="C2948" i="1"/>
  <c r="B19" i="17"/>
  <c r="C3646" i="1"/>
  <c r="B286" i="20"/>
  <c r="C1476" i="1"/>
  <c r="C1830" i="1"/>
  <c r="B297" i="13"/>
  <c r="B355" i="19"/>
  <c r="C1325" i="1"/>
  <c r="C861" i="1"/>
  <c r="B29" i="10"/>
  <c r="C403" i="1"/>
  <c r="B261" i="6"/>
  <c r="B27" i="17"/>
  <c r="C3054" i="1"/>
  <c r="B188" i="21"/>
  <c r="C3850" i="1"/>
  <c r="B43" i="18"/>
  <c r="B134" i="6"/>
  <c r="B9" i="3"/>
  <c r="C676" i="1"/>
  <c r="C616" i="1"/>
  <c r="C1770" i="1"/>
  <c r="C216" i="1"/>
  <c r="B31" i="25"/>
  <c r="C1123" i="1"/>
  <c r="B757" i="19"/>
  <c r="C1525" i="1"/>
  <c r="B110" i="19"/>
  <c r="C210" i="1"/>
  <c r="B370" i="20"/>
  <c r="C163" i="1"/>
  <c r="C1166" i="1"/>
  <c r="B339" i="18"/>
  <c r="C2985" i="1"/>
  <c r="B324" i="20"/>
  <c r="C2534" i="1"/>
  <c r="B444" i="14"/>
  <c r="B456" i="14"/>
  <c r="C2339" i="1"/>
  <c r="C1367" i="1"/>
  <c r="B215" i="14"/>
  <c r="C1457" i="1"/>
  <c r="B19" i="18"/>
  <c r="B70" i="20"/>
  <c r="B447" i="19"/>
  <c r="C3186" i="1"/>
  <c r="C6" i="1"/>
  <c r="C1668" i="1"/>
  <c r="C827" i="1"/>
  <c r="B296" i="19"/>
  <c r="C1194" i="1"/>
  <c r="C2472" i="1"/>
  <c r="B90" i="29"/>
  <c r="B94" i="21"/>
  <c r="B90" i="21"/>
  <c r="C298" i="1"/>
  <c r="C804" i="1"/>
  <c r="B32" i="34"/>
  <c r="B176" i="18"/>
  <c r="B401" i="20"/>
  <c r="C2630" i="1"/>
  <c r="C1093" i="1"/>
  <c r="B49" i="34"/>
  <c r="B334" i="13"/>
  <c r="C2711" i="1"/>
  <c r="B696" i="19"/>
  <c r="B87" i="3"/>
  <c r="B77" i="31"/>
  <c r="B56" i="29"/>
  <c r="B442" i="13"/>
  <c r="C3920" i="1"/>
  <c r="B450" i="13"/>
  <c r="B513" i="19"/>
  <c r="B142" i="21"/>
  <c r="B129" i="7"/>
  <c r="C1057" i="1"/>
  <c r="B207" i="20"/>
  <c r="B44" i="16"/>
  <c r="B11" i="15"/>
  <c r="B576" i="19"/>
  <c r="C778" i="1"/>
  <c r="B319" i="19"/>
  <c r="B323" i="3"/>
  <c r="B82" i="23"/>
  <c r="B114" i="20"/>
  <c r="B441" i="18"/>
  <c r="B227" i="13"/>
  <c r="C822" i="1"/>
  <c r="C4366" i="1"/>
  <c r="C1995" i="1"/>
  <c r="C2900" i="1"/>
  <c r="C463" i="1"/>
  <c r="C3168" i="1"/>
  <c r="B600" i="13"/>
  <c r="B65" i="28"/>
  <c r="C1364" i="1"/>
  <c r="B21" i="15"/>
  <c r="C1264" i="1"/>
  <c r="B197" i="18"/>
  <c r="C3944" i="1"/>
  <c r="B780" i="13"/>
  <c r="C3957" i="1"/>
  <c r="C988" i="1"/>
  <c r="C3774" i="1"/>
  <c r="C3842" i="1"/>
  <c r="C4350" i="1"/>
  <c r="C2247" i="1"/>
  <c r="C1134" i="1"/>
  <c r="B466" i="19"/>
  <c r="B41" i="13"/>
  <c r="B20" i="7"/>
  <c r="B37" i="34"/>
  <c r="C336" i="1"/>
  <c r="C699" i="1"/>
  <c r="C1760" i="1"/>
  <c r="C1638" i="1"/>
  <c r="B10" i="28"/>
  <c r="B88" i="34"/>
  <c r="B210" i="20"/>
  <c r="C1465" i="1"/>
  <c r="B614" i="13"/>
  <c r="C552" i="1"/>
  <c r="C4521" i="1"/>
  <c r="B26" i="34"/>
  <c r="B13" i="18"/>
  <c r="B350" i="14"/>
  <c r="B106" i="18"/>
  <c r="B675" i="19"/>
  <c r="C4458" i="1"/>
  <c r="C596" i="1"/>
  <c r="C324" i="1"/>
  <c r="B26" i="10"/>
  <c r="B128" i="13"/>
  <c r="C1584" i="1"/>
  <c r="C301" i="1"/>
  <c r="B113" i="13"/>
  <c r="C2907" i="1"/>
  <c r="C4428" i="1"/>
  <c r="B96" i="20"/>
  <c r="B122" i="10"/>
  <c r="C3365" i="1"/>
  <c r="C4327" i="1"/>
  <c r="B171" i="29"/>
  <c r="C2872" i="1"/>
  <c r="C3202" i="1"/>
  <c r="C1070" i="1"/>
  <c r="B857" i="13"/>
  <c r="B451" i="19"/>
  <c r="B327" i="3"/>
  <c r="C1105" i="1"/>
  <c r="C4459" i="1"/>
  <c r="B172" i="20"/>
  <c r="B117" i="29"/>
  <c r="C1880" i="1"/>
  <c r="B156" i="20"/>
  <c r="C503" i="1"/>
  <c r="B467" i="18"/>
  <c r="C3299" i="1"/>
  <c r="B184" i="21"/>
  <c r="B103" i="7"/>
  <c r="C4028" i="1"/>
  <c r="B99" i="13"/>
  <c r="C1938" i="1"/>
  <c r="C3228" i="1"/>
  <c r="B507" i="14"/>
  <c r="C941" i="1"/>
  <c r="B270" i="6"/>
  <c r="B415" i="13"/>
  <c r="C653" i="1"/>
  <c r="C3356" i="1"/>
  <c r="C4257" i="1"/>
  <c r="C2904" i="1"/>
  <c r="C4027" i="1"/>
  <c r="C2738" i="1"/>
  <c r="C1292" i="1"/>
  <c r="C3901" i="1"/>
  <c r="B11" i="2"/>
  <c r="B71" i="3"/>
  <c r="B310" i="20"/>
  <c r="B41" i="7"/>
  <c r="B218" i="16"/>
  <c r="B30" i="26"/>
  <c r="B167" i="29"/>
  <c r="B579" i="19"/>
  <c r="B168" i="29"/>
  <c r="C4007" i="1"/>
  <c r="B243" i="6"/>
  <c r="B417" i="13"/>
  <c r="B734" i="19"/>
  <c r="B752" i="19"/>
  <c r="B217" i="13"/>
  <c r="B399" i="19"/>
  <c r="C3082" i="1"/>
  <c r="C3371" i="1"/>
  <c r="C766" i="1"/>
  <c r="C1197" i="1"/>
  <c r="B369" i="13"/>
  <c r="B225" i="14"/>
  <c r="B278" i="20"/>
  <c r="C2216" i="1"/>
  <c r="B63" i="21"/>
  <c r="B95" i="13"/>
  <c r="B21" i="16"/>
  <c r="C1041" i="1"/>
  <c r="B113" i="31"/>
  <c r="B200" i="16"/>
  <c r="B76" i="17"/>
  <c r="B207" i="29"/>
  <c r="B218" i="21"/>
  <c r="B359" i="13"/>
  <c r="B519" i="18"/>
  <c r="B50" i="16"/>
  <c r="C1587" i="1"/>
  <c r="B62" i="10"/>
  <c r="B72" i="19"/>
  <c r="C4552" i="1"/>
  <c r="C4501" i="1"/>
  <c r="C2773" i="1"/>
  <c r="B638" i="19"/>
  <c r="B216" i="19"/>
  <c r="C629" i="1"/>
  <c r="C287" i="1"/>
  <c r="C4053" i="1"/>
  <c r="C633" i="1"/>
  <c r="C1577" i="1"/>
  <c r="B165" i="6"/>
  <c r="C706" i="1"/>
  <c r="B6" i="15"/>
  <c r="C3576" i="1"/>
  <c r="B463" i="20"/>
  <c r="C808" i="1"/>
  <c r="C4290" i="1"/>
  <c r="B128" i="3"/>
  <c r="B73" i="15"/>
  <c r="B205" i="14"/>
  <c r="C3333" i="1"/>
  <c r="C1288" i="1"/>
  <c r="B89" i="20"/>
  <c r="C1935" i="1"/>
  <c r="C3038" i="1"/>
  <c r="B42" i="28"/>
  <c r="B231" i="6"/>
  <c r="B894" i="13"/>
  <c r="C2770" i="1"/>
  <c r="B503" i="19"/>
  <c r="C4161" i="1"/>
  <c r="C2936" i="1"/>
  <c r="C4477" i="1"/>
  <c r="C3418" i="1"/>
  <c r="B552" i="13"/>
  <c r="B23" i="23"/>
  <c r="B745" i="13"/>
  <c r="C2246" i="1"/>
  <c r="B90" i="34"/>
  <c r="B314" i="14"/>
  <c r="C762" i="1"/>
  <c r="B164" i="29"/>
  <c r="C834" i="1"/>
  <c r="C3907" i="1"/>
  <c r="C252" i="1"/>
  <c r="C2946" i="1"/>
  <c r="B168" i="3"/>
  <c r="C4451" i="1"/>
  <c r="B33" i="26"/>
  <c r="C1449" i="1"/>
  <c r="C241" i="1"/>
  <c r="C3324" i="1"/>
  <c r="C2342" i="1"/>
  <c r="B1" i="14"/>
  <c r="C3336" i="1"/>
  <c r="C3859" i="1"/>
  <c r="C2729" i="1"/>
  <c r="C2432" i="1"/>
  <c r="B8" i="20"/>
  <c r="C2209" i="1"/>
  <c r="C2984" i="1"/>
  <c r="C3119" i="1"/>
  <c r="C1372" i="1"/>
  <c r="C278" i="1"/>
  <c r="B83" i="21"/>
  <c r="B448" i="19"/>
  <c r="B487" i="14"/>
  <c r="C2222" i="1"/>
  <c r="B26" i="31"/>
  <c r="B39" i="23"/>
  <c r="C438" i="1"/>
  <c r="C3910" i="1"/>
  <c r="B243" i="3"/>
  <c r="C1223" i="1"/>
  <c r="C4315" i="1"/>
  <c r="C1033" i="1"/>
  <c r="B469" i="18"/>
  <c r="B37" i="31"/>
  <c r="C3625" i="1"/>
  <c r="B28" i="16"/>
  <c r="C2371" i="1"/>
  <c r="B112" i="6"/>
  <c r="C1470" i="1"/>
  <c r="C27" i="1"/>
  <c r="B148" i="21"/>
  <c r="B99" i="16"/>
  <c r="C4400" i="1"/>
  <c r="B388" i="14"/>
  <c r="C2312" i="1"/>
  <c r="B436" i="19"/>
  <c r="C2605" i="1"/>
  <c r="C2777" i="1"/>
  <c r="B488" i="14"/>
  <c r="B578" i="13"/>
  <c r="B162" i="19"/>
  <c r="C2891" i="1"/>
  <c r="B176" i="7"/>
  <c r="B326" i="3"/>
  <c r="B130" i="16"/>
  <c r="B89" i="10"/>
  <c r="C38" i="1"/>
  <c r="B41" i="14"/>
  <c r="B100" i="34"/>
  <c r="C1239" i="1"/>
  <c r="B593" i="14"/>
  <c r="B324" i="3"/>
  <c r="B126" i="3"/>
  <c r="C3703" i="1"/>
  <c r="B182" i="29"/>
  <c r="B149" i="13"/>
  <c r="B3" i="22"/>
  <c r="B48" i="31"/>
  <c r="B495" i="13"/>
  <c r="B35" i="3"/>
  <c r="B34" i="30"/>
  <c r="C177" i="1"/>
  <c r="B207" i="19"/>
  <c r="B82" i="34"/>
  <c r="B144" i="29"/>
  <c r="C3692" i="1"/>
  <c r="B169" i="3"/>
  <c r="C4091" i="1"/>
  <c r="C1530" i="1"/>
  <c r="C3702" i="1"/>
  <c r="B328" i="18"/>
  <c r="B11" i="6"/>
  <c r="C3997" i="1"/>
  <c r="B119" i="7"/>
  <c r="C2859" i="1"/>
  <c r="C1804" i="1"/>
  <c r="B12" i="20"/>
  <c r="C3488" i="1"/>
  <c r="B12" i="32"/>
  <c r="C377" i="1"/>
  <c r="C2514" i="1"/>
  <c r="B9" i="5"/>
  <c r="B61" i="34"/>
  <c r="C1755" i="1"/>
  <c r="B39" i="29"/>
  <c r="B184" i="7"/>
  <c r="C4319" i="1"/>
  <c r="B328" i="3"/>
  <c r="C3434" i="1"/>
  <c r="B41" i="31"/>
  <c r="B390" i="20"/>
  <c r="B635" i="19"/>
  <c r="B19" i="3"/>
  <c r="C1184" i="1"/>
  <c r="B472" i="14"/>
  <c r="B42" i="31"/>
  <c r="C1012" i="1"/>
  <c r="C4323" i="1"/>
  <c r="C1213" i="1"/>
  <c r="C2795" i="1"/>
  <c r="B323" i="19"/>
  <c r="B6" i="23"/>
  <c r="B304" i="6"/>
  <c r="B95" i="19"/>
  <c r="B83" i="19"/>
  <c r="B167" i="13"/>
  <c r="B177" i="21"/>
  <c r="C2990" i="1"/>
  <c r="B49" i="31"/>
  <c r="B13" i="31"/>
  <c r="C3420" i="1"/>
  <c r="C4206" i="1"/>
  <c r="B103" i="15"/>
  <c r="C248" i="1"/>
  <c r="C3047" i="1"/>
  <c r="B5" i="31"/>
  <c r="C3551" i="1"/>
  <c r="C536" i="1"/>
  <c r="B212" i="16"/>
  <c r="B171" i="6"/>
  <c r="B24" i="13"/>
  <c r="C2199" i="1"/>
  <c r="C1816" i="1"/>
  <c r="B133" i="21"/>
  <c r="C253" i="1"/>
  <c r="C904" i="1"/>
  <c r="B149" i="20"/>
  <c r="B84" i="34"/>
  <c r="B253" i="6"/>
  <c r="C1059" i="1"/>
  <c r="C1169" i="1"/>
  <c r="B62" i="31"/>
  <c r="C2044" i="1"/>
  <c r="B127" i="7"/>
  <c r="B617" i="19"/>
  <c r="B471" i="18"/>
  <c r="B130" i="3"/>
  <c r="C3665" i="1"/>
  <c r="C1966" i="1"/>
  <c r="B328" i="20"/>
  <c r="C1947" i="1"/>
  <c r="C1977" i="1"/>
  <c r="B240" i="16"/>
  <c r="C2097" i="1"/>
  <c r="B132" i="21"/>
  <c r="C1019" i="1"/>
  <c r="C1545" i="1"/>
  <c r="B27" i="23"/>
  <c r="B284" i="14"/>
  <c r="B19" i="13"/>
  <c r="C812" i="1"/>
  <c r="C4499" i="1"/>
  <c r="B280" i="3"/>
  <c r="C3026" i="1"/>
  <c r="C2206" i="1"/>
  <c r="B99" i="29"/>
  <c r="B408" i="13"/>
  <c r="B225" i="19"/>
  <c r="B53" i="28"/>
  <c r="B358" i="20"/>
  <c r="B21" i="14"/>
  <c r="C2124" i="1"/>
  <c r="B373" i="14"/>
  <c r="C654" i="1"/>
  <c r="C2329" i="1"/>
  <c r="C3435" i="1"/>
  <c r="C313" i="1"/>
  <c r="C3239" i="1"/>
  <c r="B40" i="2"/>
  <c r="B154" i="21"/>
  <c r="B31" i="32"/>
  <c r="B44" i="34"/>
  <c r="C2017" i="1"/>
  <c r="C2616" i="1"/>
  <c r="C1797" i="1"/>
  <c r="C1615" i="1"/>
  <c r="C120" i="1"/>
  <c r="B604" i="14"/>
  <c r="B144" i="17"/>
  <c r="C1399" i="1"/>
  <c r="C942" i="1"/>
  <c r="C1024" i="1"/>
  <c r="B244" i="3"/>
  <c r="C3070" i="1"/>
  <c r="B76" i="19"/>
  <c r="B166" i="6"/>
  <c r="B551" i="14"/>
  <c r="C1157" i="1"/>
  <c r="B83" i="15"/>
  <c r="B11" i="25"/>
  <c r="C4554" i="1"/>
  <c r="C4030" i="1"/>
  <c r="C3214" i="1"/>
  <c r="C2052" i="1"/>
  <c r="C1226" i="1"/>
  <c r="B298" i="14"/>
  <c r="B250" i="18"/>
  <c r="B465" i="18"/>
  <c r="C3493" i="1"/>
  <c r="C2764" i="1"/>
  <c r="C3771" i="1"/>
  <c r="B345" i="14"/>
  <c r="B170" i="19"/>
  <c r="B654" i="13"/>
  <c r="B70" i="3"/>
  <c r="C2132" i="1"/>
  <c r="B53" i="17"/>
  <c r="B158" i="16"/>
  <c r="C4141" i="1"/>
  <c r="B230" i="19"/>
  <c r="B133" i="19"/>
  <c r="B257" i="3"/>
  <c r="C2790" i="1"/>
  <c r="C3697" i="1"/>
  <c r="C2893" i="1"/>
  <c r="C1644" i="1"/>
  <c r="C3543" i="1"/>
  <c r="C2287" i="1"/>
  <c r="B565" i="14"/>
  <c r="C106" i="1"/>
  <c r="B31" i="7"/>
  <c r="C242" i="1"/>
  <c r="C2686" i="1"/>
  <c r="C1139" i="1"/>
  <c r="B181" i="21"/>
  <c r="C3326" i="1"/>
  <c r="B72" i="21"/>
  <c r="C978" i="1"/>
  <c r="B16" i="7"/>
  <c r="B50" i="23"/>
  <c r="C4133" i="1"/>
  <c r="B406" i="14"/>
  <c r="B489" i="14"/>
  <c r="B20" i="17"/>
  <c r="C3374" i="1"/>
  <c r="C1508" i="1"/>
  <c r="B73" i="3"/>
  <c r="C1645" i="1"/>
  <c r="C1650" i="1"/>
  <c r="B8" i="25"/>
  <c r="B7" i="32"/>
  <c r="B233" i="20"/>
  <c r="C4507" i="1"/>
  <c r="C851" i="1"/>
  <c r="C497" i="1"/>
  <c r="C4306" i="1"/>
  <c r="C3444" i="1"/>
  <c r="C1766" i="1"/>
  <c r="B23" i="25"/>
  <c r="B84" i="2"/>
  <c r="B13" i="16"/>
  <c r="C1542" i="1"/>
  <c r="C4276" i="1"/>
  <c r="C4171" i="1"/>
  <c r="C73" i="1"/>
  <c r="C3032" i="1"/>
  <c r="C1075" i="1"/>
  <c r="C1958" i="1"/>
  <c r="C2356" i="1"/>
  <c r="C1078" i="1"/>
  <c r="C3227" i="1"/>
  <c r="C1884" i="1"/>
  <c r="C2347" i="1"/>
  <c r="B153" i="6"/>
  <c r="B271" i="14"/>
  <c r="B683" i="13"/>
  <c r="B60" i="10"/>
  <c r="C1253" i="1"/>
  <c r="C2876" i="1"/>
  <c r="B583" i="19"/>
  <c r="B146" i="13"/>
  <c r="B124" i="16"/>
  <c r="C3078" i="1"/>
  <c r="C2740" i="1"/>
  <c r="B411" i="18"/>
  <c r="C915" i="1"/>
  <c r="B8" i="34"/>
  <c r="B536" i="14"/>
  <c r="B49" i="7"/>
  <c r="B74" i="2"/>
  <c r="B340" i="14"/>
  <c r="C1431" i="1"/>
  <c r="C378" i="1"/>
  <c r="C3751" i="1"/>
  <c r="B11" i="24"/>
  <c r="B17" i="26"/>
  <c r="B513" i="14"/>
  <c r="B40" i="10"/>
  <c r="B81" i="19"/>
  <c r="B39" i="17"/>
  <c r="B8" i="16"/>
  <c r="C3501" i="1"/>
  <c r="B571" i="14"/>
  <c r="C935" i="1"/>
  <c r="B189" i="29"/>
  <c r="B550" i="14"/>
  <c r="B4" i="34"/>
  <c r="B356" i="19"/>
  <c r="B98" i="14"/>
  <c r="C2078" i="1"/>
  <c r="B43" i="19"/>
  <c r="C2613" i="1"/>
  <c r="C1298" i="1"/>
  <c r="B178" i="16"/>
  <c r="B493" i="14"/>
  <c r="B364" i="20"/>
  <c r="B4" i="24"/>
  <c r="B16" i="31"/>
  <c r="B97" i="13"/>
  <c r="C926" i="1"/>
  <c r="B269" i="19"/>
  <c r="B21" i="23"/>
  <c r="C2908" i="1"/>
  <c r="B72" i="10"/>
  <c r="C3634" i="1"/>
  <c r="C2567" i="1"/>
  <c r="C864" i="1"/>
  <c r="C3623" i="1"/>
  <c r="B242" i="13"/>
  <c r="B43" i="2"/>
  <c r="B261" i="3"/>
  <c r="C3766" i="1"/>
  <c r="C1286" i="1"/>
  <c r="C1676" i="1"/>
  <c r="C3739" i="1"/>
  <c r="C4364" i="1"/>
  <c r="C65" i="1"/>
  <c r="C537" i="1"/>
  <c r="C1629" i="1"/>
  <c r="B3" i="31"/>
  <c r="C4390" i="1"/>
  <c r="C1998" i="1"/>
  <c r="C1879" i="1"/>
  <c r="C4055" i="1"/>
  <c r="C4356" i="1"/>
  <c r="B73" i="10"/>
  <c r="B719" i="13"/>
  <c r="C57" i="1"/>
  <c r="B18" i="13"/>
  <c r="B99" i="15"/>
  <c r="B37" i="10"/>
  <c r="C2701" i="1"/>
  <c r="B270" i="18"/>
  <c r="B2" i="14"/>
  <c r="B40" i="34"/>
  <c r="B165" i="7"/>
  <c r="C3605" i="1"/>
  <c r="B56" i="19"/>
  <c r="C1581" i="1"/>
  <c r="C637" i="1"/>
  <c r="B111" i="23"/>
  <c r="C431" i="1"/>
  <c r="C3042" i="1"/>
  <c r="B74" i="6"/>
  <c r="B233" i="19"/>
  <c r="C249" i="1"/>
  <c r="C2522" i="1"/>
  <c r="C4189" i="1"/>
  <c r="B201" i="3"/>
  <c r="C2225" i="1"/>
  <c r="B56" i="13"/>
  <c r="B194" i="29"/>
  <c r="C1892" i="1"/>
  <c r="C1957" i="1"/>
  <c r="C4031" i="1"/>
  <c r="B192" i="29"/>
  <c r="C4500" i="1"/>
  <c r="B63" i="18"/>
  <c r="B666" i="19"/>
  <c r="C1875" i="1"/>
  <c r="B601" i="13"/>
  <c r="C3393" i="1"/>
  <c r="B167" i="14"/>
  <c r="B107" i="19"/>
  <c r="C2796" i="1"/>
  <c r="B149" i="17"/>
  <c r="C3668" i="1"/>
  <c r="B131" i="29"/>
  <c r="B24" i="21"/>
  <c r="B833" i="13"/>
  <c r="B68" i="13"/>
  <c r="B17" i="21"/>
  <c r="C2003" i="1"/>
  <c r="B48" i="7"/>
  <c r="C2137" i="1"/>
  <c r="B64" i="14"/>
  <c r="C3714" i="1"/>
  <c r="C4236" i="1"/>
  <c r="C1694" i="1"/>
  <c r="C2056" i="1"/>
  <c r="B4" i="16"/>
  <c r="B782" i="19"/>
  <c r="C3942" i="1"/>
  <c r="C3248" i="1"/>
  <c r="B70" i="31"/>
  <c r="C2831" i="1"/>
  <c r="C4401" i="1"/>
  <c r="C3689" i="1"/>
  <c r="C831" i="1"/>
  <c r="C337" i="1"/>
  <c r="B353" i="19"/>
  <c r="B577" i="19"/>
  <c r="B63" i="34"/>
  <c r="B485" i="14"/>
  <c r="B363" i="14"/>
  <c r="B46" i="26"/>
  <c r="C769" i="1"/>
  <c r="B153" i="21"/>
  <c r="C741" i="1"/>
  <c r="B149" i="21"/>
  <c r="C2239" i="1"/>
  <c r="C433" i="1"/>
  <c r="C2727" i="1"/>
  <c r="C2545" i="1"/>
  <c r="B71" i="18"/>
  <c r="B16" i="5"/>
  <c r="C430" i="1"/>
  <c r="C3487" i="1"/>
  <c r="C2568" i="1"/>
  <c r="C3364" i="1"/>
  <c r="B76" i="29"/>
  <c r="C3149" i="1"/>
  <c r="B206" i="21"/>
  <c r="B423" i="14"/>
  <c r="B174" i="6"/>
  <c r="B44" i="17"/>
  <c r="B320" i="6"/>
  <c r="C3194" i="1"/>
  <c r="C3591" i="1"/>
  <c r="B6" i="9"/>
  <c r="C881" i="1"/>
  <c r="C2817" i="1"/>
  <c r="B150" i="3"/>
  <c r="C154" i="1"/>
  <c r="B128" i="6"/>
  <c r="B511" i="18"/>
  <c r="C3754" i="1"/>
  <c r="B36" i="16"/>
  <c r="C530" i="1"/>
  <c r="C261" i="1"/>
  <c r="C1423" i="1"/>
  <c r="B657" i="19"/>
  <c r="B559" i="18"/>
  <c r="C2660" i="1"/>
  <c r="B11" i="23"/>
  <c r="C3598" i="1"/>
  <c r="C1355" i="1"/>
  <c r="C1016" i="1"/>
  <c r="B343" i="14"/>
  <c r="B61" i="13"/>
  <c r="B39" i="34"/>
  <c r="C553" i="1"/>
  <c r="C1234" i="1"/>
  <c r="C7" i="1"/>
  <c r="B304" i="20"/>
  <c r="C4190" i="1"/>
  <c r="B2" i="9"/>
  <c r="B153" i="3"/>
  <c r="B6" i="10"/>
  <c r="B134" i="3"/>
  <c r="C1684" i="1"/>
  <c r="C407" i="1"/>
  <c r="B43" i="34"/>
  <c r="C2680" i="1"/>
  <c r="C1414" i="1"/>
  <c r="C1736" i="1"/>
  <c r="C873" i="1"/>
  <c r="C2555" i="1"/>
  <c r="C3978" i="1"/>
  <c r="B482" i="19"/>
  <c r="C547" i="1"/>
  <c r="C3718" i="1"/>
  <c r="B70" i="17"/>
  <c r="B651" i="19"/>
  <c r="C1918" i="1"/>
  <c r="B249" i="3"/>
  <c r="C1045" i="1"/>
  <c r="C2036" i="1"/>
  <c r="C2716" i="1"/>
  <c r="C4358" i="1"/>
  <c r="B51" i="10"/>
  <c r="C3682" i="1"/>
  <c r="B3" i="2"/>
  <c r="B289" i="3"/>
  <c r="B414" i="18"/>
  <c r="C1882" i="1"/>
  <c r="C4421" i="1"/>
  <c r="C3642" i="1"/>
  <c r="C1718" i="1"/>
  <c r="B99" i="19"/>
  <c r="B166" i="21"/>
  <c r="B372" i="19"/>
  <c r="C586" i="1"/>
  <c r="C1885" i="1"/>
  <c r="B53" i="18"/>
  <c r="B336" i="20"/>
  <c r="C4166" i="1"/>
  <c r="C705" i="1"/>
  <c r="B14" i="24"/>
  <c r="C1586" i="1"/>
  <c r="B210" i="14"/>
  <c r="C2765" i="1"/>
  <c r="C2692" i="1"/>
  <c r="C1046" i="1"/>
  <c r="B161" i="16"/>
  <c r="B65" i="10"/>
  <c r="B162" i="3"/>
  <c r="B129" i="6"/>
  <c r="C1534" i="1"/>
  <c r="B79" i="20"/>
  <c r="B116" i="15"/>
  <c r="C4377" i="1"/>
  <c r="B10" i="22"/>
  <c r="C2096" i="1"/>
  <c r="B569" i="14"/>
  <c r="C25" i="1"/>
  <c r="B276" i="19"/>
  <c r="B37" i="28"/>
  <c r="C1303" i="1"/>
  <c r="C595" i="1"/>
  <c r="B110" i="31"/>
  <c r="C1974" i="1"/>
  <c r="B612" i="14"/>
  <c r="C1151" i="1"/>
  <c r="B174" i="17"/>
  <c r="C2437" i="1"/>
  <c r="B79" i="23"/>
  <c r="B159" i="21"/>
  <c r="C1626" i="1"/>
  <c r="C482" i="1"/>
  <c r="B665" i="19"/>
  <c r="B439" i="19"/>
  <c r="B714" i="19"/>
  <c r="C1207" i="1"/>
  <c r="C3215" i="1"/>
  <c r="C3481" i="1"/>
  <c r="C1025" i="1"/>
  <c r="C2303" i="1"/>
  <c r="B219" i="16"/>
  <c r="B250" i="20"/>
  <c r="C427" i="1"/>
  <c r="B284" i="13"/>
  <c r="C387" i="1"/>
  <c r="C3190" i="1"/>
  <c r="B81" i="34"/>
  <c r="B9" i="16"/>
  <c r="C674" i="1"/>
  <c r="C3080" i="1"/>
  <c r="B210" i="21"/>
  <c r="B468" i="19"/>
  <c r="B242" i="6"/>
  <c r="B58" i="15"/>
  <c r="C729" i="1"/>
  <c r="C694" i="1"/>
  <c r="B58" i="31"/>
  <c r="C182" i="1"/>
  <c r="B478" i="14"/>
  <c r="B23" i="30"/>
  <c r="B10" i="19"/>
  <c r="C3203" i="1"/>
  <c r="B25" i="29"/>
  <c r="C3849" i="1"/>
  <c r="B660" i="13"/>
  <c r="C3387" i="1"/>
  <c r="B348" i="14"/>
  <c r="C2693" i="1"/>
  <c r="B758" i="19"/>
  <c r="B519" i="19"/>
  <c r="C2461" i="1"/>
  <c r="B72" i="17"/>
  <c r="B18" i="14"/>
  <c r="B332" i="20"/>
  <c r="C2141" i="1"/>
  <c r="C3161" i="1"/>
  <c r="B53" i="34"/>
  <c r="C3593" i="1"/>
  <c r="B40" i="6"/>
  <c r="C3209" i="1"/>
  <c r="C4532" i="1"/>
  <c r="B74" i="34"/>
  <c r="C4268" i="1"/>
  <c r="C3340" i="1"/>
  <c r="C1256" i="1"/>
  <c r="C3199" i="1"/>
  <c r="B57" i="3"/>
  <c r="B91" i="15"/>
  <c r="B383" i="20"/>
  <c r="C1285" i="1"/>
  <c r="B4" i="17"/>
  <c r="B117" i="10"/>
  <c r="C2368" i="1"/>
  <c r="C2108" i="1"/>
  <c r="C1528" i="1"/>
  <c r="C507" i="1"/>
  <c r="B13" i="32"/>
  <c r="C4303" i="1"/>
  <c r="C2952" i="1"/>
  <c r="B9" i="19"/>
  <c r="C98" i="1"/>
  <c r="C1469" i="1"/>
  <c r="C1783" i="1"/>
  <c r="B94" i="3"/>
  <c r="B115" i="10"/>
  <c r="C4380" i="1"/>
  <c r="B514" i="13"/>
  <c r="C1814" i="1"/>
  <c r="B79" i="31"/>
  <c r="B155" i="14"/>
  <c r="C4114" i="1"/>
  <c r="C1052" i="1"/>
  <c r="B45" i="14"/>
  <c r="B341" i="14"/>
  <c r="B31" i="34"/>
  <c r="C10" i="1"/>
  <c r="C4250" i="1"/>
  <c r="C2146" i="1"/>
  <c r="B360" i="19"/>
  <c r="B11" i="5"/>
  <c r="B188" i="6"/>
  <c r="C2263" i="1"/>
  <c r="C4467" i="1"/>
  <c r="B195" i="18"/>
  <c r="B205" i="3"/>
  <c r="C2298" i="1"/>
  <c r="B58" i="14"/>
  <c r="B30" i="34"/>
  <c r="C3399" i="1"/>
  <c r="C3169" i="1"/>
  <c r="B138" i="13"/>
  <c r="B632" i="13"/>
  <c r="C2118" i="1"/>
  <c r="B261" i="19"/>
  <c r="C4440" i="1"/>
  <c r="B395" i="20"/>
  <c r="C1497" i="1"/>
  <c r="C2145" i="1"/>
  <c r="B59" i="14"/>
  <c r="C1620" i="1"/>
  <c r="B148" i="18"/>
  <c r="C795" i="1"/>
  <c r="C2408" i="1"/>
  <c r="C1553" i="1"/>
  <c r="B70" i="2"/>
  <c r="B24" i="7"/>
  <c r="B107" i="29"/>
  <c r="B18" i="10"/>
  <c r="B127" i="3"/>
  <c r="B186" i="21"/>
  <c r="B208" i="14"/>
  <c r="C3758" i="1"/>
  <c r="B292" i="18"/>
  <c r="B71" i="29"/>
  <c r="B290" i="14"/>
  <c r="B10" i="30"/>
  <c r="C1561" i="1"/>
  <c r="C172" i="1"/>
  <c r="B389" i="19"/>
  <c r="B171" i="7"/>
  <c r="B662" i="13"/>
  <c r="C1572" i="1"/>
  <c r="B476" i="18"/>
  <c r="B108" i="19"/>
  <c r="C4210" i="1"/>
  <c r="B336" i="14"/>
  <c r="C111" i="1"/>
  <c r="C3995" i="1"/>
  <c r="C1661" i="1"/>
  <c r="B107" i="10"/>
  <c r="C1492" i="1"/>
  <c r="C981" i="1"/>
  <c r="B16" i="2"/>
  <c r="C3445" i="1"/>
  <c r="B146" i="17"/>
  <c r="B110" i="10"/>
  <c r="C2186" i="1"/>
  <c r="C4243" i="1"/>
  <c r="C571" i="1"/>
  <c r="C3511" i="1"/>
  <c r="B161" i="14"/>
  <c r="B145" i="7"/>
  <c r="C3537" i="1"/>
  <c r="B415" i="14"/>
  <c r="C2325" i="1"/>
  <c r="C1531" i="1"/>
  <c r="C393" i="1"/>
  <c r="C3641" i="1"/>
  <c r="B107" i="15"/>
  <c r="B88" i="23"/>
  <c r="C3110" i="1"/>
  <c r="C1606" i="1"/>
  <c r="C3752" i="1"/>
  <c r="C2436" i="1"/>
  <c r="C4069" i="1"/>
  <c r="C117" i="1"/>
  <c r="C1906" i="1"/>
  <c r="B75" i="17"/>
  <c r="C3146" i="1"/>
  <c r="C3533" i="1"/>
  <c r="C4345" i="1"/>
  <c r="B87" i="34"/>
  <c r="C3373" i="1"/>
  <c r="C1336" i="1"/>
  <c r="B59" i="16"/>
  <c r="C2856" i="1"/>
  <c r="C2262" i="1"/>
  <c r="C2120" i="1"/>
  <c r="C767" i="1"/>
  <c r="B476" i="19"/>
  <c r="B87" i="29"/>
  <c r="C645" i="1"/>
  <c r="C3267" i="1"/>
  <c r="C1798" i="1"/>
  <c r="B732" i="19"/>
  <c r="C2289" i="1"/>
  <c r="B8" i="4"/>
  <c r="C2021" i="1"/>
  <c r="C1135" i="1"/>
  <c r="C3311" i="1"/>
  <c r="B820" i="13"/>
  <c r="C2677" i="1"/>
  <c r="B551" i="13"/>
  <c r="B464" i="14"/>
  <c r="B694" i="19"/>
  <c r="B221" i="3"/>
  <c r="B49" i="10"/>
  <c r="B106" i="14"/>
  <c r="C1837" i="1"/>
  <c r="B70" i="6"/>
  <c r="B270" i="19"/>
  <c r="B250" i="14"/>
  <c r="B307" i="18"/>
  <c r="C1368" i="1"/>
  <c r="B12" i="25"/>
  <c r="C514" i="1"/>
  <c r="B1" i="5"/>
  <c r="C351" i="1"/>
  <c r="C4387" i="1"/>
  <c r="C2280" i="1"/>
  <c r="B373" i="13"/>
  <c r="B154" i="18"/>
  <c r="B66" i="20"/>
  <c r="B235" i="14"/>
  <c r="B150" i="18"/>
  <c r="C658" i="1"/>
  <c r="C613" i="1"/>
  <c r="C561" i="1"/>
  <c r="B419" i="13"/>
  <c r="B306" i="14"/>
  <c r="C3293" i="1"/>
  <c r="C2353" i="1"/>
  <c r="B232" i="18"/>
  <c r="C1249" i="1"/>
  <c r="C3114" i="1"/>
  <c r="B4" i="30"/>
  <c r="B427" i="19"/>
  <c r="B464" i="18"/>
  <c r="B487" i="18"/>
  <c r="B515" i="14"/>
  <c r="C1270" i="1"/>
  <c r="C4119" i="1"/>
  <c r="B675" i="13"/>
  <c r="B463" i="18"/>
  <c r="B66" i="34"/>
  <c r="C1099" i="1"/>
  <c r="B15" i="16"/>
  <c r="B160" i="29"/>
  <c r="C4332" i="1"/>
  <c r="B136" i="19"/>
  <c r="B33" i="14"/>
  <c r="C2918" i="1"/>
  <c r="C3793" i="1"/>
  <c r="C467" i="1"/>
  <c r="B356" i="18"/>
  <c r="C3322" i="1"/>
  <c r="C4073" i="1"/>
  <c r="B14" i="25"/>
  <c r="B78" i="10"/>
  <c r="C917" i="1"/>
  <c r="C92" i="1"/>
  <c r="B314" i="6"/>
  <c r="C3245" i="1"/>
  <c r="C1460" i="1"/>
  <c r="B534" i="14"/>
  <c r="C3608" i="1"/>
  <c r="C2811" i="1"/>
  <c r="B98" i="23"/>
  <c r="B119" i="6"/>
  <c r="C895" i="1"/>
  <c r="B9" i="14"/>
  <c r="B128" i="14"/>
  <c r="B22" i="9"/>
  <c r="C3846" i="1"/>
  <c r="B118" i="7"/>
  <c r="B1" i="13"/>
  <c r="C3584" i="1"/>
  <c r="C4344" i="1"/>
  <c r="C2922" i="1"/>
  <c r="C947" i="1"/>
  <c r="C3478" i="1"/>
  <c r="C2636" i="1"/>
  <c r="B72" i="18"/>
  <c r="C4386" i="1"/>
  <c r="B72" i="2"/>
  <c r="B115" i="19"/>
  <c r="B251" i="18"/>
  <c r="C730" i="1"/>
  <c r="C3358" i="1"/>
  <c r="C4430" i="1"/>
  <c r="C3527" i="1"/>
  <c r="C342" i="1"/>
  <c r="B104" i="19"/>
  <c r="B39" i="28"/>
  <c r="B26" i="32"/>
  <c r="C903" i="1"/>
  <c r="C59" i="1"/>
  <c r="C1204" i="1"/>
  <c r="B139" i="13"/>
  <c r="C2238" i="1"/>
  <c r="C101" i="1"/>
  <c r="C1326" i="1"/>
  <c r="C579" i="1"/>
  <c r="B31" i="16"/>
  <c r="C2544" i="1"/>
  <c r="C1083" i="1"/>
  <c r="B30" i="32"/>
  <c r="B235" i="18"/>
  <c r="C3949" i="1"/>
  <c r="C4362" i="1"/>
  <c r="C4004" i="1"/>
  <c r="B116" i="6"/>
  <c r="B321" i="14"/>
  <c r="B80" i="14"/>
  <c r="C3137" i="1"/>
  <c r="C2587" i="1"/>
  <c r="B273" i="3"/>
  <c r="B440" i="14"/>
  <c r="C1341" i="1"/>
  <c r="B25" i="14"/>
  <c r="B431" i="18"/>
  <c r="C3779" i="1"/>
  <c r="C4328" i="1"/>
  <c r="B490" i="14"/>
  <c r="C2240" i="1"/>
  <c r="B71" i="21"/>
  <c r="C682" i="1"/>
  <c r="B157" i="3"/>
  <c r="C3316" i="1"/>
  <c r="C3288" i="1"/>
  <c r="B526" i="19"/>
  <c r="C3635" i="1"/>
  <c r="C957" i="1"/>
  <c r="C2699" i="1"/>
  <c r="C2529" i="1"/>
  <c r="B80" i="16"/>
  <c r="C3212" i="1"/>
  <c r="B239" i="18"/>
  <c r="C1352" i="1"/>
  <c r="C2646" i="1"/>
  <c r="C159" i="1"/>
  <c r="B163" i="13"/>
  <c r="B470" i="19"/>
  <c r="C3396" i="1"/>
  <c r="C612" i="1"/>
  <c r="B419" i="14"/>
  <c r="C201" i="1"/>
  <c r="C1074" i="1"/>
  <c r="C2633" i="1"/>
  <c r="B349" i="19"/>
  <c r="C1287" i="1"/>
  <c r="C1188" i="1"/>
  <c r="C4550" i="1"/>
  <c r="B171" i="13"/>
  <c r="C2237" i="1"/>
  <c r="B23" i="21"/>
  <c r="B9" i="28"/>
  <c r="C3016" i="1"/>
  <c r="C2456" i="1"/>
  <c r="C4488" i="1"/>
  <c r="C3102" i="1"/>
  <c r="C2879" i="1"/>
  <c r="B75" i="6"/>
  <c r="C4483" i="1"/>
  <c r="B121" i="3"/>
  <c r="B47" i="21"/>
  <c r="C2739" i="1"/>
  <c r="C3021" i="1"/>
  <c r="B142" i="7"/>
  <c r="B549" i="14"/>
  <c r="B147" i="17"/>
  <c r="C1229" i="1"/>
  <c r="C1321" i="1"/>
  <c r="C2538" i="1"/>
  <c r="B715" i="13"/>
  <c r="C3106" i="1"/>
  <c r="C1210" i="1"/>
  <c r="C3906" i="1"/>
  <c r="C1273" i="1"/>
  <c r="C2409" i="1"/>
  <c r="C2204" i="1"/>
  <c r="B529" i="18"/>
  <c r="B595" i="14"/>
  <c r="C1023" i="1"/>
  <c r="C2913" i="1"/>
  <c r="B38" i="14"/>
  <c r="C3823" i="1"/>
  <c r="B118" i="6"/>
  <c r="B190" i="21"/>
  <c r="C2219" i="1"/>
  <c r="C768" i="1"/>
  <c r="C3344" i="1"/>
  <c r="B2" i="23"/>
  <c r="B38" i="34"/>
  <c r="B295" i="6"/>
  <c r="B560" i="19"/>
  <c r="C3909" i="1"/>
  <c r="C364" i="1"/>
  <c r="B164" i="18"/>
  <c r="B465" i="13"/>
  <c r="B12" i="2"/>
  <c r="B381" i="18"/>
  <c r="B285" i="6"/>
  <c r="B682" i="13"/>
  <c r="B124" i="13"/>
  <c r="B17" i="34"/>
  <c r="B575" i="14"/>
  <c r="B476" i="14"/>
  <c r="B114" i="17"/>
  <c r="C555" i="1"/>
  <c r="C4279" i="1"/>
  <c r="C3556" i="1"/>
  <c r="B202" i="19"/>
  <c r="B7" i="31"/>
  <c r="B186" i="3"/>
  <c r="C1637" i="1"/>
  <c r="B25" i="21"/>
  <c r="B18" i="25"/>
  <c r="B46" i="16"/>
  <c r="C1853" i="1"/>
  <c r="B68" i="19"/>
  <c r="C152" i="1"/>
  <c r="C3041" i="1"/>
  <c r="C1716" i="1"/>
  <c r="C3345" i="1"/>
  <c r="B12" i="18"/>
  <c r="C2960" i="1"/>
  <c r="B121" i="21"/>
  <c r="C146" i="1"/>
  <c r="C3291" i="1"/>
  <c r="B182" i="3"/>
  <c r="C3290" i="1"/>
  <c r="B73" i="18"/>
  <c r="C4078" i="1"/>
  <c r="C174" i="1"/>
  <c r="C1840" i="1"/>
  <c r="C2032" i="1"/>
  <c r="B61" i="14"/>
  <c r="B26" i="29"/>
  <c r="B51" i="6"/>
  <c r="B14" i="21"/>
  <c r="C2531" i="1"/>
  <c r="B43" i="21"/>
  <c r="B572" i="14"/>
  <c r="B35" i="7"/>
  <c r="C990" i="1"/>
  <c r="C2917" i="1"/>
  <c r="C1413" i="1"/>
  <c r="B122" i="21"/>
  <c r="C2016" i="1"/>
  <c r="B205" i="6"/>
  <c r="C1009" i="1"/>
  <c r="B69" i="18"/>
  <c r="B378" i="20"/>
  <c r="C3510" i="1"/>
  <c r="B439" i="20"/>
  <c r="C1740" i="1"/>
  <c r="C3395" i="1"/>
  <c r="C3541" i="1"/>
  <c r="B127" i="13"/>
  <c r="C4003" i="1"/>
  <c r="C3475" i="1"/>
  <c r="B21" i="17"/>
  <c r="B87" i="31"/>
  <c r="B453" i="13"/>
  <c r="B150" i="7"/>
  <c r="C843" i="1"/>
  <c r="B50" i="21"/>
  <c r="C711" i="1"/>
  <c r="C3564" i="1"/>
  <c r="C697" i="1"/>
  <c r="B29" i="23"/>
  <c r="B329" i="20"/>
  <c r="C2912" i="1"/>
  <c r="B73" i="14"/>
  <c r="C3547" i="1"/>
  <c r="C3647" i="1"/>
  <c r="B469" i="19"/>
  <c r="C4037" i="1"/>
  <c r="C991" i="1"/>
  <c r="C837" i="1"/>
  <c r="B559" i="13"/>
  <c r="B19" i="28"/>
  <c r="B132" i="13"/>
  <c r="C2100" i="1"/>
  <c r="C4211" i="1"/>
  <c r="C1585" i="1"/>
  <c r="B345" i="19"/>
  <c r="B17" i="25"/>
  <c r="C2953" i="1"/>
  <c r="C4113" i="1"/>
  <c r="B266" i="3"/>
  <c r="C4270" i="1"/>
  <c r="B760" i="19"/>
  <c r="C3296" i="1"/>
  <c r="B55" i="34"/>
  <c r="B84" i="6"/>
  <c r="C2623" i="1"/>
  <c r="C892" i="1"/>
  <c r="C1794" i="1"/>
  <c r="C4474" i="1"/>
  <c r="B220" i="13"/>
  <c r="C718" i="1"/>
  <c r="B499" i="14"/>
  <c r="B22" i="22"/>
  <c r="C968" i="1"/>
  <c r="B6" i="14"/>
  <c r="B808" i="13"/>
  <c r="C2026" i="1"/>
  <c r="C4162" i="1"/>
  <c r="C4185" i="1"/>
  <c r="C4244" i="1"/>
  <c r="C2135" i="1"/>
  <c r="C2162" i="1"/>
  <c r="C134" i="1"/>
  <c r="C1029" i="1"/>
  <c r="C4079" i="1"/>
  <c r="B62" i="17"/>
  <c r="C1551" i="1"/>
  <c r="C3521" i="1"/>
  <c r="C1505" i="1"/>
  <c r="B360" i="13"/>
  <c r="B110" i="16"/>
  <c r="B9" i="15"/>
  <c r="C1919" i="1"/>
  <c r="C1634" i="1"/>
  <c r="C2323" i="1"/>
  <c r="B689" i="19"/>
  <c r="C1682" i="1"/>
  <c r="B156" i="7"/>
  <c r="C4005" i="1"/>
  <c r="C949" i="1"/>
  <c r="C54" i="1"/>
  <c r="C375" i="1"/>
  <c r="B384" i="19"/>
  <c r="B57" i="18"/>
  <c r="B92" i="14"/>
  <c r="B282" i="20"/>
  <c r="C4132" i="1"/>
  <c r="B15" i="24"/>
  <c r="C2160" i="1"/>
  <c r="B479" i="14"/>
  <c r="B30" i="17"/>
  <c r="B84" i="29"/>
  <c r="C4436" i="1"/>
  <c r="B54" i="6"/>
  <c r="B322" i="18"/>
  <c r="B40" i="31"/>
  <c r="C17" i="1"/>
  <c r="B736" i="19"/>
  <c r="C4029" i="1"/>
  <c r="C2381" i="1"/>
  <c r="C1900" i="1"/>
  <c r="B408" i="19"/>
  <c r="C4307" i="1"/>
  <c r="B851" i="13"/>
  <c r="C2027" i="1"/>
  <c r="B190" i="29"/>
  <c r="B364" i="13"/>
  <c r="B74" i="15"/>
  <c r="B401" i="14"/>
  <c r="B12" i="14"/>
  <c r="B265" i="3"/>
  <c r="C4255" i="1"/>
  <c r="B23" i="16"/>
  <c r="B202" i="3"/>
  <c r="C2668" i="1"/>
  <c r="B436" i="13"/>
  <c r="B310" i="3"/>
  <c r="C3672" i="1"/>
  <c r="C4020" i="1"/>
  <c r="C2242" i="1"/>
  <c r="C2999" i="1"/>
  <c r="C1111" i="1"/>
  <c r="B505" i="18"/>
  <c r="B255" i="14"/>
  <c r="C2798" i="1"/>
  <c r="B49" i="16"/>
  <c r="C2228" i="1"/>
  <c r="B217" i="6"/>
  <c r="C1089" i="1"/>
  <c r="C3247" i="1"/>
  <c r="B54" i="2"/>
  <c r="B809" i="13"/>
  <c r="B44" i="20"/>
  <c r="B27" i="29"/>
  <c r="C4528" i="1"/>
  <c r="C1354" i="1"/>
  <c r="B117" i="31"/>
  <c r="B180" i="18"/>
  <c r="B18" i="21"/>
  <c r="C3206" i="1"/>
  <c r="B367" i="18"/>
  <c r="B251" i="20"/>
  <c r="C1002" i="1"/>
  <c r="B62" i="15"/>
  <c r="C1848" i="1"/>
  <c r="C2273" i="1"/>
  <c r="B10" i="25"/>
  <c r="B275" i="14"/>
  <c r="B794" i="13"/>
  <c r="B801" i="13"/>
  <c r="C2072" i="1"/>
  <c r="B883" i="13"/>
  <c r="C3096" i="1"/>
  <c r="C781" i="1"/>
  <c r="C3265" i="1"/>
  <c r="B15" i="34"/>
  <c r="C998" i="1"/>
  <c r="B26" i="6"/>
  <c r="C3615" i="1"/>
  <c r="B29" i="3"/>
  <c r="B24" i="9"/>
  <c r="C2180" i="1"/>
  <c r="B400" i="20"/>
  <c r="C880" i="1"/>
  <c r="B51" i="15"/>
  <c r="C2598" i="1"/>
  <c r="C2949" i="1"/>
  <c r="B751" i="13"/>
  <c r="C4131" i="1"/>
  <c r="C263" i="1"/>
  <c r="C3010" i="1"/>
  <c r="C3405" i="1"/>
  <c r="B486" i="14"/>
  <c r="B520" i="13"/>
  <c r="C165" i="1"/>
  <c r="B7" i="30"/>
  <c r="B133" i="7"/>
  <c r="B525" i="19"/>
  <c r="B184" i="18"/>
  <c r="C3289" i="1"/>
  <c r="C282" i="1"/>
  <c r="B98" i="29"/>
  <c r="C3431" i="1"/>
  <c r="B24" i="6"/>
  <c r="C3385" i="1"/>
  <c r="C1679" i="1"/>
  <c r="C4461" i="1"/>
  <c r="B66" i="21"/>
  <c r="B91" i="20"/>
  <c r="C2757" i="1"/>
  <c r="B299" i="18"/>
  <c r="B21" i="10"/>
  <c r="B150" i="16"/>
  <c r="B387" i="19"/>
  <c r="B381" i="14"/>
  <c r="B72" i="16"/>
  <c r="B80" i="20"/>
  <c r="B450" i="14"/>
  <c r="B612" i="13"/>
  <c r="C398" i="1"/>
  <c r="B58" i="20"/>
  <c r="B136" i="21"/>
  <c r="C3946" i="1"/>
  <c r="C3658" i="1"/>
  <c r="C519" i="1"/>
  <c r="B141" i="17"/>
  <c r="C2387" i="1"/>
  <c r="B28" i="34"/>
  <c r="B868" i="13"/>
  <c r="C3963" i="1"/>
  <c r="B180" i="21"/>
  <c r="C343" i="1"/>
  <c r="C1589" i="1"/>
  <c r="B59" i="28"/>
  <c r="B104" i="7"/>
  <c r="C1745" i="1"/>
  <c r="B409" i="18"/>
  <c r="C1380" i="1"/>
  <c r="C1517" i="1"/>
  <c r="C4138" i="1"/>
  <c r="B755" i="19"/>
  <c r="C3567" i="1"/>
  <c r="B353" i="20"/>
  <c r="B194" i="16"/>
  <c r="C1773" i="1"/>
  <c r="C3306" i="1"/>
  <c r="B101" i="31"/>
  <c r="B36" i="30"/>
  <c r="B42" i="26"/>
  <c r="C1092" i="1"/>
  <c r="C3962" i="1"/>
  <c r="B283" i="14"/>
  <c r="B34" i="21"/>
  <c r="C1907" i="1"/>
  <c r="B109" i="21"/>
  <c r="C3350" i="1"/>
  <c r="C2509" i="1"/>
  <c r="B89" i="23"/>
  <c r="B39" i="13"/>
  <c r="B92" i="31"/>
  <c r="C2916" i="1"/>
  <c r="B219" i="14"/>
  <c r="C2778" i="1"/>
  <c r="B253" i="18"/>
  <c r="B133" i="3"/>
  <c r="C3011" i="1"/>
  <c r="C4305" i="1"/>
  <c r="C4060" i="1"/>
  <c r="B111" i="21"/>
  <c r="C3985" i="1"/>
  <c r="B57" i="2"/>
  <c r="B347" i="19"/>
  <c r="B391" i="19"/>
  <c r="B77" i="29"/>
  <c r="C2958" i="1"/>
  <c r="B508" i="14"/>
  <c r="C4286" i="1"/>
  <c r="B21" i="21"/>
  <c r="C3442" i="1"/>
  <c r="C2695" i="1"/>
  <c r="B86" i="6"/>
  <c r="C2728" i="1"/>
  <c r="B201" i="16"/>
  <c r="B373" i="18"/>
  <c r="B44" i="10"/>
  <c r="C121" i="1"/>
  <c r="C2424" i="1"/>
  <c r="B331" i="14"/>
  <c r="C901" i="1"/>
  <c r="C3185" i="1"/>
  <c r="C2527" i="1"/>
  <c r="B426" i="18"/>
  <c r="B141" i="29"/>
  <c r="B709" i="13"/>
  <c r="B155" i="3"/>
  <c r="B44" i="28"/>
  <c r="C1573" i="1"/>
  <c r="B71" i="17"/>
  <c r="B52" i="31"/>
  <c r="C3362" i="1"/>
  <c r="C826" i="1"/>
  <c r="C2008" i="1"/>
  <c r="B241" i="6"/>
  <c r="B10" i="27"/>
  <c r="B571" i="13"/>
  <c r="C2013" i="1"/>
  <c r="C180" i="1"/>
  <c r="B23" i="28"/>
  <c r="C4413" i="1"/>
  <c r="C1886" i="1"/>
  <c r="B245" i="19"/>
  <c r="C367" i="1"/>
  <c r="C1560" i="1"/>
  <c r="C3094" i="1"/>
  <c r="B41" i="15"/>
  <c r="C434" i="1"/>
  <c r="C662" i="1"/>
  <c r="B60" i="29"/>
  <c r="C3155" i="1"/>
  <c r="C4534" i="1"/>
  <c r="B498" i="13"/>
  <c r="B190" i="19"/>
  <c r="C4312" i="1"/>
  <c r="C4139" i="1"/>
  <c r="B87" i="17"/>
  <c r="B81" i="20"/>
  <c r="B33" i="32"/>
  <c r="B256" i="3"/>
  <c r="C2163" i="1"/>
  <c r="C346" i="1"/>
  <c r="B21" i="31"/>
  <c r="C1271" i="1"/>
  <c r="C975" i="1"/>
  <c r="C4188" i="1"/>
  <c r="C491" i="1"/>
  <c r="C689" i="1"/>
  <c r="B62" i="29"/>
  <c r="C355" i="1"/>
  <c r="C1491" i="1"/>
  <c r="B16" i="32"/>
  <c r="C1992" i="1"/>
  <c r="B2" i="24"/>
  <c r="B29" i="28"/>
  <c r="B65" i="2"/>
  <c r="B155" i="13"/>
  <c r="B119" i="14"/>
  <c r="B695" i="19"/>
  <c r="C1781" i="1"/>
  <c r="C4110" i="1"/>
  <c r="C1519" i="1"/>
  <c r="B205" i="19"/>
  <c r="B843" i="13"/>
  <c r="B98" i="34"/>
  <c r="B153" i="29"/>
  <c r="B203" i="14"/>
  <c r="C2825" i="1"/>
  <c r="C2322" i="1"/>
  <c r="B1" i="4"/>
  <c r="B161" i="6"/>
  <c r="B500" i="18"/>
  <c r="C533" i="1"/>
  <c r="C2354" i="1"/>
  <c r="B264" i="3"/>
  <c r="C566" i="1"/>
  <c r="B118" i="23"/>
  <c r="C3812" i="1"/>
  <c r="C2684" i="1"/>
  <c r="C1768" i="1"/>
  <c r="B546" i="13"/>
  <c r="C1319" i="1"/>
  <c r="B42" i="2"/>
  <c r="C1699" i="1"/>
  <c r="C3115" i="1"/>
  <c r="B421" i="13"/>
  <c r="B11" i="16"/>
  <c r="C2309" i="1"/>
  <c r="C2469" i="1"/>
  <c r="B167" i="21"/>
  <c r="B615" i="19"/>
  <c r="C1346" i="1"/>
  <c r="C2583" i="1"/>
  <c r="C4294" i="1"/>
  <c r="B172" i="14"/>
  <c r="C196" i="1"/>
  <c r="C2363" i="1"/>
  <c r="C3053" i="1"/>
  <c r="C1702" i="1"/>
  <c r="B306" i="20"/>
  <c r="C4519" i="1"/>
  <c r="B66" i="6"/>
  <c r="C2467" i="1"/>
  <c r="B75" i="20"/>
  <c r="C1120" i="1"/>
  <c r="C4088" i="1"/>
  <c r="C3704" i="1"/>
  <c r="C268" i="1"/>
  <c r="C1015" i="1"/>
  <c r="B289" i="6"/>
  <c r="B265" i="19"/>
  <c r="B187" i="3"/>
  <c r="C4212" i="1"/>
  <c r="C4011" i="1"/>
  <c r="C4297" i="1"/>
  <c r="C3829" i="1"/>
  <c r="B115" i="21"/>
  <c r="B718" i="13"/>
  <c r="C4457" i="1"/>
  <c r="B112" i="10"/>
  <c r="B566" i="14"/>
  <c r="C2377" i="1"/>
  <c r="C3413" i="1"/>
  <c r="B101" i="15"/>
  <c r="B16" i="3"/>
  <c r="B381" i="19"/>
  <c r="C1181" i="1"/>
  <c r="B7" i="17"/>
  <c r="B98" i="15"/>
  <c r="C750" i="1"/>
  <c r="B25" i="6"/>
  <c r="C2938" i="1"/>
  <c r="B178" i="20"/>
  <c r="B42" i="20"/>
  <c r="C259" i="1"/>
  <c r="B39" i="3"/>
  <c r="B294" i="13"/>
  <c r="C1261" i="1"/>
  <c r="B57" i="14"/>
  <c r="B607" i="14"/>
  <c r="C3873" i="1"/>
  <c r="C2710" i="1"/>
  <c r="B29" i="15"/>
  <c r="C722" i="1"/>
  <c r="C3254" i="1"/>
  <c r="B4" i="9"/>
  <c r="C3063" i="1"/>
  <c r="B54" i="34"/>
  <c r="B829" i="13"/>
  <c r="B260" i="3"/>
  <c r="B862" i="13"/>
  <c r="B163" i="17"/>
  <c r="C260" i="1"/>
  <c r="B14" i="29"/>
  <c r="B324" i="14"/>
  <c r="B113" i="3"/>
  <c r="B41" i="21"/>
  <c r="C4016" i="1"/>
  <c r="C785" i="1"/>
  <c r="B46" i="15"/>
  <c r="B42" i="29"/>
  <c r="C3391" i="1"/>
  <c r="B401" i="19"/>
  <c r="B318" i="14"/>
  <c r="B217" i="14"/>
  <c r="B523" i="13"/>
  <c r="C1359" i="1"/>
  <c r="B368" i="18"/>
  <c r="C1872" i="1"/>
  <c r="B122" i="14"/>
  <c r="B31" i="23"/>
  <c r="B386" i="18"/>
  <c r="C1395" i="1"/>
  <c r="B55" i="18"/>
  <c r="B8" i="29"/>
  <c r="C310" i="1"/>
  <c r="C4438" i="1"/>
  <c r="B254" i="18"/>
  <c r="B67" i="14"/>
  <c r="C1705" i="1"/>
  <c r="B231" i="3"/>
  <c r="C2815" i="1"/>
  <c r="B149" i="14"/>
  <c r="B743" i="19"/>
  <c r="B497" i="19"/>
  <c r="B156" i="21"/>
  <c r="B111" i="3"/>
  <c r="C460" i="1"/>
  <c r="B136" i="3"/>
  <c r="B689" i="13"/>
  <c r="C321" i="1"/>
  <c r="C886" i="1"/>
  <c r="C1876" i="1"/>
  <c r="C2383" i="1"/>
  <c r="C3007" i="1"/>
  <c r="C677" i="1"/>
  <c r="C2288" i="1"/>
  <c r="C2923" i="1"/>
  <c r="B173" i="17"/>
  <c r="C495" i="1"/>
  <c r="C1609" i="1"/>
  <c r="C3072" i="1"/>
  <c r="C1926" i="1"/>
  <c r="C2648" i="1"/>
  <c r="B29" i="32"/>
  <c r="B226" i="19"/>
  <c r="C414" i="1"/>
  <c r="B69" i="23"/>
  <c r="C3965" i="1"/>
  <c r="C1896" i="1"/>
  <c r="C170" i="1"/>
  <c r="B21" i="34"/>
  <c r="B312" i="6"/>
  <c r="C1946" i="1"/>
  <c r="C1913" i="1"/>
  <c r="C449" i="1"/>
  <c r="C2497" i="1"/>
  <c r="C3037" i="1"/>
  <c r="B170" i="6"/>
  <c r="C227" i="1"/>
  <c r="C927" i="1"/>
  <c r="C1107" i="1"/>
  <c r="C3854" i="1"/>
  <c r="B334" i="20"/>
  <c r="C4248" i="1"/>
  <c r="B379" i="20"/>
  <c r="B18" i="5"/>
  <c r="C3650" i="1"/>
  <c r="C4503" i="1"/>
  <c r="C2074" i="1"/>
  <c r="B19" i="29"/>
  <c r="B23" i="26"/>
  <c r="B32" i="26"/>
  <c r="B262" i="20"/>
  <c r="C1927" i="1"/>
  <c r="B262" i="6"/>
  <c r="C1909" i="1"/>
  <c r="B315" i="19"/>
  <c r="B361" i="19"/>
  <c r="B523" i="14"/>
  <c r="B55" i="31"/>
  <c r="C1520" i="1"/>
  <c r="B38" i="18"/>
  <c r="C1072" i="1"/>
  <c r="C2230" i="1"/>
  <c r="B691" i="19"/>
  <c r="B650" i="19"/>
  <c r="C3100" i="1"/>
  <c r="B351" i="20"/>
  <c r="C2283" i="1"/>
  <c r="C3636" i="1"/>
  <c r="C510" i="1"/>
  <c r="B457" i="13"/>
  <c r="C2045" i="1"/>
  <c r="C2942" i="1"/>
  <c r="B97" i="7"/>
  <c r="B448" i="14"/>
  <c r="B66" i="3"/>
  <c r="B99" i="34"/>
  <c r="C811" i="1"/>
  <c r="B81" i="10"/>
  <c r="C82" i="1"/>
  <c r="B199" i="18"/>
  <c r="C636" i="1"/>
  <c r="B90" i="7"/>
  <c r="B347" i="14"/>
  <c r="B196" i="18"/>
  <c r="C759" i="1"/>
  <c r="B117" i="16"/>
  <c r="C2850" i="1"/>
  <c r="B320" i="13"/>
  <c r="C1986" i="1"/>
  <c r="C2439" i="1"/>
  <c r="B317" i="14"/>
  <c r="B2" i="13"/>
  <c r="B478" i="19"/>
  <c r="B224" i="16"/>
  <c r="B383" i="19"/>
  <c r="C2414" i="1"/>
  <c r="B105" i="16"/>
  <c r="B65" i="21"/>
  <c r="C3860" i="1"/>
  <c r="B326" i="6"/>
  <c r="C2577" i="1"/>
  <c r="B80" i="23"/>
  <c r="B37" i="19"/>
  <c r="B58" i="7"/>
  <c r="C1432" i="1"/>
  <c r="C2911" i="1"/>
  <c r="C3347" i="1"/>
  <c r="B2" i="21"/>
  <c r="C3468" i="1"/>
  <c r="B91" i="21"/>
  <c r="B137" i="21"/>
  <c r="C16" i="1"/>
  <c r="B418" i="19"/>
  <c r="B151" i="7"/>
  <c r="B172" i="29"/>
  <c r="C1143" i="1"/>
  <c r="B95" i="6"/>
  <c r="C1475" i="1"/>
  <c r="B772" i="19"/>
  <c r="C436" i="1"/>
  <c r="B329" i="3"/>
  <c r="B95" i="17"/>
  <c r="B447" i="14"/>
  <c r="C3321" i="1"/>
  <c r="C1339" i="1"/>
  <c r="B70" i="15"/>
  <c r="B474" i="18"/>
  <c r="C2704" i="1"/>
  <c r="C3134" i="1"/>
  <c r="C1923" i="1"/>
  <c r="C1116" i="1"/>
  <c r="B123" i="6"/>
  <c r="C3884" i="1"/>
  <c r="C4048" i="1"/>
  <c r="C4278" i="1"/>
  <c r="B400" i="14"/>
  <c r="B72" i="14"/>
  <c r="B14" i="4"/>
  <c r="B207" i="18"/>
  <c r="B41" i="29"/>
  <c r="C4352" i="1"/>
  <c r="B142" i="17"/>
  <c r="B467" i="20"/>
  <c r="C3200" i="1"/>
  <c r="C4568" i="1"/>
  <c r="B72" i="29"/>
  <c r="B484" i="19"/>
  <c r="C4320" i="1"/>
  <c r="B125" i="29"/>
  <c r="B16" i="6"/>
  <c r="B105" i="29"/>
  <c r="B588" i="14"/>
  <c r="B151" i="19"/>
  <c r="B141" i="3"/>
  <c r="C3271" i="1"/>
  <c r="B716" i="13"/>
  <c r="B410" i="18"/>
  <c r="B183" i="16"/>
  <c r="C4420" i="1"/>
  <c r="B89" i="19"/>
  <c r="C2421" i="1"/>
  <c r="B119" i="19"/>
  <c r="C350" i="1"/>
  <c r="C1803" i="1"/>
  <c r="C3574" i="1"/>
  <c r="B47" i="13"/>
  <c r="B612" i="19"/>
  <c r="C4548" i="1"/>
  <c r="C4325" i="1"/>
  <c r="B307" i="20"/>
  <c r="B609" i="14"/>
  <c r="C477" i="1"/>
  <c r="C2416" i="1"/>
  <c r="B128" i="21"/>
  <c r="B97" i="10"/>
  <c r="B26" i="21"/>
  <c r="C3048" i="1"/>
  <c r="B7" i="29"/>
  <c r="B8" i="31"/>
  <c r="C1658" i="1"/>
  <c r="B267" i="13"/>
  <c r="C1097" i="1"/>
  <c r="B489" i="19"/>
  <c r="C3050" i="1"/>
  <c r="C2846" i="1"/>
  <c r="C1410" i="1"/>
  <c r="B77" i="2"/>
  <c r="C3410" i="1"/>
  <c r="B157" i="14"/>
  <c r="C788" i="1"/>
  <c r="C4217" i="1"/>
  <c r="C4123" i="1"/>
  <c r="B24" i="29"/>
  <c r="B114" i="10"/>
  <c r="B93" i="19"/>
  <c r="C2986" i="1"/>
  <c r="B37" i="7"/>
  <c r="C1348" i="1"/>
  <c r="B33" i="31"/>
  <c r="C2909" i="1"/>
  <c r="B110" i="21"/>
  <c r="B89" i="14"/>
  <c r="C4496" i="1"/>
  <c r="C824" i="1"/>
  <c r="C783" i="1"/>
  <c r="B217" i="21"/>
  <c r="B132" i="3"/>
  <c r="C3579" i="1"/>
  <c r="C3090" i="1"/>
  <c r="B293" i="20"/>
  <c r="C2369" i="1"/>
  <c r="B875" i="13"/>
  <c r="C2681" i="1"/>
  <c r="B218" i="3"/>
  <c r="C3514" i="1"/>
  <c r="C2153" i="1"/>
  <c r="C1597" i="1"/>
  <c r="C61" i="1"/>
  <c r="C2275" i="1"/>
  <c r="C565" i="1"/>
  <c r="B407" i="13"/>
  <c r="B260" i="6"/>
  <c r="B417" i="14"/>
  <c r="C2696" i="1"/>
  <c r="B68" i="16"/>
  <c r="C640" i="1"/>
  <c r="C797" i="1"/>
  <c r="B687" i="13"/>
  <c r="C2448" i="1"/>
  <c r="C2047" i="1"/>
  <c r="C2820" i="1"/>
  <c r="B329" i="13"/>
  <c r="B91" i="31"/>
  <c r="C1327" i="1"/>
  <c r="C3822" i="1"/>
  <c r="C1576" i="1"/>
  <c r="B438" i="14"/>
  <c r="C1150" i="1"/>
  <c r="B102" i="14"/>
  <c r="C647" i="1"/>
  <c r="B155" i="21"/>
  <c r="C3092" i="1"/>
  <c r="B270" i="13"/>
  <c r="B84" i="21"/>
  <c r="B521" i="14"/>
  <c r="C3113" i="1"/>
  <c r="C1040" i="1"/>
  <c r="C1808" i="1"/>
  <c r="C3877" i="1"/>
  <c r="B272" i="14"/>
  <c r="B20" i="28"/>
  <c r="B424" i="19"/>
  <c r="C1862" i="1"/>
  <c r="B52" i="21"/>
  <c r="B275" i="3"/>
  <c r="B104" i="15"/>
  <c r="C516" i="1"/>
  <c r="B211" i="20"/>
  <c r="C4341" i="1"/>
  <c r="C3790" i="1"/>
  <c r="C1008" i="1"/>
  <c r="B76" i="15"/>
  <c r="C2654" i="1"/>
  <c r="B509" i="18"/>
  <c r="B1" i="32"/>
  <c r="C1554" i="1"/>
  <c r="C4525" i="1"/>
  <c r="C445" i="1"/>
  <c r="C20" i="1"/>
  <c r="B160" i="19"/>
  <c r="B109" i="7"/>
  <c r="C604" i="1"/>
  <c r="C1732" i="1"/>
  <c r="B414" i="19"/>
  <c r="C1630" i="1"/>
  <c r="B35" i="10"/>
  <c r="B344" i="14"/>
  <c r="B277" i="3"/>
  <c r="B47" i="34"/>
  <c r="B220" i="19"/>
  <c r="C4293" i="1"/>
  <c r="C2384" i="1"/>
  <c r="C3272" i="1"/>
  <c r="B63" i="10"/>
  <c r="C1304" i="1"/>
  <c r="C4256" i="1"/>
  <c r="C1318" i="1"/>
  <c r="C2474" i="1"/>
  <c r="B241" i="19"/>
  <c r="B113" i="19"/>
  <c r="C270" i="1"/>
  <c r="C3717" i="1"/>
  <c r="C1570" i="1"/>
  <c r="B405" i="19"/>
  <c r="B669" i="19"/>
  <c r="C3522" i="1"/>
  <c r="C1860" i="1"/>
  <c r="C3338" i="1"/>
  <c r="B410" i="14"/>
  <c r="C473" i="1"/>
  <c r="B30" i="9"/>
  <c r="C4336" i="1"/>
  <c r="B547" i="18"/>
  <c r="C2359" i="1"/>
  <c r="B817" i="13"/>
  <c r="B767" i="13"/>
  <c r="B367" i="14"/>
  <c r="B12" i="23"/>
  <c r="C335" i="1"/>
  <c r="C320" i="1"/>
  <c r="B199" i="21"/>
  <c r="C2041" i="1"/>
  <c r="B112" i="23"/>
  <c r="B354" i="14"/>
  <c r="B680" i="19"/>
  <c r="B113" i="15"/>
  <c r="C4361" i="1"/>
  <c r="C4228" i="1"/>
  <c r="B16" i="34"/>
  <c r="C4163" i="1"/>
  <c r="C1392" i="1"/>
  <c r="B395" i="19"/>
  <c r="B103" i="6"/>
  <c r="C4224" i="1"/>
  <c r="C243" i="1"/>
  <c r="C3055" i="1"/>
  <c r="B75" i="10"/>
  <c r="B185" i="3"/>
  <c r="C3841" i="1"/>
  <c r="C877" i="1"/>
  <c r="C3552" i="1"/>
  <c r="B193" i="21"/>
  <c r="B18" i="20"/>
  <c r="B43" i="31"/>
  <c r="B97" i="18"/>
  <c r="B301" i="20"/>
  <c r="B274" i="13"/>
  <c r="C924" i="1"/>
  <c r="B210" i="29"/>
  <c r="C4494" i="1"/>
  <c r="B313" i="3"/>
  <c r="B86" i="7"/>
  <c r="B96" i="19"/>
  <c r="B235" i="20"/>
  <c r="B335" i="20"/>
  <c r="C4142" i="1"/>
  <c r="C1651" i="1"/>
  <c r="B46" i="34"/>
  <c r="C3747" i="1"/>
  <c r="C520" i="1"/>
  <c r="C2313" i="1"/>
  <c r="B287" i="6"/>
  <c r="B22" i="5"/>
  <c r="C2360" i="1"/>
  <c r="B510" i="14"/>
  <c r="B319" i="20"/>
  <c r="C683" i="1"/>
  <c r="B154" i="3"/>
  <c r="B103" i="16"/>
  <c r="B16" i="10"/>
  <c r="B165" i="19"/>
  <c r="B78" i="6"/>
  <c r="B106" i="29"/>
  <c r="C1245" i="1"/>
  <c r="B104" i="6"/>
  <c r="B165" i="16"/>
  <c r="C581" i="1"/>
  <c r="C2560" i="1"/>
  <c r="B52" i="13"/>
  <c r="B7" i="15"/>
  <c r="B765" i="13"/>
  <c r="B219" i="19"/>
  <c r="B310" i="6"/>
  <c r="B199" i="3"/>
  <c r="C2694" i="1"/>
  <c r="C583" i="1"/>
  <c r="C995" i="1"/>
  <c r="B50" i="3"/>
  <c r="B594" i="14"/>
  <c r="C562" i="1"/>
  <c r="B335" i="14"/>
  <c r="C3889" i="1"/>
  <c r="C2553" i="1"/>
  <c r="C3800" i="1"/>
  <c r="C186" i="1"/>
  <c r="C3853" i="1"/>
  <c r="C3742" i="1"/>
  <c r="B153" i="18"/>
  <c r="C814" i="1"/>
  <c r="B62" i="21"/>
  <c r="C1441" i="1"/>
  <c r="C3670" i="1"/>
  <c r="B333" i="14"/>
  <c r="C425" i="1"/>
  <c r="C563" i="1"/>
  <c r="C21" i="1"/>
  <c r="B284" i="3"/>
  <c r="B881" i="13"/>
  <c r="C3883" i="1"/>
  <c r="C3273" i="1"/>
  <c r="B53" i="29"/>
  <c r="C2476" i="1"/>
  <c r="B28" i="32"/>
  <c r="B384" i="14"/>
  <c r="B495" i="19"/>
  <c r="C789" i="1"/>
  <c r="B36" i="23"/>
  <c r="B73" i="7"/>
  <c r="B127" i="29"/>
  <c r="C2956" i="1"/>
  <c r="C2792" i="1"/>
  <c r="B70" i="21"/>
  <c r="B113" i="23"/>
  <c r="B24" i="10"/>
  <c r="B138" i="29"/>
  <c r="B85" i="14"/>
  <c r="C1081" i="1"/>
  <c r="B55" i="16"/>
  <c r="B135" i="21"/>
  <c r="C669" i="1"/>
  <c r="C1289" i="1"/>
  <c r="B11" i="22"/>
  <c r="C2343" i="1"/>
  <c r="B557" i="19"/>
  <c r="B13" i="5"/>
  <c r="C630" i="1"/>
  <c r="B819" i="13"/>
  <c r="B6" i="19"/>
  <c r="B37" i="9"/>
  <c r="C2285" i="1"/>
  <c r="B563" i="13"/>
  <c r="B15" i="14"/>
  <c r="C416" i="1"/>
  <c r="B85" i="17"/>
  <c r="C3952" i="1"/>
  <c r="B394" i="18"/>
  <c r="B139" i="7"/>
  <c r="B7" i="14"/>
  <c r="B123" i="7"/>
  <c r="B51" i="28"/>
  <c r="C1988" i="1"/>
  <c r="C4523" i="1"/>
  <c r="C4347" i="1"/>
  <c r="C657" i="1"/>
  <c r="C4322" i="1"/>
  <c r="C1026" i="1"/>
  <c r="C2214" i="1"/>
  <c r="B259" i="19"/>
  <c r="B479" i="19"/>
  <c r="B23" i="14"/>
  <c r="C1171" i="1"/>
  <c r="C1590" i="1"/>
  <c r="B104" i="14"/>
  <c r="B69" i="21"/>
  <c r="B213" i="19"/>
  <c r="B241" i="20"/>
  <c r="C4517" i="1"/>
  <c r="C2662" i="1"/>
  <c r="C2410" i="1"/>
  <c r="C2244" i="1"/>
  <c r="B225" i="16"/>
  <c r="B228" i="19"/>
  <c r="C3554" i="1"/>
  <c r="C1087" i="1"/>
  <c r="B389" i="18"/>
  <c r="B27" i="32"/>
  <c r="B105" i="21"/>
  <c r="B537" i="14"/>
  <c r="C3690" i="1"/>
  <c r="B267" i="3"/>
  <c r="B568" i="18"/>
  <c r="B452" i="14"/>
  <c r="B396" i="18"/>
  <c r="C1277" i="1"/>
  <c r="B283" i="3"/>
  <c r="C1217" i="1"/>
  <c r="C639" i="1"/>
  <c r="B89" i="29"/>
  <c r="B750" i="19"/>
  <c r="B381" i="20"/>
  <c r="C138" i="1"/>
  <c r="C735" i="1"/>
  <c r="C1558" i="1"/>
  <c r="C4195" i="1"/>
  <c r="B602" i="13"/>
  <c r="C2610" i="1"/>
  <c r="C2579" i="1"/>
  <c r="C185" i="1"/>
  <c r="B23" i="17"/>
  <c r="C1422" i="1"/>
  <c r="C849" i="1"/>
  <c r="C2444" i="1"/>
  <c r="C3076" i="1"/>
  <c r="C4066" i="1"/>
  <c r="B86" i="29"/>
  <c r="C3915" i="1"/>
  <c r="B161" i="18"/>
  <c r="B271" i="13"/>
  <c r="B26" i="22"/>
  <c r="C1391" i="1"/>
  <c r="C369" i="1"/>
  <c r="B268" i="6"/>
  <c r="B19" i="4"/>
  <c r="C3798" i="1"/>
  <c r="C3242" i="1"/>
  <c r="C4136" i="1"/>
  <c r="C4542" i="1"/>
  <c r="B372" i="13"/>
  <c r="B838" i="13"/>
  <c r="B58" i="2"/>
  <c r="C2422" i="1"/>
  <c r="B19" i="34"/>
  <c r="B379" i="19"/>
  <c r="C3073" i="1"/>
  <c r="B21" i="19"/>
  <c r="C2002" i="1"/>
  <c r="B237" i="16"/>
  <c r="C361" i="1"/>
  <c r="B206" i="16"/>
  <c r="C3865" i="1"/>
  <c r="B309" i="18"/>
  <c r="C1628" i="1"/>
  <c r="B148" i="17"/>
  <c r="C2028" i="1"/>
  <c r="B525" i="18"/>
  <c r="C3659" i="1"/>
  <c r="C3074" i="1"/>
  <c r="B69" i="19"/>
  <c r="C1943" i="1"/>
  <c r="B16" i="28"/>
  <c r="B331" i="19"/>
  <c r="B66" i="29"/>
  <c r="B59" i="31"/>
  <c r="B64" i="15"/>
  <c r="B284" i="18"/>
  <c r="C1175" i="1"/>
  <c r="C4383" i="1"/>
  <c r="B5" i="2"/>
  <c r="B371" i="19"/>
  <c r="B373" i="19"/>
  <c r="C3153" i="1"/>
  <c r="C474" i="1"/>
  <c r="C842" i="1"/>
  <c r="B89" i="17"/>
  <c r="C715" i="1"/>
  <c r="C130" i="1"/>
  <c r="C2780" i="1"/>
  <c r="C1485" i="1"/>
  <c r="B259" i="3"/>
  <c r="C3390" i="1"/>
  <c r="C1762" i="1"/>
  <c r="C314" i="1"/>
  <c r="B99" i="14"/>
  <c r="B161" i="20"/>
  <c r="B12" i="7"/>
  <c r="C3033" i="1"/>
  <c r="C567" i="1"/>
  <c r="C3743" i="1"/>
  <c r="B141" i="6"/>
  <c r="C2800" i="1"/>
  <c r="B28" i="10"/>
  <c r="C447" i="1"/>
  <c r="C3422" i="1"/>
  <c r="C3810" i="1"/>
  <c r="C3667" i="1"/>
  <c r="C1118" i="1"/>
  <c r="C3000" i="1"/>
  <c r="C3733" i="1"/>
  <c r="B289" i="20"/>
  <c r="C2243" i="1"/>
  <c r="B347" i="13"/>
  <c r="C1106" i="1"/>
  <c r="C893" i="1"/>
  <c r="B12" i="10"/>
  <c r="B106" i="15"/>
  <c r="B52" i="2"/>
  <c r="B143" i="3"/>
  <c r="C4124" i="1"/>
  <c r="C239" i="1"/>
  <c r="C2462" i="1"/>
  <c r="C390" i="1"/>
  <c r="B45" i="18"/>
  <c r="C4389" i="1"/>
  <c r="B185" i="18"/>
  <c r="B288" i="6"/>
  <c r="C1206" i="1"/>
  <c r="B725" i="19"/>
  <c r="C71" i="1"/>
  <c r="B9" i="24"/>
  <c r="B610" i="14"/>
  <c r="C1415" i="1"/>
  <c r="B346" i="14"/>
  <c r="C4252" i="1"/>
  <c r="B5" i="29"/>
  <c r="C3549" i="1"/>
  <c r="C279" i="1"/>
  <c r="B266" i="13"/>
  <c r="B2" i="2"/>
  <c r="B747" i="19"/>
  <c r="B5" i="7"/>
  <c r="C902" i="1"/>
  <c r="B133" i="16"/>
  <c r="B344" i="18"/>
  <c r="C1719" i="1"/>
  <c r="B560" i="18"/>
  <c r="C4128" i="1"/>
  <c r="B56" i="17"/>
  <c r="B273" i="6"/>
  <c r="B15" i="7"/>
  <c r="B605" i="19"/>
  <c r="B114" i="13"/>
  <c r="C786" i="1"/>
  <c r="B730" i="19"/>
  <c r="B518" i="14"/>
  <c r="B511" i="14"/>
  <c r="C1130" i="1"/>
  <c r="B199" i="14"/>
  <c r="C131" i="1"/>
  <c r="C4409" i="1"/>
  <c r="C1801" i="1"/>
  <c r="C1284" i="1"/>
  <c r="C2203" i="1"/>
  <c r="C3971" i="1"/>
  <c r="B127" i="14"/>
  <c r="B366" i="19"/>
  <c r="B573" i="14"/>
  <c r="C2941" i="1"/>
  <c r="C1877" i="1"/>
  <c r="C3648" i="1"/>
  <c r="B339" i="19"/>
  <c r="B157" i="16"/>
  <c r="C3847" i="1"/>
  <c r="C582" i="1"/>
  <c r="C3230" i="1"/>
  <c r="B366" i="20"/>
  <c r="C1922" i="1"/>
  <c r="B462" i="19"/>
  <c r="C3469" i="1"/>
  <c r="C334" i="1"/>
  <c r="C961" i="1"/>
  <c r="C4071" i="1"/>
  <c r="B149" i="16"/>
  <c r="B134" i="17"/>
  <c r="C2864" i="1"/>
  <c r="C860" i="1"/>
  <c r="C2768" i="1"/>
  <c r="C3178" i="1"/>
  <c r="B124" i="15"/>
  <c r="B43" i="17"/>
  <c r="B76" i="13"/>
  <c r="B138" i="7"/>
  <c r="B239" i="3"/>
  <c r="B114" i="29"/>
  <c r="B442" i="19"/>
  <c r="B45" i="28"/>
  <c r="C798" i="1"/>
  <c r="C397" i="1"/>
  <c r="C2157" i="1"/>
  <c r="B87" i="21"/>
  <c r="B137" i="13"/>
  <c r="C3285" i="1"/>
  <c r="C2066" i="1"/>
  <c r="C1559" i="1"/>
  <c r="B334" i="19"/>
  <c r="B181" i="18"/>
  <c r="C1664" i="1"/>
  <c r="B166" i="16"/>
  <c r="C140" i="1"/>
  <c r="C3173" i="1"/>
  <c r="C246" i="1"/>
  <c r="B252" i="3"/>
  <c r="B27" i="26"/>
  <c r="B160" i="6"/>
  <c r="C2391" i="1"/>
  <c r="C3508" i="1"/>
  <c r="C825" i="1"/>
  <c r="C37" i="1"/>
  <c r="B163" i="3"/>
  <c r="C2596" i="1"/>
  <c r="C399" i="1"/>
  <c r="C859" i="1"/>
  <c r="C472" i="1"/>
  <c r="B95" i="16"/>
  <c r="C1385" i="1"/>
  <c r="C2272" i="1"/>
  <c r="C509" i="1"/>
  <c r="C1647" i="1"/>
  <c r="C2901" i="1"/>
  <c r="B297" i="19"/>
  <c r="C1054" i="1"/>
  <c r="B165" i="29"/>
  <c r="C542" i="1"/>
  <c r="C64" i="1"/>
  <c r="B31" i="3"/>
  <c r="B74" i="3"/>
  <c r="B130" i="21"/>
  <c r="B412" i="14"/>
  <c r="B20" i="26"/>
  <c r="C3195" i="1"/>
  <c r="B63" i="6"/>
  <c r="B575" i="19"/>
  <c r="C1255" i="1"/>
  <c r="C3485" i="1"/>
  <c r="B86" i="15"/>
  <c r="C2588" i="1"/>
  <c r="C3425" i="1"/>
  <c r="C1320" i="1"/>
  <c r="B315" i="20"/>
  <c r="C1251" i="1"/>
  <c r="C1501" i="1"/>
  <c r="B69" i="34"/>
  <c r="B316" i="20"/>
  <c r="C1815" i="1"/>
  <c r="C607" i="1"/>
  <c r="B739" i="19"/>
  <c r="B322" i="19"/>
  <c r="B538" i="19"/>
  <c r="C3158" i="1"/>
  <c r="B286" i="6"/>
  <c r="B102" i="16"/>
  <c r="C1757" i="1"/>
  <c r="B451" i="20"/>
  <c r="B109" i="19"/>
  <c r="B195" i="6"/>
  <c r="C4186" i="1"/>
  <c r="B162" i="13"/>
  <c r="C1731" i="1"/>
  <c r="C3315" i="1"/>
  <c r="B805" i="13"/>
  <c r="C3519" i="1"/>
  <c r="C3934" i="1"/>
  <c r="B351" i="13"/>
  <c r="B595" i="19"/>
  <c r="B189" i="21"/>
  <c r="C1750" i="1"/>
  <c r="B242" i="18"/>
  <c r="C1349" i="1"/>
  <c r="B277" i="19"/>
  <c r="C2935" i="1"/>
  <c r="C1324" i="1"/>
  <c r="C1462" i="1"/>
  <c r="C2969" i="1"/>
  <c r="C3465" i="1"/>
  <c r="C339" i="1"/>
  <c r="B211" i="6"/>
  <c r="C779" i="1"/>
  <c r="B101" i="16"/>
  <c r="C3308" i="1"/>
  <c r="B121" i="14"/>
  <c r="C9" i="1"/>
  <c r="B33" i="21"/>
  <c r="C3261" i="1"/>
  <c r="C4482" i="1"/>
  <c r="B120" i="19"/>
  <c r="C4558" i="1"/>
  <c r="C3188" i="1"/>
  <c r="C2411" i="1"/>
  <c r="B657" i="13"/>
  <c r="C2700" i="1"/>
  <c r="B362" i="20"/>
  <c r="B51" i="17"/>
  <c r="B376" i="18"/>
  <c r="B48" i="23"/>
  <c r="C3925" i="1"/>
  <c r="C462" i="1"/>
  <c r="B162" i="16"/>
  <c r="C731" i="1"/>
  <c r="C1763" i="1"/>
  <c r="B100" i="3"/>
  <c r="C1856" i="1"/>
  <c r="B638" i="13"/>
  <c r="B140" i="3"/>
  <c r="B284" i="6"/>
  <c r="C2130" i="1"/>
  <c r="C764" i="1"/>
  <c r="B77" i="3"/>
  <c r="C3988" i="1"/>
  <c r="C166" i="1"/>
  <c r="B134" i="7"/>
  <c r="C954" i="1"/>
  <c r="B20" i="29"/>
  <c r="C3298" i="1"/>
  <c r="B89" i="34"/>
  <c r="B109" i="16"/>
  <c r="C1678" i="1"/>
  <c r="B420" i="14"/>
  <c r="C2747" i="1"/>
  <c r="B115" i="6"/>
  <c r="B712" i="19"/>
  <c r="C2724" i="1"/>
  <c r="B227" i="3"/>
  <c r="C1511" i="1"/>
  <c r="B72" i="31"/>
  <c r="C4299" i="1"/>
  <c r="B251" i="13"/>
  <c r="B388" i="20"/>
  <c r="B700" i="19"/>
  <c r="B34" i="14"/>
  <c r="C3550" i="1"/>
  <c r="B535" i="14"/>
  <c r="C965" i="1"/>
  <c r="C2374" i="1"/>
  <c r="B33" i="20"/>
  <c r="B117" i="18"/>
  <c r="C160" i="1"/>
  <c r="C2127" i="1"/>
  <c r="C3233" i="1"/>
  <c r="B548" i="18"/>
  <c r="C3687" i="1"/>
  <c r="B376" i="20"/>
  <c r="B185" i="19"/>
  <c r="B283" i="18"/>
  <c r="C78" i="1"/>
  <c r="C4229" i="1"/>
  <c r="B2" i="25"/>
  <c r="C1112" i="1"/>
  <c r="B79" i="34"/>
  <c r="B158" i="3"/>
  <c r="B68" i="34"/>
  <c r="C2547" i="1"/>
  <c r="C4081" i="1"/>
  <c r="C23" i="1"/>
  <c r="C3998" i="1"/>
  <c r="C2902" i="1"/>
  <c r="B297" i="6"/>
  <c r="B30" i="7"/>
  <c r="B65" i="29"/>
  <c r="B235" i="3"/>
  <c r="C2328" i="1"/>
  <c r="B59" i="18"/>
  <c r="B558" i="19"/>
  <c r="B305" i="6"/>
  <c r="C896" i="1"/>
  <c r="B255" i="20"/>
  <c r="B459" i="18"/>
  <c r="C1124" i="1"/>
  <c r="C3657" i="1"/>
  <c r="C2502" i="1"/>
  <c r="B300" i="6"/>
  <c r="B29" i="26"/>
  <c r="B624" i="14"/>
  <c r="C3439" i="1"/>
  <c r="C3974" i="1"/>
  <c r="C299" i="1"/>
  <c r="B7" i="34"/>
  <c r="B188" i="13"/>
  <c r="C1442" i="1"/>
  <c r="C1925" i="1"/>
  <c r="C3724" i="1"/>
  <c r="B397" i="19"/>
  <c r="C2546" i="1"/>
  <c r="C197" i="1"/>
  <c r="B323" i="13"/>
  <c r="C3530" i="1"/>
  <c r="C2505" i="1"/>
  <c r="B155" i="6"/>
  <c r="B681" i="19"/>
  <c r="B450" i="19"/>
  <c r="C3898" i="1"/>
  <c r="B217" i="29"/>
  <c r="C2197" i="1"/>
  <c r="C1677" i="1"/>
  <c r="B39" i="26"/>
  <c r="C3996" i="1"/>
  <c r="C3832" i="1"/>
  <c r="C2176" i="1"/>
  <c r="B323" i="14"/>
  <c r="C2637" i="1"/>
  <c r="C437" i="1"/>
  <c r="B22" i="15"/>
  <c r="B48" i="3"/>
  <c r="B241" i="18"/>
  <c r="B236" i="20"/>
  <c r="C2603" i="1"/>
  <c r="C40" i="1"/>
  <c r="B270" i="20"/>
  <c r="C3494" i="1"/>
  <c r="B271" i="20"/>
  <c r="C1173" i="1"/>
  <c r="B698" i="19"/>
  <c r="C3103" i="1"/>
  <c r="C3414" i="1"/>
  <c r="C3416" i="1"/>
  <c r="C3355" i="1"/>
  <c r="C3931" i="1"/>
  <c r="B113" i="29"/>
  <c r="C1459" i="1"/>
  <c r="C733" i="1"/>
  <c r="B212" i="14"/>
  <c r="B403" i="19"/>
  <c r="C4207" i="1"/>
  <c r="C2674" i="1"/>
  <c r="C2147" i="1"/>
  <c r="C1185" i="1"/>
  <c r="C3437" i="1"/>
  <c r="C4441" i="1"/>
  <c r="C3314" i="1"/>
  <c r="B7" i="10"/>
  <c r="C966" i="1"/>
  <c r="B431" i="14"/>
  <c r="C4425" i="1"/>
  <c r="C2996" i="1"/>
  <c r="B684" i="13"/>
  <c r="C1424" i="1"/>
  <c r="C2379" i="1"/>
  <c r="C1126" i="1"/>
  <c r="B751" i="19"/>
  <c r="C2944" i="1"/>
  <c r="C4561" i="1"/>
  <c r="B17" i="4"/>
  <c r="C4177" i="1"/>
  <c r="C4321" i="1"/>
  <c r="C1386" i="1"/>
  <c r="B119" i="18"/>
  <c r="C4251" i="1"/>
  <c r="B300" i="14"/>
  <c r="C2068" i="1"/>
  <c r="C465" i="1"/>
  <c r="C1131" i="1"/>
  <c r="B278" i="6"/>
  <c r="C3500" i="1"/>
  <c r="C2943" i="1"/>
  <c r="B43" i="10"/>
  <c r="B215" i="16"/>
  <c r="C4445" i="1"/>
  <c r="C3411" i="1"/>
  <c r="B204" i="16"/>
  <c r="C1448" i="1"/>
  <c r="B369" i="18"/>
  <c r="B559" i="19"/>
  <c r="C4230" i="1"/>
  <c r="C928" i="1"/>
  <c r="C408" i="1"/>
  <c r="B75" i="15"/>
  <c r="B152" i="29"/>
  <c r="B4" i="21"/>
  <c r="C4201" i="1"/>
  <c r="C3922" i="1"/>
  <c r="B11" i="21"/>
  <c r="B148" i="16"/>
  <c r="B131" i="21"/>
  <c r="B498" i="19"/>
  <c r="C4065" i="1"/>
  <c r="B211" i="14"/>
  <c r="B37" i="16"/>
  <c r="C2299" i="1"/>
  <c r="B19" i="10"/>
  <c r="B452" i="18"/>
  <c r="B17" i="16"/>
  <c r="C13" i="1"/>
  <c r="B863" i="13"/>
  <c r="C2865" i="1"/>
  <c r="B98" i="20"/>
  <c r="C2445" i="1"/>
  <c r="C1556" i="1"/>
  <c r="B224" i="19"/>
  <c r="B396" i="14"/>
  <c r="B882" i="13"/>
  <c r="B50" i="34"/>
  <c r="B720" i="13"/>
  <c r="C4006" i="1"/>
  <c r="C4497" i="1"/>
  <c r="B142" i="16"/>
  <c r="B159" i="14"/>
  <c r="C2172" i="1"/>
  <c r="B432" i="19"/>
  <c r="C3937" i="1"/>
  <c r="B105" i="14"/>
  <c r="B117" i="7"/>
  <c r="B181" i="29"/>
  <c r="C1452" i="1"/>
  <c r="C4317" i="1"/>
  <c r="C2762" i="1"/>
  <c r="B230" i="13"/>
  <c r="B374" i="14"/>
  <c r="B48" i="2"/>
  <c r="C1599" i="1"/>
  <c r="C4253" i="1"/>
  <c r="C3220" i="1"/>
  <c r="C1707" i="1"/>
  <c r="B337" i="19"/>
  <c r="C2959" i="1"/>
  <c r="B551" i="19"/>
  <c r="C4041" i="1"/>
  <c r="B528" i="14"/>
  <c r="B59" i="34"/>
  <c r="C3678" i="1"/>
  <c r="B56" i="3"/>
  <c r="C2898" i="1"/>
  <c r="B215" i="19"/>
  <c r="B142" i="29"/>
  <c r="C1635" i="1"/>
  <c r="C3738" i="1"/>
  <c r="C1215" i="1"/>
  <c r="C1934" i="1"/>
  <c r="B70" i="29"/>
  <c r="C3664" i="1"/>
  <c r="C4495" i="1"/>
  <c r="B761" i="19"/>
  <c r="B34" i="2"/>
  <c r="C1444" i="1"/>
  <c r="B23" i="9"/>
  <c r="C740" i="1"/>
  <c r="C4470" i="1"/>
  <c r="B398" i="18"/>
  <c r="B288" i="3"/>
  <c r="C3312" i="1"/>
  <c r="B34" i="28"/>
  <c r="B652" i="19"/>
  <c r="C3304" i="1"/>
  <c r="C2614" i="1"/>
  <c r="C4121" i="1"/>
  <c r="B2" i="30"/>
  <c r="B281" i="3"/>
  <c r="C3238" i="1"/>
  <c r="C4187" i="1"/>
  <c r="C4284" i="1"/>
  <c r="B608" i="13"/>
  <c r="C526" i="1"/>
  <c r="C2040" i="1"/>
  <c r="B35" i="29"/>
  <c r="C498" i="1"/>
  <c r="B130" i="17"/>
  <c r="B616" i="19"/>
  <c r="C1603" i="1"/>
  <c r="C3892" i="1"/>
  <c r="C145" i="1"/>
  <c r="C2934" i="1"/>
  <c r="B14" i="3"/>
  <c r="C1503" i="1"/>
  <c r="C3828" i="1"/>
  <c r="B414" i="14"/>
  <c r="C1728" i="1"/>
  <c r="B260" i="13"/>
  <c r="C4234" i="1"/>
  <c r="C4094" i="1"/>
  <c r="B596" i="19"/>
  <c r="B298" i="19"/>
  <c r="B402" i="19"/>
  <c r="C1713" i="1"/>
  <c r="B19" i="25"/>
  <c r="B95" i="34"/>
  <c r="B189" i="7"/>
  <c r="B722" i="19"/>
  <c r="C1953" i="1"/>
  <c r="B166" i="29"/>
  <c r="C4116" i="1"/>
  <c r="B680" i="13"/>
  <c r="B312" i="3"/>
  <c r="B45" i="29"/>
  <c r="C1642" i="1"/>
  <c r="B316" i="14"/>
  <c r="B51" i="31"/>
  <c r="C1219" i="1"/>
  <c r="C946" i="1"/>
  <c r="B284" i="19"/>
  <c r="C3609" i="1"/>
  <c r="C4408" i="1"/>
  <c r="B67" i="15"/>
  <c r="C2706" i="1"/>
  <c r="C2306" i="1"/>
  <c r="B209" i="20"/>
  <c r="B87" i="14"/>
  <c r="B35" i="18"/>
  <c r="C2965" i="1"/>
  <c r="C2210" i="1"/>
  <c r="C3121" i="1"/>
  <c r="C1916" i="1"/>
  <c r="B14" i="17"/>
  <c r="B147" i="21"/>
  <c r="C1838" i="1"/>
  <c r="B725" i="13"/>
  <c r="B537" i="13"/>
  <c r="C923" i="1"/>
  <c r="B119" i="3"/>
  <c r="C4301" i="1"/>
  <c r="C3566" i="1"/>
  <c r="C374" i="1"/>
  <c r="C3474" i="1"/>
  <c r="B32" i="2"/>
  <c r="B126" i="21"/>
  <c r="B257" i="19"/>
  <c r="B186" i="13"/>
  <c r="C3950" i="1"/>
  <c r="B807" i="13"/>
  <c r="C2939" i="1"/>
  <c r="B130" i="14"/>
  <c r="B157" i="6"/>
  <c r="B426" i="19"/>
  <c r="B27" i="14"/>
  <c r="C4559" i="1"/>
  <c r="B196" i="14"/>
  <c r="C2844" i="1"/>
  <c r="B262" i="19"/>
  <c r="C2086" i="1"/>
  <c r="C1646" i="1"/>
  <c r="C3056" i="1"/>
  <c r="B24" i="32"/>
  <c r="B85" i="3"/>
  <c r="C3027" i="1"/>
  <c r="C642" i="1"/>
  <c r="C964" i="1"/>
  <c r="C2223" i="1"/>
  <c r="C4481" i="1"/>
  <c r="C417" i="1"/>
  <c r="B104" i="21"/>
  <c r="B352" i="14"/>
  <c r="C1669" i="1"/>
  <c r="C638" i="1"/>
  <c r="B402" i="18"/>
  <c r="B346" i="20"/>
  <c r="B94" i="7"/>
  <c r="B53" i="14"/>
  <c r="B580" i="19"/>
  <c r="B184" i="19"/>
  <c r="C2188" i="1"/>
  <c r="B184" i="6"/>
  <c r="B708" i="13"/>
  <c r="C446" i="1"/>
  <c r="C1357" i="1"/>
  <c r="B186" i="16"/>
  <c r="B209" i="29"/>
  <c r="C1351" i="1"/>
  <c r="B26" i="30"/>
  <c r="C1594" i="1"/>
  <c r="B257" i="6"/>
  <c r="C4337" i="1"/>
  <c r="B577" i="14"/>
  <c r="C2085" i="1"/>
  <c r="B248" i="18"/>
  <c r="C761" i="1"/>
  <c r="C2491" i="1"/>
  <c r="B9" i="20"/>
  <c r="B301" i="3"/>
  <c r="B302" i="20"/>
  <c r="C1574" i="1"/>
  <c r="C358" i="1"/>
  <c r="C4080" i="1"/>
  <c r="C2608" i="1"/>
  <c r="C4159" i="1"/>
  <c r="C930" i="1"/>
  <c r="C3400" i="1"/>
  <c r="C2035" i="1"/>
  <c r="B31" i="17"/>
  <c r="B313" i="18"/>
  <c r="C1472" i="1"/>
  <c r="B53" i="21"/>
  <c r="B41" i="10"/>
  <c r="B58" i="13"/>
  <c r="C1509" i="1"/>
  <c r="B340" i="19"/>
  <c r="C2014" i="1"/>
  <c r="B130" i="10"/>
  <c r="B30" i="28"/>
  <c r="B19" i="9"/>
  <c r="B43" i="16"/>
  <c r="B239" i="16"/>
  <c r="B494" i="19"/>
  <c r="C2007" i="1"/>
  <c r="C3085" i="1"/>
  <c r="C2535" i="1"/>
  <c r="B35" i="31"/>
  <c r="B77" i="6"/>
  <c r="B54" i="16"/>
  <c r="B81" i="21"/>
  <c r="C1582" i="1"/>
  <c r="C2652" i="1"/>
  <c r="B13" i="28"/>
  <c r="C2599" i="1"/>
  <c r="C909" i="1"/>
  <c r="C1532" i="1"/>
  <c r="C3929" i="1"/>
  <c r="C1474" i="1"/>
  <c r="B110" i="29"/>
  <c r="B96" i="29"/>
  <c r="B171" i="14"/>
  <c r="C910" i="1"/>
  <c r="C2723" i="1"/>
  <c r="B168" i="16"/>
  <c r="B177" i="16"/>
  <c r="B413" i="14"/>
  <c r="C1322" i="1"/>
  <c r="B306" i="6"/>
  <c r="C67" i="1"/>
  <c r="B87" i="10"/>
  <c r="B294" i="6"/>
  <c r="C2349" i="1"/>
  <c r="C3277" i="1"/>
  <c r="B42" i="15"/>
  <c r="C1152" i="1"/>
  <c r="B35" i="21"/>
  <c r="B74" i="20"/>
  <c r="B18" i="28"/>
  <c r="B189" i="19"/>
  <c r="B309" i="20"/>
  <c r="B3" i="32"/>
  <c r="C1749" i="1"/>
  <c r="C125" i="1"/>
  <c r="C3150" i="1"/>
  <c r="C1421" i="1"/>
  <c r="B136" i="29"/>
  <c r="B22" i="10"/>
  <c r="B71" i="34"/>
  <c r="B136" i="6"/>
  <c r="C3429" i="1"/>
  <c r="C2667" i="1"/>
  <c r="B42" i="14"/>
  <c r="B231" i="19"/>
  <c r="C4391" i="1"/>
  <c r="C528" i="1"/>
  <c r="C1791" i="1"/>
  <c r="B28" i="2"/>
  <c r="C2315" i="1"/>
  <c r="B472" i="19"/>
  <c r="B67" i="18"/>
  <c r="C1963" i="1"/>
  <c r="C4360" i="1"/>
  <c r="B175" i="7"/>
  <c r="C1183" i="1"/>
  <c r="C3049" i="1"/>
  <c r="B36" i="15"/>
  <c r="C2540" i="1"/>
  <c r="C141" i="1"/>
  <c r="C1929" i="1"/>
  <c r="C4018" i="1"/>
  <c r="C401" i="1"/>
  <c r="B188" i="16"/>
  <c r="C109" i="1"/>
  <c r="C2221" i="1"/>
  <c r="C2690" i="1"/>
  <c r="C3335" i="1"/>
  <c r="C1109" i="1"/>
  <c r="C4239" i="1"/>
  <c r="C2566" i="1"/>
  <c r="C2784" i="1"/>
  <c r="B62" i="2"/>
  <c r="B188" i="18"/>
  <c r="B458" i="19"/>
  <c r="B108" i="15"/>
  <c r="B126" i="14"/>
  <c r="B156" i="14"/>
  <c r="C3534" i="1"/>
  <c r="C3165" i="1"/>
  <c r="B84" i="31"/>
  <c r="C1003" i="1"/>
  <c r="C3167" i="1"/>
  <c r="C1643" i="1"/>
  <c r="C2602" i="1"/>
  <c r="B247" i="20"/>
  <c r="C1468" i="1"/>
  <c r="C4288" i="1"/>
  <c r="B601" i="14"/>
  <c r="C603" i="1"/>
  <c r="C1972" i="1"/>
  <c r="B27" i="2"/>
  <c r="B12" i="34"/>
  <c r="C1315" i="1"/>
  <c r="C3872" i="1"/>
  <c r="C1365" i="1"/>
  <c r="C292" i="1"/>
  <c r="C2733" i="1"/>
  <c r="B14" i="16"/>
  <c r="C3295" i="1"/>
  <c r="C3880" i="1"/>
  <c r="C3767" i="1"/>
  <c r="C1625" i="1"/>
  <c r="C1488" i="1"/>
  <c r="C1080" i="1"/>
  <c r="B234" i="18"/>
  <c r="B466" i="18"/>
  <c r="B44" i="31"/>
  <c r="C2743" i="1"/>
  <c r="C2611" i="1"/>
  <c r="B70" i="10"/>
  <c r="B92" i="10"/>
  <c r="B342" i="18"/>
  <c r="B90" i="23"/>
  <c r="B378" i="18"/>
  <c r="C2484" i="1"/>
  <c r="B405" i="14"/>
  <c r="C1776" i="1"/>
  <c r="C4479" i="1"/>
  <c r="C2479" i="1"/>
  <c r="B8" i="26"/>
  <c r="B20" i="20"/>
  <c r="B63" i="3"/>
  <c r="C1244" i="1"/>
  <c r="B748" i="19"/>
  <c r="B62" i="28"/>
  <c r="B230" i="16"/>
  <c r="B100" i="10"/>
  <c r="C391" i="1"/>
  <c r="B175" i="17"/>
  <c r="B88" i="3"/>
  <c r="C944" i="1"/>
  <c r="B48" i="16"/>
  <c r="B83" i="29"/>
  <c r="B13" i="29"/>
  <c r="B86" i="21"/>
  <c r="C1969" i="1"/>
  <c r="B53" i="15"/>
  <c r="C3512" i="1"/>
  <c r="B315" i="3"/>
  <c r="B46" i="21"/>
  <c r="C2236" i="1"/>
  <c r="C1433" i="1"/>
  <c r="B63" i="31"/>
  <c r="C3332" i="1"/>
  <c r="B17" i="17"/>
  <c r="B460" i="19"/>
  <c r="C4067" i="1"/>
  <c r="B220" i="3"/>
  <c r="C587" i="1"/>
  <c r="C68" i="1"/>
  <c r="C2274" i="1"/>
  <c r="B114" i="6"/>
  <c r="C1043" i="1"/>
  <c r="C3141" i="1"/>
  <c r="C922" i="1"/>
  <c r="C2447" i="1"/>
  <c r="C2924" i="1"/>
  <c r="C3319" i="1"/>
  <c r="C2663" i="1"/>
  <c r="B345" i="18"/>
  <c r="B12" i="26"/>
  <c r="B269" i="20"/>
  <c r="B291" i="6"/>
  <c r="B23" i="3"/>
  <c r="C129" i="1"/>
  <c r="C2995" i="1"/>
  <c r="C2823" i="1"/>
  <c r="C3777" i="1"/>
  <c r="B85" i="20"/>
  <c r="B109" i="20"/>
  <c r="C305" i="1"/>
  <c r="B86" i="19"/>
  <c r="C139" i="1"/>
  <c r="C1018" i="1"/>
  <c r="C2075" i="1"/>
  <c r="B328" i="14"/>
  <c r="B33" i="16"/>
  <c r="B496" i="19"/>
  <c r="C4357" i="1"/>
  <c r="B263" i="18"/>
  <c r="C204" i="1"/>
  <c r="C2113" i="1"/>
  <c r="B13" i="24"/>
  <c r="C4455" i="1"/>
  <c r="B139" i="14"/>
  <c r="B161" i="3"/>
  <c r="C2067" i="1"/>
  <c r="B520" i="14"/>
  <c r="C3610" i="1"/>
  <c r="C257" i="1"/>
  <c r="C531" i="1"/>
  <c r="C1402" i="1"/>
  <c r="C4146" i="1"/>
  <c r="C505" i="1"/>
  <c r="C4169" i="1"/>
  <c r="C686" i="1"/>
  <c r="C3454" i="1"/>
  <c r="B39" i="21"/>
  <c r="C3318" i="1"/>
  <c r="C858" i="1"/>
  <c r="C692" i="1"/>
  <c r="C1141" i="1"/>
  <c r="B144" i="20"/>
  <c r="B8" i="17"/>
  <c r="B267" i="14"/>
  <c r="C3012" i="1"/>
  <c r="B118" i="15"/>
  <c r="B190" i="13"/>
  <c r="C4563" i="1"/>
  <c r="B5" i="24"/>
  <c r="B26" i="14"/>
  <c r="B252" i="19"/>
  <c r="B243" i="18"/>
  <c r="C3198" i="1"/>
  <c r="B104" i="13"/>
  <c r="B120" i="15"/>
  <c r="B100" i="21"/>
  <c r="B38" i="16"/>
  <c r="C4200" i="1"/>
  <c r="C592" i="1"/>
  <c r="B98" i="18"/>
  <c r="C4092" i="1"/>
  <c r="B88" i="20"/>
  <c r="B456" i="18"/>
  <c r="B101" i="14"/>
  <c r="B440" i="19"/>
  <c r="C1952" i="1"/>
  <c r="C963" i="1"/>
  <c r="C1983" i="1"/>
  <c r="B42" i="3"/>
  <c r="B117" i="15"/>
  <c r="B20" i="4"/>
  <c r="B189" i="14"/>
  <c r="B721" i="13"/>
  <c r="B25" i="22"/>
  <c r="B73" i="31"/>
  <c r="C1989" i="1"/>
  <c r="B209" i="19"/>
  <c r="C2333" i="1"/>
  <c r="B100" i="20"/>
  <c r="B321" i="3"/>
  <c r="C732" i="1"/>
  <c r="B148" i="7"/>
  <c r="C974" i="1"/>
  <c r="B8" i="14"/>
  <c r="B606" i="19"/>
  <c r="C79" i="1"/>
  <c r="C3257" i="1"/>
  <c r="C2971" i="1"/>
  <c r="C2190" i="1"/>
  <c r="C728" i="1"/>
  <c r="C3970" i="1"/>
  <c r="B305" i="3"/>
  <c r="B108" i="29"/>
  <c r="B27" i="31"/>
  <c r="C3958" i="1"/>
  <c r="C829" i="1"/>
  <c r="C4137" i="1"/>
  <c r="B155" i="18"/>
  <c r="C2543" i="1"/>
  <c r="B183" i="3"/>
  <c r="B705" i="19"/>
  <c r="B491" i="19"/>
  <c r="B539" i="13"/>
  <c r="B158" i="20"/>
  <c r="B46" i="10"/>
  <c r="B86" i="16"/>
  <c r="C1384" i="1"/>
  <c r="B50" i="31"/>
  <c r="B272" i="13"/>
  <c r="C3604" i="1"/>
  <c r="C4090" i="1"/>
  <c r="C780" i="1"/>
  <c r="B1" i="6"/>
  <c r="C1899" i="1"/>
  <c r="C3975" i="1"/>
  <c r="B443" i="18"/>
  <c r="B88" i="14"/>
  <c r="B77" i="16"/>
  <c r="B278" i="19"/>
  <c r="C678" i="1"/>
  <c r="B122" i="15"/>
  <c r="C2080" i="1"/>
  <c r="B366" i="14"/>
  <c r="C3878" i="1"/>
  <c r="C1047" i="1"/>
  <c r="C4001" i="1"/>
  <c r="C3140" i="1"/>
  <c r="B92" i="3"/>
  <c r="B3" i="30"/>
  <c r="B348" i="20"/>
  <c r="B78" i="30"/>
  <c r="C4566" i="1"/>
  <c r="B18" i="15"/>
  <c r="B64" i="18"/>
  <c r="C1915" i="1"/>
  <c r="B30" i="23"/>
  <c r="C144" i="1"/>
  <c r="B134" i="29"/>
  <c r="C2095" i="1"/>
  <c r="B154" i="7"/>
  <c r="C409" i="1"/>
  <c r="C2709" i="1"/>
  <c r="C4208" i="1"/>
  <c r="B87" i="2"/>
  <c r="B47" i="31"/>
  <c r="B108" i="18"/>
  <c r="C3255" i="1"/>
  <c r="B246" i="6"/>
  <c r="B445" i="20"/>
  <c r="C588" i="1"/>
  <c r="B427" i="18"/>
  <c r="C4285" i="1"/>
  <c r="B10" i="32"/>
  <c r="C4054" i="1"/>
  <c r="B212" i="3"/>
  <c r="C787" i="1"/>
  <c r="B36" i="2"/>
  <c r="B775" i="19"/>
  <c r="C3736" i="1"/>
  <c r="C4468" i="1"/>
  <c r="C332" i="1"/>
  <c r="C1313" i="1"/>
  <c r="B123" i="14"/>
  <c r="C4140" i="1"/>
  <c r="B556" i="14"/>
  <c r="B504" i="14"/>
  <c r="C3052" i="1"/>
  <c r="C3788" i="1"/>
  <c r="C2581" i="1"/>
  <c r="C4024" i="1"/>
  <c r="C1535" i="1"/>
  <c r="B97" i="31"/>
  <c r="B222" i="13"/>
  <c r="C3603" i="1"/>
  <c r="C2714" i="1"/>
  <c r="B61" i="3"/>
  <c r="B85" i="21"/>
  <c r="B10" i="15"/>
  <c r="B9" i="29"/>
  <c r="C4241" i="1"/>
  <c r="C200" i="1"/>
  <c r="C1329" i="1"/>
  <c r="C2558" i="1"/>
  <c r="C2822" i="1"/>
  <c r="B30" i="16"/>
  <c r="B166" i="3"/>
  <c r="C255" i="1"/>
  <c r="C464" i="1"/>
  <c r="C4158" i="1"/>
  <c r="B746" i="19"/>
  <c r="C1659" i="1"/>
  <c r="C2758" i="1"/>
  <c r="C522" i="1"/>
  <c r="C776" i="1"/>
  <c r="C238" i="1"/>
  <c r="C396" i="1"/>
  <c r="B241" i="3"/>
  <c r="B88" i="15"/>
  <c r="C4068" i="1"/>
  <c r="C1140" i="1"/>
  <c r="C2250" i="1"/>
  <c r="B62" i="14"/>
  <c r="C983" i="1"/>
  <c r="C2788" i="1"/>
  <c r="C2425" i="1"/>
  <c r="B477" i="19"/>
  <c r="C3523" i="1"/>
  <c r="B744" i="13"/>
  <c r="C4275" i="1"/>
  <c r="B191" i="18"/>
  <c r="C3171" i="1"/>
  <c r="C3837" i="1"/>
  <c r="B495" i="14"/>
  <c r="B474" i="13"/>
  <c r="B74" i="29"/>
  <c r="B124" i="21"/>
  <c r="B209" i="13"/>
  <c r="B380" i="13"/>
  <c r="B123" i="15"/>
  <c r="C3360" i="1"/>
  <c r="B61" i="29"/>
  <c r="B308" i="3"/>
  <c r="B316" i="18"/>
  <c r="C1601" i="1"/>
  <c r="B343" i="18"/>
  <c r="B561" i="18"/>
  <c r="C4149" i="1"/>
  <c r="B256" i="13"/>
  <c r="B533" i="13"/>
  <c r="C3459" i="1"/>
  <c r="B332" i="19"/>
  <c r="C1090" i="1"/>
  <c r="C3673" i="1"/>
  <c r="C4419" i="1"/>
  <c r="B72" i="3"/>
  <c r="C1941" i="1"/>
  <c r="B266" i="19"/>
  <c r="B12" i="16"/>
  <c r="B8" i="21"/>
  <c r="C3091" i="1"/>
  <c r="B11" i="4"/>
  <c r="B119" i="17"/>
  <c r="C1221" i="1"/>
  <c r="B174" i="14"/>
  <c r="B10" i="14"/>
  <c r="B170" i="29"/>
  <c r="B428" i="14"/>
  <c r="B230" i="18"/>
  <c r="B414" i="20"/>
  <c r="B480" i="19"/>
  <c r="B101" i="10"/>
  <c r="C4129" i="1"/>
  <c r="C428" i="1"/>
  <c r="B71" i="30"/>
  <c r="B82" i="14"/>
  <c r="C1006" i="1"/>
  <c r="B86" i="34"/>
  <c r="C1358" i="1"/>
  <c r="C2307" i="1"/>
  <c r="B158" i="14"/>
  <c r="C4232" i="1"/>
  <c r="B115" i="23"/>
  <c r="C3196" i="1"/>
  <c r="B659" i="19"/>
  <c r="B2" i="16"/>
  <c r="C3586" i="1"/>
  <c r="C3401" i="1"/>
  <c r="C58" i="1"/>
  <c r="B224" i="3"/>
  <c r="B58" i="23"/>
  <c r="C3730" i="1"/>
  <c r="B610" i="13"/>
  <c r="B290" i="20"/>
  <c r="C3380" i="1"/>
  <c r="C1688" i="1"/>
  <c r="C456" i="1"/>
  <c r="C2584" i="1"/>
  <c r="C1975" i="1"/>
  <c r="C3131" i="1"/>
  <c r="C1487" i="1"/>
  <c r="B880" i="13"/>
  <c r="C1788" i="1"/>
  <c r="C1849" i="1"/>
  <c r="B6" i="22"/>
  <c r="B162" i="21"/>
  <c r="C515" i="1"/>
  <c r="C3594" i="1"/>
  <c r="B5" i="26"/>
  <c r="C3939" i="1"/>
  <c r="B101" i="6"/>
  <c r="B75" i="16"/>
  <c r="B38" i="17"/>
  <c r="C3006" i="1"/>
  <c r="C1263" i="1"/>
  <c r="B93" i="18"/>
  <c r="C2252" i="1"/>
  <c r="B267" i="19"/>
  <c r="C3936" i="1"/>
  <c r="B235" i="19"/>
  <c r="B42" i="19"/>
  <c r="B222" i="3"/>
  <c r="C1810" i="1"/>
  <c r="C534" i="1"/>
  <c r="B57" i="31"/>
  <c r="C30" i="1"/>
  <c r="C2191" i="1"/>
  <c r="C60" i="1"/>
  <c r="B678" i="19"/>
  <c r="B361" i="18"/>
  <c r="C3977" i="1"/>
  <c r="C1117" i="1"/>
  <c r="C1623" i="1"/>
  <c r="C3874" i="1"/>
  <c r="C3699" i="1"/>
  <c r="C2521" i="1"/>
  <c r="C3366" i="1"/>
  <c r="B376" i="13"/>
  <c r="C3656" i="1"/>
  <c r="C933" i="1"/>
  <c r="B24" i="3"/>
  <c r="C164" i="1"/>
  <c r="B33" i="23"/>
  <c r="C3825" i="1"/>
  <c r="B208" i="6"/>
  <c r="B61" i="28"/>
  <c r="C2009" i="1"/>
  <c r="C4556" i="1"/>
  <c r="C1076" i="1"/>
  <c r="B160" i="7"/>
  <c r="C890" i="1"/>
  <c r="C422" i="1"/>
  <c r="B125" i="21"/>
  <c r="B295" i="14"/>
  <c r="B5" i="9"/>
  <c r="C631" i="1"/>
  <c r="B129" i="21"/>
  <c r="B564" i="13"/>
  <c r="C418" i="1"/>
  <c r="B42" i="17"/>
  <c r="B243" i="16"/>
  <c r="B174" i="16"/>
  <c r="C3243" i="1"/>
  <c r="C2887" i="1"/>
  <c r="C2019" i="1"/>
  <c r="C3278" i="1"/>
  <c r="B65" i="31"/>
  <c r="B233" i="6"/>
  <c r="C4216" i="1"/>
  <c r="C3383" i="1"/>
  <c r="C2525" i="1"/>
  <c r="B3" i="7"/>
  <c r="B354" i="13"/>
  <c r="C2964" i="1"/>
  <c r="B310" i="19"/>
  <c r="C2048" i="1"/>
  <c r="B44" i="29"/>
  <c r="C4375" i="1"/>
  <c r="B10" i="10"/>
  <c r="B43" i="20"/>
  <c r="B25" i="34"/>
  <c r="B19" i="6"/>
  <c r="C162" i="1"/>
  <c r="C221" i="1"/>
  <c r="C2169" i="1"/>
  <c r="B361" i="20"/>
  <c r="C306" i="1"/>
  <c r="C2698" i="1"/>
  <c r="B17" i="5"/>
  <c r="B289" i="14"/>
  <c r="C2885" i="1"/>
  <c r="C835" i="1"/>
  <c r="C680" i="1"/>
  <c r="B292" i="6"/>
  <c r="C1748" i="1"/>
  <c r="C62" i="1"/>
  <c r="C480" i="1"/>
  <c r="B111" i="13"/>
  <c r="C1082" i="1"/>
  <c r="C2838" i="1"/>
  <c r="C195" i="1"/>
  <c r="B408" i="14"/>
  <c r="B50" i="28"/>
  <c r="C2794" i="1"/>
  <c r="C1294" i="1"/>
  <c r="C2182" i="1"/>
  <c r="B462" i="20"/>
  <c r="B19" i="22"/>
  <c r="B392" i="19"/>
  <c r="B201" i="13"/>
  <c r="C782" i="1"/>
  <c r="B285" i="14"/>
  <c r="C3187" i="1"/>
  <c r="B259" i="14"/>
  <c r="B132" i="17"/>
  <c r="C3379" i="1"/>
  <c r="B7" i="16"/>
  <c r="B620" i="14"/>
  <c r="C1869" i="1"/>
  <c r="C3654" i="1"/>
  <c r="B562" i="18"/>
  <c r="B422" i="13"/>
  <c r="B19" i="23"/>
  <c r="B15" i="19"/>
  <c r="C4008" i="1"/>
  <c r="B169" i="16"/>
  <c r="B311" i="6"/>
  <c r="B45" i="31"/>
  <c r="C3352" i="1"/>
  <c r="B159" i="18"/>
  <c r="B238" i="20"/>
  <c r="B204" i="3"/>
  <c r="C939" i="1"/>
  <c r="B106" i="3"/>
  <c r="B777" i="19"/>
  <c r="C3797" i="1"/>
  <c r="C3815" i="1"/>
  <c r="B449" i="14"/>
  <c r="B617" i="14"/>
  <c r="C1527" i="1"/>
  <c r="C70" i="1"/>
  <c r="B337" i="14"/>
  <c r="B14" i="7"/>
  <c r="B242" i="16"/>
  <c r="B51" i="2"/>
  <c r="C394" i="1"/>
  <c r="C691" i="1"/>
  <c r="C3381" i="1"/>
  <c r="C1604" i="1"/>
  <c r="B264" i="14"/>
  <c r="B21" i="32"/>
  <c r="C3426" i="1"/>
  <c r="C3881" i="1"/>
  <c r="C3484" i="1"/>
  <c r="B56" i="21"/>
  <c r="B67" i="16"/>
  <c r="B71" i="10"/>
  <c r="C3157" i="1"/>
  <c r="C271" i="1"/>
  <c r="B830" i="13"/>
  <c r="B264" i="19"/>
  <c r="C1317" i="1"/>
  <c r="C3337" i="1"/>
  <c r="C614" i="1"/>
  <c r="B451" i="13"/>
  <c r="B73" i="6"/>
  <c r="C1835" i="1"/>
  <c r="C796" i="1"/>
  <c r="C4214" i="1"/>
  <c r="C1737" i="1"/>
  <c r="C3750" i="1"/>
  <c r="B596" i="14"/>
  <c r="C736" i="1"/>
  <c r="C4535" i="1"/>
  <c r="B530" i="19"/>
  <c r="B481" i="14"/>
  <c r="B658" i="19"/>
  <c r="B439" i="14"/>
  <c r="B23" i="5"/>
  <c r="B64" i="34"/>
  <c r="B744" i="19"/>
  <c r="C4237" i="1"/>
  <c r="C1258" i="1"/>
  <c r="C3181" i="1"/>
  <c r="B441" i="19"/>
  <c r="C2255" i="1"/>
  <c r="C3433" i="1"/>
  <c r="C232" i="1"/>
  <c r="C2398" i="1"/>
  <c r="B240" i="6"/>
  <c r="B37" i="29"/>
  <c r="C2144" i="1"/>
  <c r="C258" i="1"/>
  <c r="C1498" i="1"/>
  <c r="B81" i="14"/>
  <c r="C4015" i="1"/>
  <c r="B162" i="14"/>
  <c r="C2554" i="1"/>
  <c r="B431" i="19"/>
  <c r="B92" i="18"/>
  <c r="B273" i="20"/>
  <c r="B606" i="14"/>
  <c r="C2332" i="1"/>
  <c r="C3172" i="1"/>
  <c r="B555" i="18"/>
  <c r="B211" i="16"/>
  <c r="B273" i="14"/>
  <c r="C4010" i="1"/>
  <c r="B256" i="6"/>
  <c r="C4105" i="1"/>
  <c r="C4480" i="1"/>
  <c r="C89" i="1"/>
  <c r="B73" i="21"/>
  <c r="B225" i="3"/>
  <c r="C4265" i="1"/>
  <c r="C1332" i="1"/>
  <c r="B11" i="31"/>
  <c r="B12" i="21"/>
  <c r="B23" i="32"/>
  <c r="B187" i="16"/>
  <c r="B7" i="21"/>
  <c r="B279" i="3"/>
  <c r="B546" i="14"/>
  <c r="B434" i="18"/>
  <c r="B29" i="22"/>
  <c r="B92" i="34"/>
</calcChain>
</file>

<file path=xl/sharedStrings.xml><?xml version="1.0" encoding="utf-8"?>
<sst xmlns="http://schemas.openxmlformats.org/spreadsheetml/2006/main" count="25846" uniqueCount="6457">
  <si>
    <t>тел.(048) 738-55-39; 738-55-40; 738-55-41; e-mail: vatek 96@gmail.com</t>
  </si>
  <si>
    <t>тел. 0674830014, (048)7385539 (40, 41), ел.адрес: vatek96@gmail.com</t>
  </si>
  <si>
    <t>11.03.2024</t>
  </si>
  <si>
    <t>Н А И М Е Н О В А Н И Е</t>
  </si>
  <si>
    <t>1. М А Л А Я М Е Х А Н И З А Ц И Я</t>
  </si>
  <si>
    <t>Таль электрич. Передвижная (трос) 0.5тн. 6м.</t>
  </si>
  <si>
    <t>шт</t>
  </si>
  <si>
    <t>Таль электрич. Передвижная (трос) 0.25тн. 6м.</t>
  </si>
  <si>
    <t>Таль ручная шестеренчатая цепная 2.0тн в.п.3м (вес 50кг.)</t>
  </si>
  <si>
    <t>Лебедка рычажная РБС г.под. 0.5тн</t>
  </si>
  <si>
    <t>2400,00</t>
  </si>
  <si>
    <t>Молоток рубильный пневматический ИП4126 б/y</t>
  </si>
  <si>
    <t>3900,00</t>
  </si>
  <si>
    <t>Молоток рубильный пневматический ИП4119</t>
  </si>
  <si>
    <t>4200,00</t>
  </si>
  <si>
    <t>Зубило к молотку рубильному ИП 4119 L250 d20</t>
  </si>
  <si>
    <t>390,00</t>
  </si>
  <si>
    <t>Лопатка к бетонолому ИП-4607</t>
  </si>
  <si>
    <t>480,00</t>
  </si>
  <si>
    <t>Пика к МО-2, МО-3, ИП 4613</t>
  </si>
  <si>
    <t>270,00</t>
  </si>
  <si>
    <t>Пика к МО-2, МО-3, ИП 4613 удлиненная 450мм</t>
  </si>
  <si>
    <t>420,00</t>
  </si>
  <si>
    <t>Лопатка к МО-2, МО-3, ИП 4613</t>
  </si>
  <si>
    <t>300,00</t>
  </si>
  <si>
    <t>Пружина концевая к МО-2</t>
  </si>
  <si>
    <t>Стакан к ИП-4613 МО</t>
  </si>
  <si>
    <t>600,00</t>
  </si>
  <si>
    <t>Вибратор глубинный ИВ-47 (двигатель)</t>
  </si>
  <si>
    <t>1170,00</t>
  </si>
  <si>
    <t>Булава к вибратору (Россия) 76мм.</t>
  </si>
  <si>
    <t>Краскораспылитель СО-71Б с бачком</t>
  </si>
  <si>
    <t>Краскораспылитель СО-71А без бачка</t>
  </si>
  <si>
    <t>780,00</t>
  </si>
  <si>
    <t>Краскораспылитель КРП-10 (без бачка)</t>
  </si>
  <si>
    <t>Краскораспылитель КА-2</t>
  </si>
  <si>
    <t>570,00</t>
  </si>
  <si>
    <t>Краскопульт СО-20</t>
  </si>
  <si>
    <t>2100,00</t>
  </si>
  <si>
    <t>Тиски станочные поворотные 250мм (реставр.)</t>
  </si>
  <si>
    <t>12600,00</t>
  </si>
  <si>
    <t>Тиски станочные поворотные 200мм (реставр.)</t>
  </si>
  <si>
    <t>9000,00</t>
  </si>
  <si>
    <t>Тиски станочные поворотные 160мм (реставр.)</t>
  </si>
  <si>
    <t>7200,00</t>
  </si>
  <si>
    <t>Тиски станочные не поворотные с гидроприводом, Т-образн. пазами, 160мм</t>
  </si>
  <si>
    <t>18000,00</t>
  </si>
  <si>
    <t>Тиски станочные поворотные 125мм легкое б/у</t>
  </si>
  <si>
    <t>6000,00</t>
  </si>
  <si>
    <t>Тиски лекальные 100мм</t>
  </si>
  <si>
    <t>4500,00</t>
  </si>
  <si>
    <t>Тиски лекальные синусные 125мм (б/у)</t>
  </si>
  <si>
    <t>Тиски ручные 45мм</t>
  </si>
  <si>
    <t>540,00</t>
  </si>
  <si>
    <t>Тиски слесарные не поворотные 80мм</t>
  </si>
  <si>
    <t>1740,00</t>
  </si>
  <si>
    <t>Тиски слесарные поворотные 120мм</t>
  </si>
  <si>
    <t>Тиски слесарные не поворотные 120мм</t>
  </si>
  <si>
    <t>Тиски слесарные поворотные 140мм</t>
  </si>
  <si>
    <t>5100,00</t>
  </si>
  <si>
    <t>Тиски слесарные не поворотные 150мм</t>
  </si>
  <si>
    <t>4800,00</t>
  </si>
  <si>
    <t>Труборез роликовый 1/2"- 2,5" Б/у</t>
  </si>
  <si>
    <t>750,00</t>
  </si>
  <si>
    <t>Стол станочный поворотный ручной 250мм (г. Барановичи) горизонт.</t>
  </si>
  <si>
    <t>Плита магнитная 400х125мм Дрогобыч</t>
  </si>
  <si>
    <t>6150,00</t>
  </si>
  <si>
    <t>Пневмошлифмашина ИП-2014A</t>
  </si>
  <si>
    <t>3690,00</t>
  </si>
  <si>
    <t>Пневмошлифмашина ИП-2014Б</t>
  </si>
  <si>
    <t>Пневмошлифмашина ИП-2014Б б/у</t>
  </si>
  <si>
    <t>1500,00</t>
  </si>
  <si>
    <t>Пневмошлифмашина ИП-2018</t>
  </si>
  <si>
    <t>2700,00</t>
  </si>
  <si>
    <t>Пневмошлифмашина ИП-2009Б</t>
  </si>
  <si>
    <t>1800,00</t>
  </si>
  <si>
    <t>Пневмошлифмашина угловая ИП-2203А (125мм)</t>
  </si>
  <si>
    <t>Пневмодрель угловая ИП-1104А</t>
  </si>
  <si>
    <t>630,00</t>
  </si>
  <si>
    <t>Пневмодрель ИП-1019</t>
  </si>
  <si>
    <t>1200,00</t>
  </si>
  <si>
    <t>Пневмодрель ИП-1020 под. КМ1 (до 12мм)</t>
  </si>
  <si>
    <t>Пневмодрель ИП-1027</t>
  </si>
  <si>
    <t>Пневмосверлилка реверсивная угловая МСМ-23 КМ2</t>
  </si>
  <si>
    <t>3600,00</t>
  </si>
  <si>
    <t>Пневмосверлилка реверсивная угловая МСМ-50 КМ4</t>
  </si>
  <si>
    <t>Пневмосверлилка реверсивная угловая РМС-60М КМ5</t>
  </si>
  <si>
    <t>Пневмогайковерт ИП-3125А (250Н.м. резьбе 18мм)</t>
  </si>
  <si>
    <t>1050,00</t>
  </si>
  <si>
    <t>Пневмогайковерт ИП-3126А (400Н.м. резьбе 20мм)</t>
  </si>
  <si>
    <t>Пневмогайковерт ИП-3127 (405Н.м. резьбе 22мм)</t>
  </si>
  <si>
    <t>Пневмогайковерт ГРП 400</t>
  </si>
  <si>
    <t>Пневмогайковерт ГРП 800</t>
  </si>
  <si>
    <t>Пневмогайковерт ИП-3106Б (800-1600Нм)</t>
  </si>
  <si>
    <t>5400,00</t>
  </si>
  <si>
    <t>Пневмогайковерт ИП-3205 (800-1600Нм)</t>
  </si>
  <si>
    <t>Пневморезьбонарезная машинка ИП-3403Б</t>
  </si>
  <si>
    <t>2970,00</t>
  </si>
  <si>
    <t>Пневмомашина многопрофильная МСМ 220В 350Вт 15000об/мин</t>
  </si>
  <si>
    <t>Пневмошуруповерт LB5H (отвертка РН2, РН3)</t>
  </si>
  <si>
    <t>810,00</t>
  </si>
  <si>
    <t>Пневмошуруповерт LB8H (отвертка РН2, РН3)</t>
  </si>
  <si>
    <t>900,00</t>
  </si>
  <si>
    <t>Струбцина стальная 0-20мм</t>
  </si>
  <si>
    <t>84,00</t>
  </si>
  <si>
    <t>Струбцина стальная 80-120мм</t>
  </si>
  <si>
    <t>360,00</t>
  </si>
  <si>
    <t>Струбцина стальная 0-180мм</t>
  </si>
  <si>
    <t>Струбцина стальная 0-230мм</t>
  </si>
  <si>
    <t>Струбцина стальная 0-370мм</t>
  </si>
  <si>
    <t>Струбцина 200-400мм Германия</t>
  </si>
  <si>
    <t>960,00</t>
  </si>
  <si>
    <t>Съемник для подшипников 140мм (3 лапы)</t>
  </si>
  <si>
    <t>940,00</t>
  </si>
  <si>
    <t>Шпильковерт М24</t>
  </si>
  <si>
    <t>Шпильковерт М24-32мм</t>
  </si>
  <si>
    <t>Домкрат гидравлический 5т</t>
  </si>
  <si>
    <t>798,00</t>
  </si>
  <si>
    <t>Шприц-нагнетатель П7 ГОСТ</t>
  </si>
  <si>
    <t>180,00</t>
  </si>
  <si>
    <t>Шприц плунжерный рычаж. (СПРИНЦІВКА ДЛЯ ЗМАЩУВАННЯ, 400мл) ГОСТ</t>
  </si>
  <si>
    <t>588,00</t>
  </si>
  <si>
    <t>Шприц-маслонагнетатель с гибким шлангом</t>
  </si>
  <si>
    <t>Быстросъемное соединение пневмо. (рукав 12мм)</t>
  </si>
  <si>
    <t>30,00</t>
  </si>
  <si>
    <t>Дрель ручная до 10мм (поломана ручка)</t>
  </si>
  <si>
    <t>Дрель ручная до 13мм б/у</t>
  </si>
  <si>
    <t>Пломбиратор большой</t>
  </si>
  <si>
    <t>246,00</t>
  </si>
  <si>
    <t>Пломба ПХВ 15мм</t>
  </si>
  <si>
    <t>кг</t>
  </si>
  <si>
    <t>Проволка пломбировочная круч. 50гр</t>
  </si>
  <si>
    <t>9,00</t>
  </si>
  <si>
    <t>Проволка пломбировочная круч. 250гр</t>
  </si>
  <si>
    <t>33,00</t>
  </si>
  <si>
    <t>Проволка пломбировочная круч. 900гр</t>
  </si>
  <si>
    <t>120,00</t>
  </si>
  <si>
    <t>Приспособление для нарезания прокладок КМ3</t>
  </si>
  <si>
    <t>690,00</t>
  </si>
  <si>
    <t>Виброопора ОВ-30</t>
  </si>
  <si>
    <t>240,00</t>
  </si>
  <si>
    <t>2. С Л Е С А Р Н Ы Й И Н С Т Р У М Е Н Т</t>
  </si>
  <si>
    <t>Ключ предельный (динамометрический) КПТ-200 пред. измер. 50-200Нм</t>
  </si>
  <si>
    <t>912,00</t>
  </si>
  <si>
    <t>Ключ динамометрический АС-301 пред. измер. М-10кгм</t>
  </si>
  <si>
    <t>Ключ динамометрический ПТ-484 пред. измер. М-40кгм</t>
  </si>
  <si>
    <t>Ключ трубный КТР-1 (10-36мм)</t>
  </si>
  <si>
    <t>Ключ трубный КТР-2 (20-50мм)</t>
  </si>
  <si>
    <t>483,00</t>
  </si>
  <si>
    <t>Ключ трубный КТР-3 (20-63мм)</t>
  </si>
  <si>
    <t>729,00</t>
  </si>
  <si>
    <t>Ключ трубный №4 (25-90мм)</t>
  </si>
  <si>
    <t>Ключ трубный №5 (32-120мм)</t>
  </si>
  <si>
    <t>1476,00</t>
  </si>
  <si>
    <t>Ключ трубний важільний Cr.-V, тип "S", Berg, 1", 315мм</t>
  </si>
  <si>
    <t>603,00</t>
  </si>
  <si>
    <t>Ключ трубный цепной (50-130мм)</t>
  </si>
  <si>
    <t>1320,00</t>
  </si>
  <si>
    <t>Ключ трубный самозажимной №2 (20-50мм)</t>
  </si>
  <si>
    <t>297,00</t>
  </si>
  <si>
    <t>Ключ разводной "Премиум", Cr-V, 250мм</t>
  </si>
  <si>
    <t>Ключ разводной 0-30мм</t>
  </si>
  <si>
    <t>330,00</t>
  </si>
  <si>
    <t>Ключ разводной 0-46мм</t>
  </si>
  <si>
    <t>Ключ рожково-накидной Cr-V 6мм</t>
  </si>
  <si>
    <t>27,90</t>
  </si>
  <si>
    <t>Ключ рожково-накидной Cr-V 7мм</t>
  </si>
  <si>
    <t>36,00</t>
  </si>
  <si>
    <t>Ключ рожково-накидной Cr-V 8мм</t>
  </si>
  <si>
    <t>42,00</t>
  </si>
  <si>
    <t>Ключ рожково-накидной 9мм</t>
  </si>
  <si>
    <t>43,20</t>
  </si>
  <si>
    <t>Ключ рожково-накидной Cr-V 10мм</t>
  </si>
  <si>
    <t>46,80</t>
  </si>
  <si>
    <t>Ключ рожково-накидной 11мм</t>
  </si>
  <si>
    <t>35,20</t>
  </si>
  <si>
    <t>Ключ рожково-накидной Cr-V 12мм</t>
  </si>
  <si>
    <t>42,90</t>
  </si>
  <si>
    <t>Ключ рожково-накидной Cr-V 13мм</t>
  </si>
  <si>
    <t>59,40</t>
  </si>
  <si>
    <t>Ключ рожково-накидной Cr-V 14мм</t>
  </si>
  <si>
    <t>69,00</t>
  </si>
  <si>
    <t>Ключ рожково-накидной Cr-V 15мм</t>
  </si>
  <si>
    <t>75,00</t>
  </si>
  <si>
    <t>Ключ рожково-накидной Cr-V 17мм</t>
  </si>
  <si>
    <t>105,00</t>
  </si>
  <si>
    <t>Ключ рожково-накидной Cr-V 19мм</t>
  </si>
  <si>
    <t>115,00</t>
  </si>
  <si>
    <t>Ключ рожково-накидной 20мм</t>
  </si>
  <si>
    <t>90,30</t>
  </si>
  <si>
    <t>Ключ рожково-накидной 21мм</t>
  </si>
  <si>
    <t>Ключ рожково-накидной 23мм</t>
  </si>
  <si>
    <t>112,80</t>
  </si>
  <si>
    <t>Ключ рожково-накидной Cr-V 24мм</t>
  </si>
  <si>
    <t>129,00</t>
  </si>
  <si>
    <t>Ключ рожково-накидной 26мм</t>
  </si>
  <si>
    <t>186,00</t>
  </si>
  <si>
    <t>Ключ рожково-накидной 27мм</t>
  </si>
  <si>
    <t>Ключ рожково-накидной 29мм</t>
  </si>
  <si>
    <t>279,00</t>
  </si>
  <si>
    <t>Ключ накидной Cr-V 6х7мм</t>
  </si>
  <si>
    <t>45,00</t>
  </si>
  <si>
    <t>Ключ накидной 8х10мм</t>
  </si>
  <si>
    <t>57,60</t>
  </si>
  <si>
    <t>Ключ накидной 10х12мм</t>
  </si>
  <si>
    <t>58,20</t>
  </si>
  <si>
    <t>Ключ накидной 12х13мм</t>
  </si>
  <si>
    <t>73,50</t>
  </si>
  <si>
    <t>Ключ накидной 14х15мм</t>
  </si>
  <si>
    <t>66,00</t>
  </si>
  <si>
    <t>Ключ накидной 14х17мм / 14х19мм</t>
  </si>
  <si>
    <t>4 / 1</t>
  </si>
  <si>
    <t>99,00</t>
  </si>
  <si>
    <t>Ключ накидной 17х19 мм</t>
  </si>
  <si>
    <t>120,90</t>
  </si>
  <si>
    <t>Ключ накидной 19х22мм</t>
  </si>
  <si>
    <t>141,00</t>
  </si>
  <si>
    <t>Ключ накидной 20х22мм</t>
  </si>
  <si>
    <t>153,00</t>
  </si>
  <si>
    <t>Ключ накидной 24х27мм</t>
  </si>
  <si>
    <t>192,00</t>
  </si>
  <si>
    <t>Ключ накидной 27х30мм</t>
  </si>
  <si>
    <t>198,00</t>
  </si>
  <si>
    <t>Ключ накидной 30х32мм</t>
  </si>
  <si>
    <t>318,00</t>
  </si>
  <si>
    <t>Ключ накидной короткий 32мм</t>
  </si>
  <si>
    <t>78,00</t>
  </si>
  <si>
    <t>Ключ накидной ударный 17мм</t>
  </si>
  <si>
    <t>Ключ накидной ударный 32мм</t>
  </si>
  <si>
    <t>Ключ накидной ударный 50мм</t>
  </si>
  <si>
    <t>Ключ накидной ударный 70мм</t>
  </si>
  <si>
    <t>990,00</t>
  </si>
  <si>
    <t>Ключ накидной ударный 75мм</t>
  </si>
  <si>
    <t>1150,00</t>
  </si>
  <si>
    <t>Ключ накидной ударный 136мм</t>
  </si>
  <si>
    <t>1530,00</t>
  </si>
  <si>
    <t>Ключ накидной ударный 145мм</t>
  </si>
  <si>
    <t>1680,00</t>
  </si>
  <si>
    <t>Ключ рожковый 4х5мм</t>
  </si>
  <si>
    <t>14,82</t>
  </si>
  <si>
    <t>Ключ рожковый 5.5х7мм</t>
  </si>
  <si>
    <t>15,30</t>
  </si>
  <si>
    <t>Ключ рожковый 7х8мм</t>
  </si>
  <si>
    <t>21,72</t>
  </si>
  <si>
    <t>Ключ рожковый 8х10мм</t>
  </si>
  <si>
    <t>27,0</t>
  </si>
  <si>
    <t>Ключ рожковый 9х11мм</t>
  </si>
  <si>
    <t>Ключ рожковый 10х12мм</t>
  </si>
  <si>
    <t>39,00</t>
  </si>
  <si>
    <t>Ключ рожковый 12х13мм</t>
  </si>
  <si>
    <t>Ключ рожковый 12х14мм</t>
  </si>
  <si>
    <t>Ключ рожковый 13х14мм / 13х17мм</t>
  </si>
  <si>
    <t>8 / 23</t>
  </si>
  <si>
    <t>51,00</t>
  </si>
  <si>
    <t>Ключ рожковый 14х17мм</t>
  </si>
  <si>
    <t>60,00</t>
  </si>
  <si>
    <t>Ключ рожковый 17х19мм</t>
  </si>
  <si>
    <t>72,00</t>
  </si>
  <si>
    <t>Ключ рожковый 17х22мм</t>
  </si>
  <si>
    <t>Ключ рожковый 19х22мм</t>
  </si>
  <si>
    <t>Ключ рожковый 22х24мм</t>
  </si>
  <si>
    <t>148,00</t>
  </si>
  <si>
    <t>Ключ рожковый 24х27мм</t>
  </si>
  <si>
    <t>165,00</t>
  </si>
  <si>
    <t>Ключ рожковый 25х28мм</t>
  </si>
  <si>
    <t>174,00</t>
  </si>
  <si>
    <t>Ключ рожковый 27х30мм</t>
  </si>
  <si>
    <t>Ключ рожковый 30х32мм</t>
  </si>
  <si>
    <t>Ключ рожковый 32х36мм</t>
  </si>
  <si>
    <t>Ключ рожковый 36х41мм</t>
  </si>
  <si>
    <t>Ключ рожковый 41х46мм</t>
  </si>
  <si>
    <t>Ключ рожковый 46х50мм</t>
  </si>
  <si>
    <t>450,00</t>
  </si>
  <si>
    <t>Ключ рожковый 50х55мм</t>
  </si>
  <si>
    <t>Ключ рожковый 65х70мм</t>
  </si>
  <si>
    <t>Ключ рожковый 41мм</t>
  </si>
  <si>
    <t>204,00</t>
  </si>
  <si>
    <t>Ключ рожковый 46мм</t>
  </si>
  <si>
    <t>Ключ рожковый 50мм</t>
  </si>
  <si>
    <t>Ключ рожковый 55мм</t>
  </si>
  <si>
    <t>Ключ рожковый 60мм</t>
  </si>
  <si>
    <t>Ключ рожковый 65мм</t>
  </si>
  <si>
    <t>Ключ рожковый 70мм</t>
  </si>
  <si>
    <t>840,00</t>
  </si>
  <si>
    <t>Ключ рожковый 75мм</t>
  </si>
  <si>
    <t>Ключ торцовый изогн. 4мм</t>
  </si>
  <si>
    <t>15,00</t>
  </si>
  <si>
    <t>Ключ торцовый (отвертка) 4мм</t>
  </si>
  <si>
    <t>Ключ торцовый (отвертка) 5мм</t>
  </si>
  <si>
    <t>Ключ торцовый изогн. 8мм</t>
  </si>
  <si>
    <t>21,00</t>
  </si>
  <si>
    <t>Ключ торцовый изогн. 10мм</t>
  </si>
  <si>
    <t>24,00</t>
  </si>
  <si>
    <t>Ключ торцовый прям. 10мм</t>
  </si>
  <si>
    <t>Ключ торцовый прям. 11мм</t>
  </si>
  <si>
    <t>Ключ торцовый 11мм Т-обр</t>
  </si>
  <si>
    <t>Ключ торцовый карданный 10мм</t>
  </si>
  <si>
    <t>50,4</t>
  </si>
  <si>
    <t>Ключ торцовый изогн. 14мм</t>
  </si>
  <si>
    <t>25,2</t>
  </si>
  <si>
    <t>Ключ торцовый изогн. 14мм т-обр</t>
  </si>
  <si>
    <t>Ключ торцовый прямой 13мм</t>
  </si>
  <si>
    <t>26,40</t>
  </si>
  <si>
    <t>Ключ торцовый изогн. 17мм</t>
  </si>
  <si>
    <t>48,00</t>
  </si>
  <si>
    <t>Ключ торцовый изогн. 19мм</t>
  </si>
  <si>
    <t>Ключ торцовый изогн. 7х8</t>
  </si>
  <si>
    <t>41,00</t>
  </si>
  <si>
    <t>Ключ торцовый изогн. 10х12</t>
  </si>
  <si>
    <t>43,80</t>
  </si>
  <si>
    <t>Ключ торцовый изогн. 12х14</t>
  </si>
  <si>
    <t>Ключ торцовый изогн. 14х17</t>
  </si>
  <si>
    <t>Ключ торцовый изогн. 15х17</t>
  </si>
  <si>
    <t>Ключ торцовый прямой 14х17</t>
  </si>
  <si>
    <t>54,00</t>
  </si>
  <si>
    <t>Ключ торцовый прямой 17</t>
  </si>
  <si>
    <t>Ключ торцовый изогн. 17х19</t>
  </si>
  <si>
    <t>142,00</t>
  </si>
  <si>
    <t>Ключ торцовый изогн. 17х22</t>
  </si>
  <si>
    <t>150,00</t>
  </si>
  <si>
    <t>Ключ торцовый изогн. 19х22</t>
  </si>
  <si>
    <t>Ключ торцовый прямой 19х22</t>
  </si>
  <si>
    <t>Ключ торцовый изогн. 22х22</t>
  </si>
  <si>
    <t>Ключ торцовый 22 / торцовый изогн. 22</t>
  </si>
  <si>
    <t>8 / 4</t>
  </si>
  <si>
    <t>Ключ торцовый 27</t>
  </si>
  <si>
    <t>Ключ торцовый изогн. 22х24</t>
  </si>
  <si>
    <t>210,00</t>
  </si>
  <si>
    <t>Ключ торцовый баллонный 24х27</t>
  </si>
  <si>
    <t>Ключ торцовый изогн. 24х27прямой</t>
  </si>
  <si>
    <t>Ключ торцовый изогн. 27х30</t>
  </si>
  <si>
    <t>Ключ торцовый изогн. 46мм</t>
  </si>
  <si>
    <t>Ключ торцовый изогн. 52мм</t>
  </si>
  <si>
    <t>Ключ торцовый изогн. 70мм</t>
  </si>
  <si>
    <t>Ключ свечной трубчатый 14х21</t>
  </si>
  <si>
    <t>64,50</t>
  </si>
  <si>
    <t>Ключ свечной трубчатый 21х22</t>
  </si>
  <si>
    <t>Ключ для круглых шлицевых гаек 22-26мм</t>
  </si>
  <si>
    <t>90,00</t>
  </si>
  <si>
    <t>Ключ для круглых шлицевых гаек 22-60мм</t>
  </si>
  <si>
    <t>Ключ для круглых шлицевых гаек 30-34мм</t>
  </si>
  <si>
    <t>Ключ для круглых шлицевых гаек 34-36мм</t>
  </si>
  <si>
    <t>Ключ для круглых шлицевых гаек 38-42мм</t>
  </si>
  <si>
    <t>Ключ для круглых шлицевых гаек 45-52мм</t>
  </si>
  <si>
    <t>126,00</t>
  </si>
  <si>
    <t>Ключ для круглых шлицевых гаек 55-60мм</t>
  </si>
  <si>
    <t>135,00</t>
  </si>
  <si>
    <t>Ключ для круглых шлицевых гаек 55-62мм</t>
  </si>
  <si>
    <t>138,00</t>
  </si>
  <si>
    <t>Ключ для круглых шлицевых гаек 65-70мм</t>
  </si>
  <si>
    <t>Ключ для круглых шлицевых гаек 68-72мм</t>
  </si>
  <si>
    <t>159,00</t>
  </si>
  <si>
    <t>Ключ для круглых шлицевых гаек 75-85мм</t>
  </si>
  <si>
    <t>175,00</t>
  </si>
  <si>
    <t>Ключ для круглых шлицевых гаек 90-95мм</t>
  </si>
  <si>
    <t>Ключ для круглых шлицевых гаек 100-110мм</t>
  </si>
  <si>
    <t>Ключ для круглых шлицевых гаек 115-130мм</t>
  </si>
  <si>
    <t>Ключ для круглых шлицевых гаек 105-140мм</t>
  </si>
  <si>
    <t>Ключ для круглых шлицевых гаек 135-145мм</t>
  </si>
  <si>
    <t>Ключ для круглых шлицевых гаек 205-220мм</t>
  </si>
  <si>
    <t>Ключ шестигранный 4мм</t>
  </si>
  <si>
    <t>12,00</t>
  </si>
  <si>
    <t>Ключ шестигранный 5мм</t>
  </si>
  <si>
    <t>Ключ шестигранный 5,5мм</t>
  </si>
  <si>
    <t>Ключ шестигранный 6мм</t>
  </si>
  <si>
    <t>Ключ шестигранный 7мм</t>
  </si>
  <si>
    <t>27,00</t>
  </si>
  <si>
    <t>Ключ шестигранный 8мм</t>
  </si>
  <si>
    <t>Ключ шестигранный 10мм</t>
  </si>
  <si>
    <t>Ключ шестигранный 12мм</t>
  </si>
  <si>
    <t>Ключ шестигранный 14мм</t>
  </si>
  <si>
    <t>81,00</t>
  </si>
  <si>
    <t>Ключ шестигранный 17мм</t>
  </si>
  <si>
    <t>Ключ шестигранный 19мм</t>
  </si>
  <si>
    <t>105,0</t>
  </si>
  <si>
    <t>Ключ шестигранный 22мм</t>
  </si>
  <si>
    <t>Ключ шестигранный 24мм</t>
  </si>
  <si>
    <t>Набор ключей имбусовых (6-ти гранных) удл. 1,5-10мм (10шт)</t>
  </si>
  <si>
    <t>комп</t>
  </si>
  <si>
    <t>Набор ключей имбусовых (6-ти гранных) с шаром удл. 2-10мм (9шт)</t>
  </si>
  <si>
    <t>249,90</t>
  </si>
  <si>
    <t>Набор ключей TORX, Cr-V, 9шт (T10-T24)</t>
  </si>
  <si>
    <t>216,00</t>
  </si>
  <si>
    <t>Набор торцовых головок 10-30мм (19 пред.)</t>
  </si>
  <si>
    <t>Набор головок с трещеткой 1/2" (10-24мм) Cr-V, 12 предм.</t>
  </si>
  <si>
    <t>1197,00</t>
  </si>
  <si>
    <t>Набор головок з тріскач. 1/2"(8-32мм)Cr-V, 20 пред. Berg</t>
  </si>
  <si>
    <t>Набор ключей "Мотор Січ НК-1" (8-22мм -23 пред.)</t>
  </si>
  <si>
    <t>НАБІР КЛЮЧІВ ріжковох Cr-V, 8шт (6-22мм)</t>
  </si>
  <si>
    <t>НАБІР КЛЮЧІВ ріжково-накидних Cr-V,8шт (6-19мм) Berg</t>
  </si>
  <si>
    <t>НАБІР КЛЮЧІВ ріжково-накидних 10шт (6-22мм)</t>
  </si>
  <si>
    <t>584,00</t>
  </si>
  <si>
    <t>НАБІР КЛЮЧІВ ріжково-накидних Cr-V,14шт (8-24мм)</t>
  </si>
  <si>
    <t>897,00</t>
  </si>
  <si>
    <t>Набор для чеканки</t>
  </si>
  <si>
    <t>Головка торцовая 13мм</t>
  </si>
  <si>
    <t>Головка торцовая 14мм</t>
  </si>
  <si>
    <t>Головка торцовая 15мм</t>
  </si>
  <si>
    <t>Головка торцовая Cr-V, 1/2" 17мм</t>
  </si>
  <si>
    <t>Головка торцовая 18мм</t>
  </si>
  <si>
    <t>Головка торцовая Cr-V, 1/2" 22мм</t>
  </si>
  <si>
    <t>Головка торцовая 23мм</t>
  </si>
  <si>
    <t>Головка торцовая 24мм</t>
  </si>
  <si>
    <t>Головка торцовая 26мм</t>
  </si>
  <si>
    <t>Головка торцовая 27мм</t>
  </si>
  <si>
    <t>Головка торцовая 28мм</t>
  </si>
  <si>
    <t>Головка торцовая 32мм</t>
  </si>
  <si>
    <t>Головка торцовая 41мм</t>
  </si>
  <si>
    <t>Головка торцовая 46мм</t>
  </si>
  <si>
    <t>Головка торцовая 55мм</t>
  </si>
  <si>
    <t>Головка торцовая 60мм</t>
  </si>
  <si>
    <t>Головка торцовая 95мм</t>
  </si>
  <si>
    <t>Головка торцовая 118мм</t>
  </si>
  <si>
    <t>510,00</t>
  </si>
  <si>
    <t>Вороток для торцовых головок 1/2"</t>
  </si>
  <si>
    <t>Набор отверток часовых</t>
  </si>
  <si>
    <t>Отвертка 95х0,3</t>
  </si>
  <si>
    <t>18,00</t>
  </si>
  <si>
    <t>Отвертка 160х4х0,6</t>
  </si>
  <si>
    <t>Отвертка 190х6х1.0</t>
  </si>
  <si>
    <t>Отвертка 200х8х1,2</t>
  </si>
  <si>
    <t>Отвертка 250х10х1,6</t>
  </si>
  <si>
    <t>Отвертка 260х10х1,6</t>
  </si>
  <si>
    <t>Отвертка 300х12х1,6</t>
  </si>
  <si>
    <t>Отвертка 350х8</t>
  </si>
  <si>
    <t>Отвертка Turn, "-" Cr-V, SL5,5х125 мм Berg</t>
  </si>
  <si>
    <t>Отвертка Turn, "-" Cr-V, SL6,5х150 мм Berg</t>
  </si>
  <si>
    <t>Отвертка Turn, "+" Cr-V, РН№1х100 мм Berg</t>
  </si>
  <si>
    <t>145,00</t>
  </si>
  <si>
    <t>Отвертка Turn, "+" Cr-V, РН№3х150 мм Berg</t>
  </si>
  <si>
    <t>Отвертка ударная + насадок, мет. футляр Cr-V</t>
  </si>
  <si>
    <t>669,00</t>
  </si>
  <si>
    <t>Отвертка крестовая 160 №1</t>
  </si>
  <si>
    <t>Отвертка крестовая 200 №2</t>
  </si>
  <si>
    <t>Отвертка крестовая 250 №3</t>
  </si>
  <si>
    <t>НАБІР ВИКРУТОК Cr-V, 5шт Berg</t>
  </si>
  <si>
    <t>Набор отверток Cr-V, 5шт</t>
  </si>
  <si>
    <t>Насадка (Бита) S=10мм магнитная / S=12мм магнитная</t>
  </si>
  <si>
    <t>1 / 3</t>
  </si>
  <si>
    <t>Напильник ромбический 150мм</t>
  </si>
  <si>
    <t>Напильник трехгранный 150мм</t>
  </si>
  <si>
    <t>Напильник трехгранный 200мм</t>
  </si>
  <si>
    <t>Напильник трехгранный 250мм</t>
  </si>
  <si>
    <t>Напильник трехгранный 300мм</t>
  </si>
  <si>
    <t>Напильник трехгранный 400мм</t>
  </si>
  <si>
    <t>199,00</t>
  </si>
  <si>
    <t>Напильник полукруглый 150мм</t>
  </si>
  <si>
    <t>Напильник полукруглый 200мм</t>
  </si>
  <si>
    <t>Напильник круглый 150мм</t>
  </si>
  <si>
    <t>Напильник круглый 200мм</t>
  </si>
  <si>
    <t>Напильник круглый 250мм</t>
  </si>
  <si>
    <t>Напильник круглый 300мм №1 / №2</t>
  </si>
  <si>
    <t>Напильник круглый 400мм</t>
  </si>
  <si>
    <t>Напильник плоский 150мм</t>
  </si>
  <si>
    <t>Напильник плоский 200мм №2 / №3</t>
  </si>
  <si>
    <t>52 / 20</t>
  </si>
  <si>
    <t>Напильник плоский 250мм №2 / №3</t>
  </si>
  <si>
    <t>Напильник плоский 250мм №3 с ручкой</t>
  </si>
  <si>
    <t>Напильник плоский 300мм №1 / №3</t>
  </si>
  <si>
    <t>1 / 24</t>
  </si>
  <si>
    <t>Напильник плоский 350мм №2</t>
  </si>
  <si>
    <t>183,00</t>
  </si>
  <si>
    <t>Напильник плоский 400мм №2 / №3</t>
  </si>
  <si>
    <t>Напильник квадратный 150мм</t>
  </si>
  <si>
    <t>Напильник квадратный 200мм</t>
  </si>
  <si>
    <t>Напильник квадратный 250мм</t>
  </si>
  <si>
    <t>Напильник квадратный 300мм</t>
  </si>
  <si>
    <t>Напильник квадратный 350мм</t>
  </si>
  <si>
    <t>Напильник квадратный 400мм</t>
  </si>
  <si>
    <t>Надфиль плоский 150мм</t>
  </si>
  <si>
    <t>Надфиль плоский 120мм</t>
  </si>
  <si>
    <t>Надфиль трехгранный 150мм</t>
  </si>
  <si>
    <t>Надфиль круглый 150мм</t>
  </si>
  <si>
    <t>Надфиль круглый 120мм</t>
  </si>
  <si>
    <t>Надфиль овальный 150мм</t>
  </si>
  <si>
    <t>Надфиль овальный 120мм</t>
  </si>
  <si>
    <t>Надфиль квадратный 150мм</t>
  </si>
  <si>
    <t>Надфиль квадратный 120мм</t>
  </si>
  <si>
    <t>Надфиль полукруглый 150мм</t>
  </si>
  <si>
    <t>Ручка для напильника 135мм</t>
  </si>
  <si>
    <t>Набор для развальцовки трубок 6-16мм</t>
  </si>
  <si>
    <t>Набор пробойников 2-22мм(15шт)</t>
  </si>
  <si>
    <t>462,00</t>
  </si>
  <si>
    <t>Просечка 13мм</t>
  </si>
  <si>
    <t>Просечка 20мм</t>
  </si>
  <si>
    <t>Просечка 27мм</t>
  </si>
  <si>
    <t>Просечка 28мм</t>
  </si>
  <si>
    <t>Просечка 32мм</t>
  </si>
  <si>
    <t>Просечка 39мм</t>
  </si>
  <si>
    <t>Просечка 42мм</t>
  </si>
  <si>
    <t>Просечка 45мм</t>
  </si>
  <si>
    <t>Просечка 48мм</t>
  </si>
  <si>
    <t>Просечка 53мм</t>
  </si>
  <si>
    <t>Просечка 60мм</t>
  </si>
  <si>
    <t>Просечка 72мм</t>
  </si>
  <si>
    <t>93,00</t>
  </si>
  <si>
    <t>Просечка 80мм</t>
  </si>
  <si>
    <t>Просечка 86мм</t>
  </si>
  <si>
    <t>Просечка 98мм</t>
  </si>
  <si>
    <t>Стеклорез 3х роликовый</t>
  </si>
  <si>
    <t>ПАСАТІЖИ СЛЕСАРНЫЕ 160мм</t>
  </si>
  <si>
    <t>ПАСАТІЖИ СЛЕСАРНЫЕ 180мм</t>
  </si>
  <si>
    <t>Пасатижы (плоскогубцы) Cr-V, никель, 160мм Berg</t>
  </si>
  <si>
    <t>Пасатижы (плоскогубцы) Cr-V, чернение, 160мм Berg</t>
  </si>
  <si>
    <t>193,00</t>
  </si>
  <si>
    <t>Пасатижы (плоскогубцы) Cr-V, никель, 180мм Berg</t>
  </si>
  <si>
    <t>222,00</t>
  </si>
  <si>
    <t>Пасатижы (плоскогубцы) Cr-V, чернение, 180мм Berg</t>
  </si>
  <si>
    <t>237,00</t>
  </si>
  <si>
    <t>Пасатижы (плоскогубцы) Cr-V, никель, 200мм Berg</t>
  </si>
  <si>
    <t>249,00</t>
  </si>
  <si>
    <t>Пасатижы (плоскогубцы) Cr-V, чернение, 200мм Berg</t>
  </si>
  <si>
    <t>Плоскогубцы Cr-V, 120мм</t>
  </si>
  <si>
    <t>93,90</t>
  </si>
  <si>
    <t>Бокорезы Cr-V чернение 160мм Berg</t>
  </si>
  <si>
    <t>189,00</t>
  </si>
  <si>
    <t>Бокорезы Cr-V никель 160мм Berg</t>
  </si>
  <si>
    <t>Бокорезы Cr-V чернение 180мм Berg</t>
  </si>
  <si>
    <t>Бокорезы Cr-V никель 180мм Berg</t>
  </si>
  <si>
    <t>219,00</t>
  </si>
  <si>
    <t>Бокорезы Cr-V чернение 200мм Berg</t>
  </si>
  <si>
    <t>245,00</t>
  </si>
  <si>
    <t>Кусачки торцовые 160мм / 200мм</t>
  </si>
  <si>
    <t>Круглогубцы 160мм</t>
  </si>
  <si>
    <t>Кліщі "Сегера" вигнуті (зовн. вогнуті) 200мм</t>
  </si>
  <si>
    <t>177,00</t>
  </si>
  <si>
    <t>Кліщі "Сегера" вигнуті (внутр. вогнуті) 200мм</t>
  </si>
  <si>
    <t>Клещи для зяття стопорних кілец, прямі 140мм</t>
  </si>
  <si>
    <t>Кусачки для снятия изоляции</t>
  </si>
  <si>
    <t>Клещи кузнечные 700мм</t>
  </si>
  <si>
    <t>Пинцет 120мм</t>
  </si>
  <si>
    <t>Пинцет 160мм</t>
  </si>
  <si>
    <t>Скальпель</t>
  </si>
  <si>
    <t>Молоток без ручки 100гр.</t>
  </si>
  <si>
    <t>Молоток с ручкой 200гр.</t>
  </si>
  <si>
    <t>Молоток с ручкой 400гр.</t>
  </si>
  <si>
    <t>111,00</t>
  </si>
  <si>
    <t>Молоток с ручкой 500гр.</t>
  </si>
  <si>
    <t>Молоток с ручкой 800гр.</t>
  </si>
  <si>
    <t>144,00</t>
  </si>
  <si>
    <t>Молоток рихтовочный с ручкой (резина/платик).</t>
  </si>
  <si>
    <t>Киянка деревянная</t>
  </si>
  <si>
    <t>157,00</t>
  </si>
  <si>
    <t>Ручка для молотка 0,8кг</t>
  </si>
  <si>
    <t>Ручка для кувалды 2кг</t>
  </si>
  <si>
    <t>Ручка для кувалды 4кг</t>
  </si>
  <si>
    <t>Ручка для кувалды 6кг</t>
  </si>
  <si>
    <t>Ручка для кувалды 8кг</t>
  </si>
  <si>
    <t>Ручка для топора</t>
  </si>
  <si>
    <t>Кувалда с ручкой 2кг</t>
  </si>
  <si>
    <t>Кувалда с ручкой 4кг</t>
  </si>
  <si>
    <t>255,00</t>
  </si>
  <si>
    <t>Кувалда с ручкой 6кг</t>
  </si>
  <si>
    <t>366,00</t>
  </si>
  <si>
    <t>Кувалда 8кг (с ручкой)</t>
  </si>
  <si>
    <t>Топор с ручкой 1850 гр. Украина</t>
  </si>
  <si>
    <t>Кирочка-молоток</t>
  </si>
  <si>
    <t>132,00</t>
  </si>
  <si>
    <t>Кельма КШ</t>
  </si>
  <si>
    <t>Ковш штукатурный</t>
  </si>
  <si>
    <t>Зубило слесарное 160мм</t>
  </si>
  <si>
    <t>55,00</t>
  </si>
  <si>
    <t>Зубило слесарное 180мм</t>
  </si>
  <si>
    <t>Зубило слесарное 200мм</t>
  </si>
  <si>
    <t>96,00</t>
  </si>
  <si>
    <t>Зубило слесарное 220мм</t>
  </si>
  <si>
    <t>Зубило слесарное 270мм</t>
  </si>
  <si>
    <t>156,00</t>
  </si>
  <si>
    <t>Зубило слесарное 400мм</t>
  </si>
  <si>
    <t>258,00</t>
  </si>
  <si>
    <t>Зубило слесарное 500мм</t>
  </si>
  <si>
    <t>306,00</t>
  </si>
  <si>
    <t>Кренцмейсель слес. 160</t>
  </si>
  <si>
    <t>Бородок (Пробойник)</t>
  </si>
  <si>
    <t>Керн без накатки</t>
  </si>
  <si>
    <t>25,80</t>
  </si>
  <si>
    <t>Чертилка по мет.</t>
  </si>
  <si>
    <t>Чертилка по мет. т/с</t>
  </si>
  <si>
    <t>Лопата штыковая чорна с ручкой</t>
  </si>
  <si>
    <t>Лопата совковая ЛСП чорна</t>
  </si>
  <si>
    <t>Лопата широкая металическая</t>
  </si>
  <si>
    <t>Ледоруб 300 (без ручки)</t>
  </si>
  <si>
    <t>Грабли штыревые 10 зубьев</t>
  </si>
  <si>
    <t>Черенок для лопат и вил 1200мм (бук)</t>
  </si>
  <si>
    <t>34,20</t>
  </si>
  <si>
    <t>Черенок для граблей 1400мм (бук)</t>
  </si>
  <si>
    <t>30,60</t>
  </si>
  <si>
    <t>Черенок для метлы 1000мм (бук)</t>
  </si>
  <si>
    <t>18,90</t>
  </si>
  <si>
    <t>Монтировка 350мм</t>
  </si>
  <si>
    <t>Лом строительный ЛС 1,4м d24мм</t>
  </si>
  <si>
    <t>399,00</t>
  </si>
  <si>
    <t>Щетка по металу узкая</t>
  </si>
  <si>
    <t>Щетка (по металу) деревяна, латунь дріт 6 ряд.</t>
  </si>
  <si>
    <t>51,60</t>
  </si>
  <si>
    <t>Щетка сталева, 5 ряд. (с дер. ручкой)</t>
  </si>
  <si>
    <t>57,00</t>
  </si>
  <si>
    <t>Щетка для змітання з ручкою 280мм</t>
  </si>
  <si>
    <t>63,00</t>
  </si>
  <si>
    <t>ПЕНЗЕЛЬ флейцевий, тип "Стандарт" 3"</t>
  </si>
  <si>
    <t>36,90</t>
  </si>
  <si>
    <t>ПЕНЗЕЛЬ флейцевий, тип "Стандарт" 2,5"</t>
  </si>
  <si>
    <t>31,20</t>
  </si>
  <si>
    <t>ПЕНЗЕЛЬ флейцевий, тип "Стандарт" 2"</t>
  </si>
  <si>
    <t>26,20</t>
  </si>
  <si>
    <t>ПЕНЗЕЛЬ флейцевий, тип "Стандарт" 1,5"</t>
  </si>
  <si>
    <t>23,40</t>
  </si>
  <si>
    <t>Кисть плоская дер. ручка 30х14мм</t>
  </si>
  <si>
    <t>17,00</t>
  </si>
  <si>
    <t>Кисть круглая 50мм</t>
  </si>
  <si>
    <t>16,80</t>
  </si>
  <si>
    <t>Кисть круглая 40мм</t>
  </si>
  <si>
    <t>Кисть круглая 30мм</t>
  </si>
  <si>
    <t>Валик Премиум с ручкой d8мм, 48х180мм</t>
  </si>
  <si>
    <t>87,00</t>
  </si>
  <si>
    <t>Валик меховый 400мм</t>
  </si>
  <si>
    <t>Запаска 180мм</t>
  </si>
  <si>
    <t>Запаска 250мм</t>
  </si>
  <si>
    <t>37,50</t>
  </si>
  <si>
    <t>Терка</t>
  </si>
  <si>
    <t>Полутерок</t>
  </si>
  <si>
    <t>Цикля с дер. ручкой с запасными ножами</t>
  </si>
  <si>
    <t>3. С В А Р О Ч Н О Е О Б О Р У Д О В А Н И Е</t>
  </si>
  <si>
    <t>Редуктор кислородный БКО - 50ДМ 9мм</t>
  </si>
  <si>
    <t>1450,00</t>
  </si>
  <si>
    <t>Редуктор пропановый БПО - 5ДМ</t>
  </si>
  <si>
    <t>Редуктор пропановый РДСГ1-1,2</t>
  </si>
  <si>
    <t>Редуктор ацетиленовый БАО-5-2 9мм</t>
  </si>
  <si>
    <t>Редуктор углекислотный УР6-ДМ 9мм</t>
  </si>
  <si>
    <t>1000,00</t>
  </si>
  <si>
    <t>Резак пропановый "ДОНМЕТ" 142П Р-1</t>
  </si>
  <si>
    <t>0,00</t>
  </si>
  <si>
    <t>Горелка пропановая Зірка 200 (наконечник №1;2)</t>
  </si>
  <si>
    <t>Рукав кислородный 6мм</t>
  </si>
  <si>
    <t>м</t>
  </si>
  <si>
    <t>Рукав кислородный 9мм</t>
  </si>
  <si>
    <t>Маска сварщика "максимальний захист"</t>
  </si>
  <si>
    <t>273,00</t>
  </si>
  <si>
    <t>Очки для смежных работ при сварке</t>
  </si>
  <si>
    <t>Светофильтр для маски сварщика (ТИС) С4 (60х90мм)</t>
  </si>
  <si>
    <t>Светофильтр для маски сварщика (ТИС) С5 (60х90мм)</t>
  </si>
  <si>
    <t>Светофильтр для маски сварщика (ТИС) С6 (60х90мм)</t>
  </si>
  <si>
    <t>Светофильтр для маски сварщика (ТИС) С7 (60х90мм)</t>
  </si>
  <si>
    <t>Светофильтр для маски сварщика (ТИС) С8 (60х90мм)</t>
  </si>
  <si>
    <t>Светофильтр для маски сварщика (ТИС) С3 (90х110мм)</t>
  </si>
  <si>
    <t>Стекло для маски сварщика прозр.60х90мм</t>
  </si>
  <si>
    <t>6,00</t>
  </si>
  <si>
    <t>Стекло для маски сварщика прозр.110х90мм</t>
  </si>
  <si>
    <t>9,60</t>
  </si>
  <si>
    <t>Зажим массы 500А</t>
  </si>
  <si>
    <t>Кабель КГ 1х25</t>
  </si>
  <si>
    <t>Проволока для сварки СВ08 - 3мм. (упак. L=1м по 5 кг)</t>
  </si>
  <si>
    <t>4. Д Е Р Е В О О Б Р А Б А Т Ы В А Ю Щ И Й И Н С Т Р У М Е Н Т</t>
  </si>
  <si>
    <t>Пила дисковая т/с ВК-8 d 200х32х3мм</t>
  </si>
  <si>
    <t>Пила дисковая т/с ВК-8 d 355х50х3,2мм</t>
  </si>
  <si>
    <t>Пила ленточная 40х0,8 зуб 3 мм</t>
  </si>
  <si>
    <t>Пила ленточная 40х0,8 зуб 10 мм (26+137м)</t>
  </si>
  <si>
    <t>Пила двуручная 1250мм</t>
  </si>
  <si>
    <t>Ножовка по дереву (Пилка по дереву, гартовані зубці, "Stоrm", 450мм</t>
  </si>
  <si>
    <t>Коловорот</t>
  </si>
  <si>
    <t>Рубанок метал.</t>
  </si>
  <si>
    <t>Полуфуганок чистовой мет. 350х80мм</t>
  </si>
  <si>
    <t>Фуганок металический 550мм</t>
  </si>
  <si>
    <t>720,00</t>
  </si>
  <si>
    <t>Нож для рейсмуса 410х40х3</t>
  </si>
  <si>
    <t>Фреза дисковая 125х30</t>
  </si>
  <si>
    <t>Фреза дисковая 125х40х32</t>
  </si>
  <si>
    <t>Фреза дисковая 180х50</t>
  </si>
  <si>
    <t>Бур по дер. 19мм L 550мм к/хв</t>
  </si>
  <si>
    <t>Бур по дер. 25мм L 400мм</t>
  </si>
  <si>
    <t>Бур по дер. 26мм L 550мм к/хв</t>
  </si>
  <si>
    <t>Стамеска 9мм</t>
  </si>
  <si>
    <t>Стамеска 12мм</t>
  </si>
  <si>
    <t>Стамеска 18мм</t>
  </si>
  <si>
    <t>Долото 18х80</t>
  </si>
  <si>
    <t>5 А Б Р А З И В Н Ы Е К Р У Г И</t>
  </si>
  <si>
    <t>Круг внутр. Шлиф.25А 6х10х2 / 13х10х5 / 13х20х4</t>
  </si>
  <si>
    <t>125 / 2 / 27</t>
  </si>
  <si>
    <t>Круг внутр. Шлиф.25А 14х10х4 / 14х20х4 / 16х32х6 / 20х8х6</t>
  </si>
  <si>
    <t>4 / 7 / 3 / 8</t>
  </si>
  <si>
    <t>12,60</t>
  </si>
  <si>
    <t>Круг внутр. Шлиф.25А 25х32х6</t>
  </si>
  <si>
    <t>13,80</t>
  </si>
  <si>
    <t>Круг внутр. Шлиф.25А 25х40х16 / 32х25х10 / 20х32х10</t>
  </si>
  <si>
    <t>8 / 5 / 9</t>
  </si>
  <si>
    <t>Круг внутр. Шлиф.25А 30х25х10 / 32х40х10</t>
  </si>
  <si>
    <t>1 / 4</t>
  </si>
  <si>
    <t>Круг внутр. Шлиф.64С 25х25х6 / 25А 25х25х6</t>
  </si>
  <si>
    <t>6 /7</t>
  </si>
  <si>
    <t>Круг внутр. Шлиф.64С 27х32х6 / 25А 32х25х10</t>
  </si>
  <si>
    <t>11 / 5</t>
  </si>
  <si>
    <t>Круг внутр. Шлиф.25А 32х32х10 / 32х40х10</t>
  </si>
  <si>
    <t>22 / 22</t>
  </si>
  <si>
    <t>32,00</t>
  </si>
  <si>
    <t>Круг внутр. Шлиф.25А 40х40х16</t>
  </si>
  <si>
    <t>Круг внутр. Шлиф.25А 50х40х16 / 50х50х20</t>
  </si>
  <si>
    <t>5 / 10</t>
  </si>
  <si>
    <t>Круг внутр. Шлиф.25А 63х20х20 / 63х50х20</t>
  </si>
  <si>
    <t>6 / 13</t>
  </si>
  <si>
    <t>Круг внутр. Шлиф.25А 80х63х20 / 80х25х20</t>
  </si>
  <si>
    <t>5 / 1</t>
  </si>
  <si>
    <t>Круг чашка конич. 25А25П 25х40х6</t>
  </si>
  <si>
    <t>Круг чашка конич. 25А25П 80х65х22</t>
  </si>
  <si>
    <t>Круг чашка конич. 39А 100х30х20</t>
  </si>
  <si>
    <t>Круг чашка конич. 25А25П 100х40х20 / 100х50х20</t>
  </si>
  <si>
    <t>1 / 73</t>
  </si>
  <si>
    <t>Круг чашка конич. 25А25П 125х40х32 / 64С 40п 125х50х32</t>
  </si>
  <si>
    <t>3 / 9</t>
  </si>
  <si>
    <t>Круг чашка конич. 14А40П 125х40х32</t>
  </si>
  <si>
    <t>Круг чашка цилинд. 25А25П 100х50х20 / 63С 100х50х20</t>
  </si>
  <si>
    <t>2 / 2</t>
  </si>
  <si>
    <t>Круг чашка конич. 14А 150х50х32 / 95А 150х50х32</t>
  </si>
  <si>
    <t>27 / 1</t>
  </si>
  <si>
    <t>Круг чашка конич. 14А 40СМ2 150х80х32</t>
  </si>
  <si>
    <t>Круг чашка конич. 64С 150х50х32 F46СМ1 / 40пМ3</t>
  </si>
  <si>
    <t>20 / 5</t>
  </si>
  <si>
    <t>Круг чашка конич. 25А 150х50х32</t>
  </si>
  <si>
    <t>Круг чашка цилиндр. 64С 150х80х32</t>
  </si>
  <si>
    <t>Круг для заточки инструмента (тарелка) 64С 125х32х12</t>
  </si>
  <si>
    <t>Круг для заточки инструмента (тарелка) 64С 150х32х16</t>
  </si>
  <si>
    <t>Круг для заточки инструмента (тарелка) 92А 150х32х16</t>
  </si>
  <si>
    <t>Круг для заточки инструмента (тарелка) 64С 175х32х16</t>
  </si>
  <si>
    <t>Круг для заточки инструм. (тарелка)25А 175х32х10 / 25АF46 175х32х10cм2</t>
  </si>
  <si>
    <t>19 / 20</t>
  </si>
  <si>
    <t>Круг для заточки инструмента (тарелка) 25А 175х32х13 / 175х32х16</t>
  </si>
  <si>
    <t>3 / 8</t>
  </si>
  <si>
    <t>Круг для заточки инструмента (тарелка) 95А 175х32х16</t>
  </si>
  <si>
    <t>Круг для заточки инструмента (тарелка) 64С 200х32х16 / 25А 200х32х12</t>
  </si>
  <si>
    <t>19 / 1</t>
  </si>
  <si>
    <t>Круг для заточки инструмента (тарелка) 64С 200х32х20</t>
  </si>
  <si>
    <t>Круг для заточки инструмента (тарелка) 14А 200х32х20</t>
  </si>
  <si>
    <t>Круг для заточки инструмента (тарелка) 25А 225х18х40</t>
  </si>
  <si>
    <t>Круг для заточки инструмента (тарелка) 25А 25П СМ2 250х5х76</t>
  </si>
  <si>
    <t>Круг для заточки инструмента (тарелка) 25А 250х20х76 25П / 40П</t>
  </si>
  <si>
    <t>Круг для заточки инструмента (тарелка) 25А 250х20х32</t>
  </si>
  <si>
    <t>Круг для заточки инструмента (тарелка) 64С 25п 250х24х32</t>
  </si>
  <si>
    <t>Круг для заточки инструмента 63С 250х13х76 / 64С25п 250х16х76</t>
  </si>
  <si>
    <t>3 / 1</t>
  </si>
  <si>
    <t>Круг для заточки инструмента(резьбошлиф.) 25А25П/40П 250х13х76</t>
  </si>
  <si>
    <t>Круг шлифовальный 25А(белый) 25х5х5 / 35х15х8</t>
  </si>
  <si>
    <t>10 / 5</t>
  </si>
  <si>
    <t>Круг шлифов. полировочный гибкий 63х6х10</t>
  </si>
  <si>
    <t>Круг шлифовальный 25А(белый) 63х8х20/ 63х10х20</t>
  </si>
  <si>
    <t>14 / 10</t>
  </si>
  <si>
    <t>Круг шлифовальный 39А 72х30х20</t>
  </si>
  <si>
    <t>Круг шлифовальный 25А(белый) 80х10х20</t>
  </si>
  <si>
    <t>Круг шлифовальный 25А(белый) 80х13х20 / 80х20х20 40п ст1</t>
  </si>
  <si>
    <t>15 / 22</t>
  </si>
  <si>
    <t>Круг шлифовальный 25А(белый) 80х50х20 / 39А 80х40х20</t>
  </si>
  <si>
    <t>1 / 1</t>
  </si>
  <si>
    <t>Круг шлифовальный 92А(сиреневый) 80х60х20F46СМ1</t>
  </si>
  <si>
    <t>Круг шлифовальный 34А 80х60х20F46СМ1</t>
  </si>
  <si>
    <t>Круг шлифовальный 24А 80х60х20 (внутр.50х30)</t>
  </si>
  <si>
    <t>Круг шлифовальный 25А(белый) 100х13х20</t>
  </si>
  <si>
    <t>Круг шлифовальный 25А(белый) 100х20х20/ 100х40х20</t>
  </si>
  <si>
    <t>29 / 1</t>
  </si>
  <si>
    <t>Круг шлифовальный 25А(белый) 100х50х20</t>
  </si>
  <si>
    <t>Круг шлифовальный 25А(белый) 125х6х20</t>
  </si>
  <si>
    <t>Круг шлифовальный 14А(вулканит) 125х3х32</t>
  </si>
  <si>
    <t>Круг шлифовальный 14А40П (F46) (серый) 125х20х32 СМ2</t>
  </si>
  <si>
    <t>250,00</t>
  </si>
  <si>
    <t>Круг шлифовальный 64С25П (зеленый) 125х20х32</t>
  </si>
  <si>
    <t>Круг шлифовальный 64С25П 125х25х32</t>
  </si>
  <si>
    <t>Круг шлифовальный 25А40П (белый) 125х20х32</t>
  </si>
  <si>
    <t>Круг шлифовальный 92А40П (белый) 125х25х32 СМ1</t>
  </si>
  <si>
    <t>Круг шлифовальный 14А(вулканит) 150х3х32 / 150х4х32 / 150х6х32</t>
  </si>
  <si>
    <t>1 / 1 / 5</t>
  </si>
  <si>
    <t>Круг шлифовальный 25А (белый) 150х6х32</t>
  </si>
  <si>
    <t>Круг шлифовальный 25А (белый) 150х8х32</t>
  </si>
  <si>
    <t>Круг шлифовальный 25А (белый) 150х10х32</t>
  </si>
  <si>
    <t>Круг шлифовальный 25А25П С1 / СМ1 150х13х32</t>
  </si>
  <si>
    <t>16 / 3</t>
  </si>
  <si>
    <t>Круг шлифовальный 25А25Псм1 150х16х32</t>
  </si>
  <si>
    <t>Круг шлифовальный 25А 25П / 40П (белый) 150х20х32 СМ2</t>
  </si>
  <si>
    <t>4 / 3</t>
  </si>
  <si>
    <t>Круг шлифовальный 25А 40П (белый) 150х25х32 СМ2 / СТ2</t>
  </si>
  <si>
    <t>32 / 14</t>
  </si>
  <si>
    <t>Круг шлифовальный 24А40П / 25П (белый) 150х32х32</t>
  </si>
  <si>
    <t>29 / 8</t>
  </si>
  <si>
    <t>345,00</t>
  </si>
  <si>
    <t>Круг шлифовальный 64С 40П 150х20х32</t>
  </si>
  <si>
    <t>Круг шлифовальный 92А 40П СТ1 150х20х32</t>
  </si>
  <si>
    <t>Круг полировальный паропластовый ПФ 150х20х32</t>
  </si>
  <si>
    <t>Круг шлифовальный 14А 40П (46F) 150х20х32 СМ2</t>
  </si>
  <si>
    <t>Круг шлифовальный 14А 40П (46F) 150х25х32 СМ2</t>
  </si>
  <si>
    <t>Круг шлифовальный 14А обдир. 150х25х32 бакелит</t>
  </si>
  <si>
    <t>Круг шлифовальный 14А 150х32х32</t>
  </si>
  <si>
    <t>Круг шлифовальный 64С 150х32х32</t>
  </si>
  <si>
    <t>Круг шлифовальный 14С 40СМ 175х16х32</t>
  </si>
  <si>
    <t>Круг шлифовальный 14А F46 (40)СМ2 (серый) 175х20х32</t>
  </si>
  <si>
    <t>Круг шлифовальный 14А 40 СМ (серый) 175х25х32</t>
  </si>
  <si>
    <t>Круг шлифовальный 25А 40СМ 175х8х32</t>
  </si>
  <si>
    <t>Круг шлифовальный 25А 40СМ /23ПСМ1 175х14х32</t>
  </si>
  <si>
    <t>2 / 1</t>
  </si>
  <si>
    <t>Круг шлифовальный 25А 40СМ2 175х20х32</t>
  </si>
  <si>
    <t>Круг шлифовальный 92А 25П 175х32х32</t>
  </si>
  <si>
    <t>Круг шлифовальный 54С 40СМ 175х20х32</t>
  </si>
  <si>
    <t>Круг шлифовальный 63С 40СМ 175х10х32</t>
  </si>
  <si>
    <t>Круг шлифовальный 63С 40 СМ 175х14х32</t>
  </si>
  <si>
    <t>Круг шлифовальный 64С 40СМ (зеленый) 175х20х32</t>
  </si>
  <si>
    <t>Круг шлифовальный 14А 25СМ (серый) 200х10х32</t>
  </si>
  <si>
    <t>Круг шлифовальный 25А40П 200х10х32 / 25А25П 200х10х32</t>
  </si>
  <si>
    <t>56 / 2</t>
  </si>
  <si>
    <t>Круг шлифовальный 14АБ 50Н СТ (бакелит) 200х10х32</t>
  </si>
  <si>
    <t>Круг шлифовальный 14АБ 80Н СТ3 (бакелит) 200х25х32</t>
  </si>
  <si>
    <t>Круг шлифовальный 64С 25П К 200х20х32</t>
  </si>
  <si>
    <t>Круг шлифовальный 54С 200х25х32</t>
  </si>
  <si>
    <t>Круг шлифовальный 92А 40П 200х20х32 СМ2 / C1</t>
  </si>
  <si>
    <t>65 / 54</t>
  </si>
  <si>
    <t>Круг шлифовальный 92А 40П 200х20х32 СТ</t>
  </si>
  <si>
    <t>Круг шлифовальный 92А 16П 200х20х32 СТ1</t>
  </si>
  <si>
    <t>Круг шлифовальный 14А F46 (40П) 200х20х32 CM1</t>
  </si>
  <si>
    <t>Круг шлифовальный 14А F46 (40П) 200х25х32 CM</t>
  </si>
  <si>
    <t>Круг шлифовальный 92А 200х25х32 бакелит</t>
  </si>
  <si>
    <t>Круг шлифовальный 92А 25П 200х25х76</t>
  </si>
  <si>
    <t>Круг шлифовальный 25А 25СМ 200х25х76</t>
  </si>
  <si>
    <t>Круг шлифовальный 64С 200х20х76 вулканит.</t>
  </si>
  <si>
    <t>Круг шлифовальный 64С 200х32х76</t>
  </si>
  <si>
    <t>Круг шлифовальный 25А / 92А25П 200х32х76</t>
  </si>
  <si>
    <t>Круг шлифовальный 25А 16П / 25П / 40П 200х40х76</t>
  </si>
  <si>
    <t>3 / 1 / 2</t>
  </si>
  <si>
    <t>Круг шлифовальный 14А 200х40х76</t>
  </si>
  <si>
    <t>Круг шлифовальный 14А40п / 14А25п (серый) 250х13х76</t>
  </si>
  <si>
    <t>Круг шлифовальный 14А25п (серый) 250х13х32</t>
  </si>
  <si>
    <t>Круг шлифовальный 14А25п СМ / 14А40п СМ (серый) 250х20х32</t>
  </si>
  <si>
    <t>7 / 2</t>
  </si>
  <si>
    <t>Круг шлифовальный 14А F22 СТ2 бакелит 250х25х32</t>
  </si>
  <si>
    <t>Круг шлифовальный 63С 25п СМ2 (зеленый) 250х20х76</t>
  </si>
  <si>
    <t>Круг шлифовальный 64С 40п (зеленый) 250х25х76</t>
  </si>
  <si>
    <t>Круг шлифовальный 54С 40П(зеленый) 250х25х76</t>
  </si>
  <si>
    <t>Круг шлифовальный 64С 40П(зеленый) / 54С 250х32х76</t>
  </si>
  <si>
    <t>30 / 8</t>
  </si>
  <si>
    <t>Круг шлифовальный 92А25П см1 250х13х32</t>
  </si>
  <si>
    <t>Круг шлифовальный 92А25П см1 250х16х76</t>
  </si>
  <si>
    <t>Круг шлифовальный 92А40П см1 250х16х76</t>
  </si>
  <si>
    <t>Круг шлифовальный 92А25П см1 250х20х76</t>
  </si>
  <si>
    <t>Круг шлифовальный 92А40П 250х25х76 С1 / СМ1,2</t>
  </si>
  <si>
    <t>Круг шлифовальный 92А16П ст1 250х25х76</t>
  </si>
  <si>
    <t>Круг шлифовальный 92А12П СМ2 / СМ1 250х32х76</t>
  </si>
  <si>
    <t>Круг шлифовальный 91А 40П СМ1 250х32х76</t>
  </si>
  <si>
    <t>850,00</t>
  </si>
  <si>
    <t>Круг шлифовальный 39А 250х25х76</t>
  </si>
  <si>
    <t>660,00</t>
  </si>
  <si>
    <t>Круг шлифовальный 14А 40П СТ 250х20х76 / 14А40П С2 / 14А40П СТ2</t>
  </si>
  <si>
    <t>1 / 7 / 2</t>
  </si>
  <si>
    <t>Круг шлифовальный 14А 40П СМ2 250х20х76</t>
  </si>
  <si>
    <t>Круг шлифовальный 14А 25П См2 250х20х76 / 14А 25П С1 / С2 250х20х76</t>
  </si>
  <si>
    <t>16 / 5 / 2</t>
  </si>
  <si>
    <t>Круг шлифовальный 14А 16П См1 250х20х76</t>
  </si>
  <si>
    <t>Круг шлифовальный 14А 40П См1,2 / С1 / СТ1 250х25х76</t>
  </si>
  <si>
    <t>16 / 3 / 2</t>
  </si>
  <si>
    <t>710,00</t>
  </si>
  <si>
    <t>Круг шлифовальный 14А 25П СМ1,2 250х25х76</t>
  </si>
  <si>
    <t>Круг шлифовальный 14А П40 250х32х76 СМ2 / СМ1 / Р13</t>
  </si>
  <si>
    <t>27 / 3 / 1</t>
  </si>
  <si>
    <t>Круг шлифовальный 14А П25 250х32х76 СТ2 / СМ1</t>
  </si>
  <si>
    <t>Круг шлифовальный 25А 25П СМ1 250х16х76</t>
  </si>
  <si>
    <t>Круг шлифовальный 24А 25П СМ2 250х20х76</t>
  </si>
  <si>
    <t>Круг шлифовальный 25А 40П СМ1 / СМ2 250х20х76</t>
  </si>
  <si>
    <t>Круг шлифовальный 24А (белый) 250х20х76 ПВД</t>
  </si>
  <si>
    <t>Круг шлифовальный 25А 16П С1 250х25х76</t>
  </si>
  <si>
    <t>Круг шлифовальный 25А М50П 250х25х76</t>
  </si>
  <si>
    <t>Круг шлифовальный 14А 40п СT / СМ 250х40х76</t>
  </si>
  <si>
    <t>Круг шлифовальный 14А 25П СМ1 250х40х76</t>
  </si>
  <si>
    <t>Круг шлифовальный 25А 40П 250х32х76 C1 / C2 / СТ1 / M3</t>
  </si>
  <si>
    <t>Круг шлифовальный 25А 40П 250х40х76 СМ2</t>
  </si>
  <si>
    <t>Круг шлифовальный 64С 25П / 40П / 12П  250х40х76</t>
  </si>
  <si>
    <t>0 / 0 / 4</t>
  </si>
  <si>
    <t>Круг шлифовальный 96А 40П / 92А25СТ1 250х40х76</t>
  </si>
  <si>
    <t>10 / 4</t>
  </si>
  <si>
    <t>Круг шлифовальный 91А-92А 12П / 16П 250х40х76</t>
  </si>
  <si>
    <t>Круг шлифовальный 14А25П С2 300х10х76</t>
  </si>
  <si>
    <t>Круг шлифовальный 39А 40П 300х25х76</t>
  </si>
  <si>
    <t>Круг шлифовальный 25А 40П СТ2 300х20х76</t>
  </si>
  <si>
    <t>Круг шлифовальный 25А 40П СТ1 300х25х76</t>
  </si>
  <si>
    <t>Круг шлифовальный 25А 40П СТ2 300х40х76</t>
  </si>
  <si>
    <t>Круг шлифовальный 14А 25П / 40П СТ / 40П СМ1,2 300х40х76</t>
  </si>
  <si>
    <t>9 / 2 / 14</t>
  </si>
  <si>
    <t>Круг шлифовальный 64С 40П (зеленый) 300х40х76 СМ1</t>
  </si>
  <si>
    <t>Круг шлифовальный 93А 40П 300х40х76</t>
  </si>
  <si>
    <t>Круг шлифовальный 24А16П СТ2 (белый) 300х10х127</t>
  </si>
  <si>
    <t>Круг шлифовальный 24А (белый) / 14А 300х10х127</t>
  </si>
  <si>
    <t>23 / 8</t>
  </si>
  <si>
    <t>Круг шлифовальный 14А25П СМ2 (серый) 300х10х127</t>
  </si>
  <si>
    <t>Круг шлифовальный 92-95А 300х13х127</t>
  </si>
  <si>
    <t>Круг шлифовальный 25А 40П СМ2 300х13х127</t>
  </si>
  <si>
    <t>Круг шлифовальный 14А 25П 300х20х127</t>
  </si>
  <si>
    <t>Круг шлифовальный 91А16ПСТ2 300х25х127</t>
  </si>
  <si>
    <t>Круг шлифовальный 24А16ПСТ1,2 300х25х127</t>
  </si>
  <si>
    <t>800,00</t>
  </si>
  <si>
    <t>Круг шлифовальный 25А 25П 300х40х127 СМ1 / СТ1 (белый)</t>
  </si>
  <si>
    <t>2240,00</t>
  </si>
  <si>
    <t>Круг шлифовальный 24А 40П 300х40х127 СМ2 / С1/ С2 (белый)</t>
  </si>
  <si>
    <t>0 / 4 / 2</t>
  </si>
  <si>
    <t>Круг шлифовальный 91А16ПСТ2 300х40х127</t>
  </si>
  <si>
    <t>Круг шлифовальный 14А 40П СТ1,2 / С1 / СМ1-2 / L (серый) 300х40х127</t>
  </si>
  <si>
    <t>10 / 1 / 14 / 2</t>
  </si>
  <si>
    <t>Круг шлифовальный 14А25П(серый) 300х40х127</t>
  </si>
  <si>
    <t>Круг шлифовальный 14А 40П / 63П бакелит  300х40х127</t>
  </si>
  <si>
    <t>3 / 2</t>
  </si>
  <si>
    <t>Круг шлифовальный 54А 40 / 25П (серый) 300х40х127</t>
  </si>
  <si>
    <t>Круг шлифовальный 64С 300х40х127 40П СМ1 / СМ2 (зеленый)</t>
  </si>
  <si>
    <t>5 / 2</t>
  </si>
  <si>
    <t>Круг шлифовальный 64С25П СМ2 / 16П СМ1 300х40х127 (зеленый)</t>
  </si>
  <si>
    <t>Круг шлифовальный 24А16пСТ2 / 24А16пСМ2 / 25А16пСМ2 350х16х127</t>
  </si>
  <si>
    <t>1 / 2 / 5</t>
  </si>
  <si>
    <t>Круг шлифовальный 64С 16П / М50 / М63 350х32х127</t>
  </si>
  <si>
    <t>7 / 4 / 1</t>
  </si>
  <si>
    <t>Круг шлифовальный 64С 40П СМ / СМ2 / L / СТ 350х40х127</t>
  </si>
  <si>
    <t>12 / 4 / 2 / 1</t>
  </si>
  <si>
    <t>3300,00</t>
  </si>
  <si>
    <t>Круг шлифовальный 64С 25П СМ1 / СМ2 350х40х127</t>
  </si>
  <si>
    <t>1 / 9</t>
  </si>
  <si>
    <t>Круг шлифовальный 64С 16П 350х40х127</t>
  </si>
  <si>
    <t>3000,00</t>
  </si>
  <si>
    <t>Круг шлифовальный 64С 350х50х127</t>
  </si>
  <si>
    <t>Круг шлифовальный 25А F46 (40П) 350х40х127 CM (белые)</t>
  </si>
  <si>
    <t>Круг шлифовальный 25А 25П 350х40х127 СМ2 (белые)</t>
  </si>
  <si>
    <t>Круг шлифовальный 92А 40П СМ1 (сиреневый) 350х40х127</t>
  </si>
  <si>
    <t>Круг шлифовальный 91А25П / 95А 25П (сиреневый) 350х40х127</t>
  </si>
  <si>
    <t>3 / 3</t>
  </si>
  <si>
    <t>Круг шлифовальный 95А 16П СМ2 (сиреневый) 350х40х127</t>
  </si>
  <si>
    <t>Круг шлифовальный 14А 1 350х40х127 F46 СМ1,2 / CТ2 / СТ3</t>
  </si>
  <si>
    <t>18 / 13 / 1</t>
  </si>
  <si>
    <t>Круг шлифовальный 14А16П / 14А25П 350х40х127</t>
  </si>
  <si>
    <t>4 / 22</t>
  </si>
  <si>
    <t>Круг шлифовальный 94А 25П 350х40х127 Бакелит</t>
  </si>
  <si>
    <t>Круг шлифовальный 94А 40П 350х40х127 Бакелит</t>
  </si>
  <si>
    <t>Круг шлифовальный 94А 50П 350х40х127 Бакелит</t>
  </si>
  <si>
    <t>Круг шлифовальный 93А 80П СТ2 350х40х127 Бакелит</t>
  </si>
  <si>
    <t>Круг шлифовальный 14А 80П (F22) 350х40х127 Бакелит</t>
  </si>
  <si>
    <t>Круг шлифовальный 54С 40H 400х40х127 Бакелит</t>
  </si>
  <si>
    <t>Круг шлифовальный 14А 63H 400х40х127 СТ3 Бакелит</t>
  </si>
  <si>
    <t>Круг шлифовальный 14А 80H (F22) 400х40х127 СТ3 Бакелит</t>
  </si>
  <si>
    <t>Круг шлифовальный 54С 80H (F22) 400х40х127 Бакелит</t>
  </si>
  <si>
    <t>Круг шлифовальный 14А 1 400х40х127 F46СМ2 / F60СМ1</t>
  </si>
  <si>
    <t>Круг шлифовальный 64С ПП 400х40х127 40СМ1,2 / СТ2 (зеленый)</t>
  </si>
  <si>
    <t>16 / 1</t>
  </si>
  <si>
    <t>3810,00</t>
  </si>
  <si>
    <t>Круг шлифовальный 25А 40П СМ2 (белый) 400х40х127</t>
  </si>
  <si>
    <t>Круг шлифовальный 25А 6П (белый) 400х50х127 СМ2</t>
  </si>
  <si>
    <t>Круг шлифовальный 25А 400х8х203 / 400х10х203</t>
  </si>
  <si>
    <t>5 / 5</t>
  </si>
  <si>
    <t>Круг шлифовальный 25А 8П / 39А 400х20х203</t>
  </si>
  <si>
    <t>Круг шлифовальный 92А 16П 400х10х203</t>
  </si>
  <si>
    <t>Круг шлифовальный 91А 12П 400х20х203</t>
  </si>
  <si>
    <t>Круг шлифовальный 92А (сиреневый) 400х32х203</t>
  </si>
  <si>
    <t>Круг шлифовальный 64С 6П (зелен.) 400х40х203</t>
  </si>
  <si>
    <t>1860,00</t>
  </si>
  <si>
    <t>Круг шлифовальный 64С 1 400х40х203 F46(40П) СМ / F60 СM1 (зеленый)</t>
  </si>
  <si>
    <t>Круг шлифовальный 14А ПП 400х40х203 40п СМ1,2 / 25п(F60)</t>
  </si>
  <si>
    <t>2850,00</t>
  </si>
  <si>
    <t>Круг шлифовальный 14АБ F22 (П80) 400х40х203 Т2 / СТ3  Бакелит</t>
  </si>
  <si>
    <t>Круг шлифовальный 25А ПП 400х40х203 40 СM2 (белый)</t>
  </si>
  <si>
    <t>3200,00</t>
  </si>
  <si>
    <t>Круг шлифовальный 25А ПП 400-420х63х203 40П (белый) Б/у</t>
  </si>
  <si>
    <t>Круг шлифовальный 54С F46 400х50х203</t>
  </si>
  <si>
    <t>Круг шлифовальный 64С 40П (зелен.) 400х50х203</t>
  </si>
  <si>
    <t>Круг шлифовальный 64С М63П СМ2 (зелен.) 400х50х203</t>
  </si>
  <si>
    <t>Круг шлифовальный 64С 40П (зелен.) 410-430х50х203 Б/у</t>
  </si>
  <si>
    <t>Круг шлифовальный 24А12П 450х10х203</t>
  </si>
  <si>
    <t>Круг шлифовальный 14А60П (серый) 450х40х203</t>
  </si>
  <si>
    <t>Круг шлифовальный 95А16П 450х40х203</t>
  </si>
  <si>
    <t>Круг шлифовальный 25А 40п(белый) 450х40х203</t>
  </si>
  <si>
    <t>Круг шлифовальный 64С 40П СТ2 450х40х203</t>
  </si>
  <si>
    <t>Круг шлифовальный 64С 40П (зеленый) 450х40х127</t>
  </si>
  <si>
    <t>Круг шлифовальный 92А (сиреневый) 450х40х127</t>
  </si>
  <si>
    <t>Круг шлифовальный 92А (сиреневый) 450х50х127</t>
  </si>
  <si>
    <t>Круг шлифовальный 25А 40П С1(белый) 450х50х127</t>
  </si>
  <si>
    <t>Круг шлифовальный 14А 40П СМ1 (серый) 450х50х203</t>
  </si>
  <si>
    <t>Круг шлифовальный 25А 40П СМ1 / C1 / CТ (белый) 450х50х203</t>
  </si>
  <si>
    <t>2 / 2 / 2</t>
  </si>
  <si>
    <t>Круг шлифовальный 64С 40П 450х50х203</t>
  </si>
  <si>
    <t>Круг шлифовальный 14А 25П СТ1 / 40П СМ(серый) 450х63х203</t>
  </si>
  <si>
    <t>Круг шлифовальный 14А 40П (серый) 450х63х203 Б/у</t>
  </si>
  <si>
    <t>Круг шлифовальный 14А 40П (серый) 470х63х203 Б/у</t>
  </si>
  <si>
    <t>Круг шлифовальный 64С 40П CМ / СМ2 / М3 450х63х203</t>
  </si>
  <si>
    <t>8 / 3 / 2</t>
  </si>
  <si>
    <t>Круг шлифовальный 24А 25П СМ1 / 25АF46 СМ2 450х63х203</t>
  </si>
  <si>
    <t>Круг шлифовальный 92А 16П 450х63х203 СМ</t>
  </si>
  <si>
    <t>Круг шлифовальный 93А 500х40х203</t>
  </si>
  <si>
    <t>Круг шлифовальный 14А 40П СТ3 500х50х203</t>
  </si>
  <si>
    <t>Круг шлифовальный 25А 40П СТ 500х50х203</t>
  </si>
  <si>
    <t>2+3</t>
  </si>
  <si>
    <t>Круг шлифовальный 92А 25П СМ2 500х50х203</t>
  </si>
  <si>
    <t>Круг шлифовальный 14А 40П СМ (серый) 500х63х203</t>
  </si>
  <si>
    <t>Круг шлифовальный 64С 40Н Ст1 500х63х203</t>
  </si>
  <si>
    <t>Круг шлифовальный 92А 25П С1 500х63х203</t>
  </si>
  <si>
    <t>Круг шлифовальный 91А 40П СТ1 / СМ2 500х63х203</t>
  </si>
  <si>
    <t>Круг шлифовальный 92А 50Н СТ 500х63х203</t>
  </si>
  <si>
    <t>Круг шлифовальный 25А 40П (белый) 600х50х305</t>
  </si>
  <si>
    <t>5700,00</t>
  </si>
  <si>
    <t>Круг шлифовальный 25А 40П / 50П (белый) 600х63х305</t>
  </si>
  <si>
    <t>14 / 1</t>
  </si>
  <si>
    <t>Круг шлифовальный 25А 25П М3 (белый) 600х63х305</t>
  </si>
  <si>
    <t>Круг шлифовальный 14А 40П СТ / СТ1 / СТ3 600х63х305</t>
  </si>
  <si>
    <t>2 / 4 / 1</t>
  </si>
  <si>
    <t>Круг шлифовальный 14А 40П С1 / СМ 600х63х305</t>
  </si>
  <si>
    <t>Круг шлифовальный 14А 25П СМ1 600х63х305</t>
  </si>
  <si>
    <t>Круг шлифовальный 64С 40Н(F46) С1 600х63х305</t>
  </si>
  <si>
    <t>6300,00</t>
  </si>
  <si>
    <t>Круг шлифовальный 92А 25П СТ1 (сирен.) 600х63х305</t>
  </si>
  <si>
    <t>6600,00</t>
  </si>
  <si>
    <t>Круг шлифовальный 96А 40П С2 600х63х305 (50м/с)</t>
  </si>
  <si>
    <t>Круг шлифовальный 25А 40П (белый) 600х80х305 СМ2 / СМ1</t>
  </si>
  <si>
    <t>1 / 2</t>
  </si>
  <si>
    <t>8400,00</t>
  </si>
  <si>
    <t>Круг шлифовальный 92А 40П СМ2 (сирен.) 750х100х305</t>
  </si>
  <si>
    <t>9300,00</t>
  </si>
  <si>
    <t>Брусок 25А 16х16х150</t>
  </si>
  <si>
    <t>Брусок 64С 200х20х20</t>
  </si>
  <si>
    <t>Брусок 64С 150х25х16</t>
  </si>
  <si>
    <t>Брусок 14А 150х50х10 / 24А 150х20х16</t>
  </si>
  <si>
    <t>3 / 10</t>
  </si>
  <si>
    <t>Брусок 64С 150х16х16 / 64С 160х13х13</t>
  </si>
  <si>
    <t>20 / 1</t>
  </si>
  <si>
    <t>Брусок 25А 25А 200х25х25</t>
  </si>
  <si>
    <t>Брусок 25А 200х20х20</t>
  </si>
  <si>
    <t>Брусок 25А 100х10х10 / 64С 100х11х9</t>
  </si>
  <si>
    <t>73 / 5</t>
  </si>
  <si>
    <t>Державка для правки шлиф. кругов т/с 32мм / ДО-40</t>
  </si>
  <si>
    <t>Державка для безалм. правки шлиф. кругов ДО-75мм</t>
  </si>
  <si>
    <t>Ролики для правки кругов алм. ДО-40мм</t>
  </si>
  <si>
    <t>Ролики для правки кругов алм. ДО-75мм</t>
  </si>
  <si>
    <t>Ролики для правки кругов т/с 70мм</t>
  </si>
  <si>
    <t>Шарожка звездообразная 50х15х2мм</t>
  </si>
  <si>
    <t>24,90</t>
  </si>
  <si>
    <t>Шарожка волнообразная 50х12х2мм</t>
  </si>
  <si>
    <t>Шарожка волнообразная 65х12х2мм</t>
  </si>
  <si>
    <t>Державка для правки шлиф. Кругов без шарожек</t>
  </si>
  <si>
    <t>Набор головок шлифовальных (5шт)</t>
  </si>
  <si>
    <t>компл</t>
  </si>
  <si>
    <t>Головка шлиф. коническая 25А 30х50х6 / 20х32х5мм</t>
  </si>
  <si>
    <t>Головка шлиф. коническая 25А 20х8х6мм</t>
  </si>
  <si>
    <t>Головка шлиф. Цилиндр. 25А 4х8х3</t>
  </si>
  <si>
    <t>8,10</t>
  </si>
  <si>
    <t>Головка шлиф. Цилиндр. 25А 9х25х3 / 16х8х5 / 16х20х5</t>
  </si>
  <si>
    <t>25 / 5 / 20</t>
  </si>
  <si>
    <t>Головка шлиф. Цилиндр. 25А 20х8х6 / 20х25х5 / 20х25х6</t>
  </si>
  <si>
    <t>12 / 10 / 3</t>
  </si>
  <si>
    <t>Головка шлиф. Цилиндр. 25А 8х20х60 / 6х10х50</t>
  </si>
  <si>
    <t>4 / 82</t>
  </si>
  <si>
    <t>Головка шлиф. Цилиндр. 25А 10х25х3</t>
  </si>
  <si>
    <t>Головка шлиф. Цилиндр. 5мм / 8мм / 10х10мм 25А</t>
  </si>
  <si>
    <t>36 / 1 / 7</t>
  </si>
  <si>
    <t>Круг войлочный 75х10</t>
  </si>
  <si>
    <t>Круг войлочный 370х45 (3кг) / 415х41 (3кг)</t>
  </si>
  <si>
    <t>1. / 1.</t>
  </si>
  <si>
    <t>6. К Р У Г И З А Ч И С Т Н Ы Е, Л Е П Е С Т К О В Ы Е, П Р О В О Л О Ч Н Ы Е</t>
  </si>
  <si>
    <t>Круг обдирочный армированный 125Х6,0Х22 BOSCH</t>
  </si>
  <si>
    <t>69,00 з пдв</t>
  </si>
  <si>
    <t>Круг обдирочный армированный 125Х6,0Х22 NORTON</t>
  </si>
  <si>
    <t>Круг обдирочный армированный 14АБ 80Н СТ 150х20х32</t>
  </si>
  <si>
    <t>172,00</t>
  </si>
  <si>
    <t>Круг обдирочный армированный 14АБ 80Н СТ 150х25х32</t>
  </si>
  <si>
    <t>Круг обдирочный армированный 230Х6,4Х22 NORTON</t>
  </si>
  <si>
    <t>Круг лепестковый радиальный КШЛ 150х30х32 Р120</t>
  </si>
  <si>
    <t>Круг лепестковый торцовый КЛТ 125х22 - Р60 FALON TECH</t>
  </si>
  <si>
    <t>66,00 з пдв</t>
  </si>
  <si>
    <t>Круг лепестковый торцовый КЛТ 125х22 - Р40 MASTIFF</t>
  </si>
  <si>
    <t>Круг лепестковый торцовый КЛТ 125х22 - Р40 ЗАЗ</t>
  </si>
  <si>
    <t>45,00 з пдв</t>
  </si>
  <si>
    <t>Головка шлиф. лепестковая 30х15х6 Р60 Кlingspor</t>
  </si>
  <si>
    <t>Головка шлиф. лепестковая 30х30х6 Р60 Кlingspor</t>
  </si>
  <si>
    <t>Головка шлиф. лепестковая 40х25х6 Р40 Кlingspor</t>
  </si>
  <si>
    <t>Головка шлиф. лепестковая 50х25х6 Р60 Кlingspor</t>
  </si>
  <si>
    <t>Головка шлиф. лепестковая 60х30х6 Р40 Кlingspor</t>
  </si>
  <si>
    <t>Щетка крацовка "Чашка" латунна 65мм</t>
  </si>
  <si>
    <t>Щетка крацовочная плет. 100мм</t>
  </si>
  <si>
    <t>Щетка крацовочная 150х40 / 250х56</t>
  </si>
  <si>
    <t>60,00 /120,00</t>
  </si>
  <si>
    <t>7. О Т Р Е З Н Ы Е К Р У Г И</t>
  </si>
  <si>
    <t>Круг отрезной армированный 125х22х1,0 (металл) BOSCH</t>
  </si>
  <si>
    <t>37,80</t>
  </si>
  <si>
    <t>Круг отрезной армированный 125x22x1,2 (металл) Кronenflex</t>
  </si>
  <si>
    <t>39,60</t>
  </si>
  <si>
    <t>Круг отрезной армированный 125x22x1,6 (металл) Кronenflex</t>
  </si>
  <si>
    <t>42,60</t>
  </si>
  <si>
    <t>Круг отрезной армированный 125х22х2,0 (металл)</t>
  </si>
  <si>
    <t>Круг отрезной армированный 230x22x2,0 (металл) Vulcan NORTON</t>
  </si>
  <si>
    <t>70,00</t>
  </si>
  <si>
    <t>Круг отрезной армированный 400x32х4,0 (металл) NORTON</t>
  </si>
  <si>
    <t>8. А Л М А З Н Ы Й И Н С Т Р У М Е Н Т</t>
  </si>
  <si>
    <t>Круг алмазный коническая (чашка) 80х3х20х5х20 АС6 100/80 А1</t>
  </si>
  <si>
    <t>Круг алмазный коническая (чашка) 100х5х3х32х20 АК6 200/160 (мет. Осн.)</t>
  </si>
  <si>
    <t>Круг алмазный конич. (чашка) 12А245 150х40х10х3х32 АС4 125/100 В2-01</t>
  </si>
  <si>
    <t>930,00</t>
  </si>
  <si>
    <t>Круг алмазный конич. (чашка) 12А245 150х40х20х3х32 АС2 80/63</t>
  </si>
  <si>
    <t>1290,00</t>
  </si>
  <si>
    <t>Круг алмазный конич. (чашка) фронтальная А14К 150х10х3х50 АС4 80/63 А2</t>
  </si>
  <si>
    <t>Круг алмазный конич. (чашка) 200х10х50х3 АС4 63/50-4-К1-01</t>
  </si>
  <si>
    <t>1380,00</t>
  </si>
  <si>
    <t>Круг алмазный конич. (чашка) 200х10х50х3 АС4 125/100 В1</t>
  </si>
  <si>
    <t>Круг алмазный тарельчатый АТ 100х6х20х2 АС5С 125/100 В1</t>
  </si>
  <si>
    <t>Круг алмазный тарельчатый А1Т 125х5х2х32 АС4 125/100 В2-01</t>
  </si>
  <si>
    <t>Круг алмазный тарельчатый А1Т 125х5х2х32 АС2С 100/80 -4-В2</t>
  </si>
  <si>
    <t>Круг алмазный тарельчатый А1Т 125х5х2х32 АС2 160/125 -4-В2-01</t>
  </si>
  <si>
    <t>Круг алмазный тарельчатый А1Т 125х5х2х32 АСР 80/63 -4-В1</t>
  </si>
  <si>
    <t>Круг алмазный тарельчатый А1Т 150х5х3х32 АС4 100/80 -4-В2-01</t>
  </si>
  <si>
    <t>Круг алмазный тарельчатый АТ 150х10х2х32 АС2 160/125 В2-01</t>
  </si>
  <si>
    <t>Круг алмазный тарельчатый АТ 150х10х3х32 АС4 80/63</t>
  </si>
  <si>
    <t>Круг алмазный тарельчатый А1Т 150х5х3х32 АС2 80/63 -4-В2-01</t>
  </si>
  <si>
    <t>Круг алмазный ПП 63х10х5х20 мет.основа</t>
  </si>
  <si>
    <t>Круг алмазный ПП 125х6х3х32 АС4 100/80 А2</t>
  </si>
  <si>
    <t>Круг алмазный ПП 125х6х3х32 АС20 200/160 М3-16</t>
  </si>
  <si>
    <t>Круг алмазный ПП 125х10х3х32 АС4 125/100 А2</t>
  </si>
  <si>
    <t>Круг алмазный ПП 150х10х3х32 АСР 80/63 А2</t>
  </si>
  <si>
    <t>Круг алмазный АПВ 150х5х3х24х32 АСР 160/125 В1</t>
  </si>
  <si>
    <t>Круг алмазный АПВ 150х10х4х24х32 АСН 40/28 М2-01</t>
  </si>
  <si>
    <t>Круг алмазный АПВ 200х10х5х28х50 АС4 100/80 Б1</t>
  </si>
  <si>
    <t>Круг алмазный АПВ 200х10х3х24х50 АСВ 125/100 К1</t>
  </si>
  <si>
    <t>Круг алмазный АПВ 200х10х3х24х50 АСР 100/80 мет. осн. С12</t>
  </si>
  <si>
    <t>Круг алмазный АПВ 200х10х5х24х46 АСР 100/80 С12</t>
  </si>
  <si>
    <t>1260,00</t>
  </si>
  <si>
    <t>Круг алмазный (конич. профиль) А2П 250х8х76 АС4 160/125</t>
  </si>
  <si>
    <t>Круг алмазный АПП 250х10х3х76 АСР 125/100 А2</t>
  </si>
  <si>
    <t>Круг алмазный АПП 250х10х5х76 АС4 125/100 А2 / --//-- АС5 125/100 А2</t>
  </si>
  <si>
    <t>Круг алмазный АПП 250х15х3х76 АС6 250/200 А1М2</t>
  </si>
  <si>
    <t>Круг алмазный АПП 250х16х5х76 АСР 100/80 А2</t>
  </si>
  <si>
    <t>Круг алмазный АПП 250х16х5х76 АСР 125/100 А2</t>
  </si>
  <si>
    <t>Круг алмазный АПВ 250х20х3х76 РСВ 100/80 А1М1</t>
  </si>
  <si>
    <t>Круг алмазный АПП 300х15х5х76 АС4 100/80 А2 / --//-- АС5 100/80 А2</t>
  </si>
  <si>
    <t>Круг алмазный АПП 300х16х5х76 АСР 80/63 Б1</t>
  </si>
  <si>
    <t>Круг алмазный АПП 300х20х5х76 АС4 80/63 А2</t>
  </si>
  <si>
    <t>Круг алмазный АПП 300х16х5х76 АСР АСР 160/125 А2</t>
  </si>
  <si>
    <t>Круг алмазный АПП 400х40х5х203, А1, 2720-0163, АСВ 200/160 1090кар (В40)</t>
  </si>
  <si>
    <t>Круг алмазный ПП 400х40х6х127, АС6, 1А1 50/40 М1-01 1305кар (В40)</t>
  </si>
  <si>
    <t>Круг алмазный радиусный А5П 125х3х1,5х32-R1,5 АСК 160/125 М1</t>
  </si>
  <si>
    <t>738,00</t>
  </si>
  <si>
    <t>Круг алмазный радиусный А5П 125х6х3х32-R3 АСБ 80/63 М1</t>
  </si>
  <si>
    <t>Круг алмазный радиусный 125х6х3х32-R3 АС4 160/125 А2 -4-В2</t>
  </si>
  <si>
    <t>Круг алмазный радиусный 125х6х32-R3 АСВ 80/63 НТ2</t>
  </si>
  <si>
    <t>Круг алмазный радиусный 125х10х32-R5 АС4 125/100 А2 -4-В2</t>
  </si>
  <si>
    <t>Круг алмазный радиусный 150х20х32-R10 АСР 160/125 А2</t>
  </si>
  <si>
    <t>Круг алмазный радиусный 150х20х32-R10 АС4 100/80 Б2-01</t>
  </si>
  <si>
    <t>Круг алмазный радиусн. АБП 350х2,5х5х127 АС15 100/125 М2</t>
  </si>
  <si>
    <t>Круг алмазный угловой А2П 125х3х4х30*х32 АС2 200/160 М201</t>
  </si>
  <si>
    <t>Круг алмазный угловой А2П 125х3х4х60*х32 АСК 200/160 М1</t>
  </si>
  <si>
    <t>Круг алмазный угловой А2П 125х3х4х60*х32 АС20 200/160 М1</t>
  </si>
  <si>
    <t>Круг алмазный резьбошлифовальный 74х12х32х60* мет.основа</t>
  </si>
  <si>
    <t>Круг алмазный резьбошлифовальный 125х6х32х60* 125/100</t>
  </si>
  <si>
    <t>Круг алмазный отрезной 150х32х1,0 АС15 125/100</t>
  </si>
  <si>
    <t>Круг алмазный отрезной 175х32х1,5 АС15 160/125</t>
  </si>
  <si>
    <t>Круг алмазный отрезной 200х32х1,0</t>
  </si>
  <si>
    <t>Круг алмазный отрезной 200х32х1.5 АС15 125/100 // 160/125 // 200/160</t>
  </si>
  <si>
    <t>2 / 2 / 3</t>
  </si>
  <si>
    <t>Круг алмазный отрезной 200х32х2.0 АС65 125/100</t>
  </si>
  <si>
    <t>672,00</t>
  </si>
  <si>
    <t>Круг алмазный отрезной 250х32х1.5 АС15 160/125</t>
  </si>
  <si>
    <t>Круг алмазный отрезной 250х32х2.0 АС15 100/125</t>
  </si>
  <si>
    <t>Круг алмазный отрезной сегментный 300х63х5 630/500</t>
  </si>
  <si>
    <t>1440,00</t>
  </si>
  <si>
    <t>Круг алмазный отрезной сегментный 400х90х4 АР1-3 500/400</t>
  </si>
  <si>
    <t>Карандаш алмазный  87С / 88С</t>
  </si>
  <si>
    <t>153 /5</t>
  </si>
  <si>
    <t>Карандаш алмазный Славутич</t>
  </si>
  <si>
    <t>Алмаз в оправе 108 (0,05кар)</t>
  </si>
  <si>
    <t>Наконечник алмазный НК1. Для твердомера</t>
  </si>
  <si>
    <t>Резец алм. / d8х40</t>
  </si>
  <si>
    <t>Паста алмазная 2/1 (туб)</t>
  </si>
  <si>
    <t>Паста алмазная АСМ 5/3 (туб)</t>
  </si>
  <si>
    <t>Паста алмазная 7/5 (туб)</t>
  </si>
  <si>
    <t>Паста алмазная 14/10 (туб)</t>
  </si>
  <si>
    <t>Паста алмазная 28/20 (туб)</t>
  </si>
  <si>
    <t>Паста алмазная АСН 40/28 (туб 50мл)</t>
  </si>
  <si>
    <t>Паста карбит-титановая (500гр) з14/10 / з60/40</t>
  </si>
  <si>
    <t>2 / 3</t>
  </si>
  <si>
    <t>Паста полировочно-притирочная ГОИ</t>
  </si>
  <si>
    <t>1,75</t>
  </si>
  <si>
    <t>Паста абразивная притирочная</t>
  </si>
  <si>
    <t>87,70</t>
  </si>
  <si>
    <t>Головка цилиндр. алмазная 3х6х40х3мм 100/80</t>
  </si>
  <si>
    <t>Головка цилиндр. алмазная 4х6х40мм</t>
  </si>
  <si>
    <t>Головка цилиндр. алмазная 5х6х40мм</t>
  </si>
  <si>
    <t>34,80</t>
  </si>
  <si>
    <t>Головка цилиндр. алмазная 5х8х40мм</t>
  </si>
  <si>
    <t>Головка цилиндр. алмазная 6х10х3х50мм</t>
  </si>
  <si>
    <t>Головка цилиндр. алмазная 8х10х60мм</t>
  </si>
  <si>
    <t>41,40</t>
  </si>
  <si>
    <t>Головка цилиндр. алмазная 8х40х150мм</t>
  </si>
  <si>
    <t>50,40</t>
  </si>
  <si>
    <t>Головка цилиндр. алмазная 10х16х60мм</t>
  </si>
  <si>
    <t>52,80</t>
  </si>
  <si>
    <t>Головка цилиндр. алмазная 12х16х80х6мм 125/100 // 12х16х80х6- 100/80</t>
  </si>
  <si>
    <t>16 / 15</t>
  </si>
  <si>
    <t>Головка цилиндр. алмазная 18х10х100мм / 16х20х80мм</t>
  </si>
  <si>
    <t>54,60</t>
  </si>
  <si>
    <t>Головка цилиндр. торцовая алмазная 14мм (выглаживатель)</t>
  </si>
  <si>
    <t>Стеклорез алмазный</t>
  </si>
  <si>
    <t>700,00</t>
  </si>
  <si>
    <t>Брусок алм. 50х4х3 (63/50)</t>
  </si>
  <si>
    <t>Брусок алм. 60х4,4х3,1х1,3 АС6 (125/100) М2</t>
  </si>
  <si>
    <t>Брусок алм. 100х8х4 (100/80)</t>
  </si>
  <si>
    <t>Брусок алм. 160мм (рабочий слой 40х8х3) АС5 63/50-100-82-01</t>
  </si>
  <si>
    <t>123,00</t>
  </si>
  <si>
    <t>Брусок алм. 160мм (рабочий слой 40х8х3) АС2 / АС4 100/80-100-82-01</t>
  </si>
  <si>
    <t>15 / 20</t>
  </si>
  <si>
    <t>Брусок алм. хонинговальный 100х8х4х2 (60/40) / (28/20)</t>
  </si>
  <si>
    <t>5 / 4</t>
  </si>
  <si>
    <t>Брусок алм. хонинговальный 125х12х4 (АСМ20) / (АСГ20)</t>
  </si>
  <si>
    <t>2 / 10</t>
  </si>
  <si>
    <t>Надфиль алмазный трехгранный 120мм</t>
  </si>
  <si>
    <t>Надфиль алмазный трехгранный 150мм</t>
  </si>
  <si>
    <t>Надфиль алмазный полукруглый 150мм</t>
  </si>
  <si>
    <t>Надфиль алмазный круглый 120мм</t>
  </si>
  <si>
    <t>Надфиль алмазный круглый 150мм</t>
  </si>
  <si>
    <t>Надфиль алмазный круглый изогнутый двусторонний 180мм</t>
  </si>
  <si>
    <t>Надфиль алмазный квадратный 150мм</t>
  </si>
  <si>
    <t>Надфиль алмазный ножевидный 150мм</t>
  </si>
  <si>
    <t>Надфиль алмазный овальный 150мм</t>
  </si>
  <si>
    <t>Надфиль алмазный плоский 150мм</t>
  </si>
  <si>
    <t>Надфиль алмазный ромбический 150мм</t>
  </si>
  <si>
    <t>8. Э Л Ь Б О Р О В Ы Й И Н С Т Р У М Е Н Т</t>
  </si>
  <si>
    <t>Чашка эльборовая кон. 75х22х16х3х5</t>
  </si>
  <si>
    <t>Чашка эльборовая кон. 100х35х20х3х5</t>
  </si>
  <si>
    <t>Чашка эльборовая кон. 125х3х5х32 ЛОС 50/40</t>
  </si>
  <si>
    <t>Чашка эльборовая кон. 150х10х5х32 ЛО12 100%</t>
  </si>
  <si>
    <t>Чашка эльборовая кон. 150х10х5х32 ЛОС 63/50</t>
  </si>
  <si>
    <t>Круг ПП эльборовая 150х5х3х32 ЛО 80/63 Б1</t>
  </si>
  <si>
    <t>Круг ПП эльборовая 200х10х3х32 ЛО6</t>
  </si>
  <si>
    <t>Круг радиусный 50х4х16 R2</t>
  </si>
  <si>
    <t>Круг радиусный 75х5х20 R2</t>
  </si>
  <si>
    <t>Круг ПП 2-х стор. конич. выточка 125х6х32х60*</t>
  </si>
  <si>
    <t>9. Ш Л И Ф О В А Л Ь Н А Я Ш К У Р К А</t>
  </si>
  <si>
    <t>Шкурка шлиф. водостойкая (ткань) Р-150 №8 / Р-100 №16</t>
  </si>
  <si>
    <t>м.кв</t>
  </si>
  <si>
    <t>Шкурка шлиф. (бумага) Р-80 №16 (шир. 1,4м)</t>
  </si>
  <si>
    <t>Шкурка шлиф. водостойкая(ткань) Р-80 №20</t>
  </si>
  <si>
    <t>Шкурка шлифовальная водостойкая (ткань) Р-60 №25 (шир. 0,9м)</t>
  </si>
  <si>
    <t>Шкурка шлифовальн водос. (ткань) Р-40 №40 (шир. 1,4м)</t>
  </si>
  <si>
    <t>1,8</t>
  </si>
  <si>
    <t>Шкурка шлифовальная водостойкая (ткань) Р-36 №50 (0,3+3,9+22,7)</t>
  </si>
  <si>
    <t>11,7</t>
  </si>
  <si>
    <t>10. С В Е Р Л А Т/С ПО Б Е Т О Н У, К И Р П И Ч У</t>
  </si>
  <si>
    <t>Сверло цил. хв. 3,3 / 4,0</t>
  </si>
  <si>
    <t>7 / 4</t>
  </si>
  <si>
    <t>9,90</t>
  </si>
  <si>
    <t>Сверло цил. хв. 8,0х100</t>
  </si>
  <si>
    <t>Сверло цил. хв. 10,0х100</t>
  </si>
  <si>
    <t>29,40</t>
  </si>
  <si>
    <t>Сверло т/с 25 к/хв</t>
  </si>
  <si>
    <t>97,20</t>
  </si>
  <si>
    <t>Сверло SDS МАХ 10х110 BERG</t>
  </si>
  <si>
    <t>Сверло SDS+ 24,0x210 DIAGER (Франция)</t>
  </si>
  <si>
    <t>Сверло SDS МАХ 14,0х340 DIAGER (Франция)</t>
  </si>
  <si>
    <t>615,00</t>
  </si>
  <si>
    <t>11. С В Е Р Л А Ц Е Н Т Р О В О Ч Н Ы Е</t>
  </si>
  <si>
    <t>Сверло 0,9ВК6-М</t>
  </si>
  <si>
    <t>Сверло 1,0ВК6-М / 1,0Р6М5</t>
  </si>
  <si>
    <t>68 / 35</t>
  </si>
  <si>
    <t>Сверло 1,1ВК6-М</t>
  </si>
  <si>
    <t>Сверло 1,3ВК6-М / 1,4ВК6-М</t>
  </si>
  <si>
    <t>40 / 10</t>
  </si>
  <si>
    <t>Сверло 1,6 Р6М5 / 1,6ВК6-М</t>
  </si>
  <si>
    <t>66 / 30</t>
  </si>
  <si>
    <t>Сверло 2,0Р6М5 / 2,0ВК6-М</t>
  </si>
  <si>
    <t>338 / 16</t>
  </si>
  <si>
    <t>Сверло 2,5Р6М5</t>
  </si>
  <si>
    <t>Сверло 3,15Р6М5</t>
  </si>
  <si>
    <t>Сверло 4,0Р6М5</t>
  </si>
  <si>
    <t>Сверло 4,0Р12/ Р18</t>
  </si>
  <si>
    <t>Сверло 5,0Р6М5</t>
  </si>
  <si>
    <t>Сверло 5,0Р12</t>
  </si>
  <si>
    <t>Сверло 6,0Р6М6 / 6,3Р6М5</t>
  </si>
  <si>
    <t>5 / 9</t>
  </si>
  <si>
    <t>104,00</t>
  </si>
  <si>
    <t>Сверло 6,3(d16 /d25)Р6М5 СССР</t>
  </si>
  <si>
    <t>4 / 6</t>
  </si>
  <si>
    <t>Сверло 6,3(d22) Р9 / 6,3(d18) Р12</t>
  </si>
  <si>
    <t>Сверло 6,3(d18) Р18 / 6,3(d20) Р18</t>
  </si>
  <si>
    <t>Сверло 6,3(d14) Р18 одностор.</t>
  </si>
  <si>
    <t>Сверло 12 Р6М5 СССР</t>
  </si>
  <si>
    <t>12. С В Е Р Л А Л Е В Ы Е ЦИЛ./ХВ. Р6М5</t>
  </si>
  <si>
    <t>Сверло левое 0,4мм</t>
  </si>
  <si>
    <t>3,30</t>
  </si>
  <si>
    <t>Сверло левое 1,2 / 1.3мм</t>
  </si>
  <si>
    <t>64 / 95</t>
  </si>
  <si>
    <t>4,20</t>
  </si>
  <si>
    <t>Сверло левое 1,2мм удл</t>
  </si>
  <si>
    <t>4,50</t>
  </si>
  <si>
    <t>Сверло левое 1,4 / 1,5мм</t>
  </si>
  <si>
    <t>28 / 163</t>
  </si>
  <si>
    <t>4,80</t>
  </si>
  <si>
    <t>Сверло левое 1,6 / 1.7мм</t>
  </si>
  <si>
    <t>51 / 111</t>
  </si>
  <si>
    <t>5,10</t>
  </si>
  <si>
    <t>Сверло левое 2,0 мм</t>
  </si>
  <si>
    <t>6,60</t>
  </si>
  <si>
    <t>Сверло левое 2,3мм</t>
  </si>
  <si>
    <t>7,20</t>
  </si>
  <si>
    <t>Сверло левое 2.4 / 2,75мм</t>
  </si>
  <si>
    <t>191 / 94</t>
  </si>
  <si>
    <t>7,80</t>
  </si>
  <si>
    <t>Сверло левое 3,0мм</t>
  </si>
  <si>
    <t>10,50</t>
  </si>
  <si>
    <t>Сверло левое 4,0 / 4,1 / 4,4мм</t>
  </si>
  <si>
    <t>61 / 26 / 3</t>
  </si>
  <si>
    <t>Сверло левое 5,1 / 5,2мм</t>
  </si>
  <si>
    <t>225 / 10</t>
  </si>
  <si>
    <t>17,10</t>
  </si>
  <si>
    <t>Сверло левое 5.5 мм</t>
  </si>
  <si>
    <t>19,20</t>
  </si>
  <si>
    <t>Сверло левое 6,0 / 6,2 / 6.4мм</t>
  </si>
  <si>
    <t>30 /185 / 13</t>
  </si>
  <si>
    <t>Сверло левое 6,5 / 6.7 мм</t>
  </si>
  <si>
    <t>69 / 40</t>
  </si>
  <si>
    <t>Сверло левое 7.1 / 7,7мм</t>
  </si>
  <si>
    <t>37 / 3</t>
  </si>
  <si>
    <t>Сверло левое 8.0мм</t>
  </si>
  <si>
    <t>Сверло левое 8.1 / 8,3мм</t>
  </si>
  <si>
    <t>69 / 2</t>
  </si>
  <si>
    <t>Сверло левое 8.4 / 8,8мм</t>
  </si>
  <si>
    <t>1 / 50</t>
  </si>
  <si>
    <t>Сверло левое 9,3мм</t>
  </si>
  <si>
    <t>Сверло левое 10,2 / 10,5мм</t>
  </si>
  <si>
    <t>26 / 43</t>
  </si>
  <si>
    <t>Сверло левое 12.0 / 12,2мм</t>
  </si>
  <si>
    <t>Сверло левое 14,0 / 14.5мм</t>
  </si>
  <si>
    <t>8 / 1</t>
  </si>
  <si>
    <t>Сверло левое 15,0 мм</t>
  </si>
  <si>
    <t>162,00</t>
  </si>
  <si>
    <t>Сверло левое 16,0 / 16,5мм</t>
  </si>
  <si>
    <t>21 / 19</t>
  </si>
  <si>
    <t>Сверло левое 17,0 / 17,5мм</t>
  </si>
  <si>
    <t>42 / 31</t>
  </si>
  <si>
    <t>Сверло левое 19,0 / 19,75 / 20.0мм</t>
  </si>
  <si>
    <t>7 / 2 / 6</t>
  </si>
  <si>
    <t>13. С В Е Р Л А ЦИЛ./ХВ. - Р6М5, Р9</t>
  </si>
  <si>
    <t>Сверло 0,2 Р6М5/ 0.25 Р6М5/ 0,3 Р6М5</t>
  </si>
  <si>
    <t>35/757/ 456</t>
  </si>
  <si>
    <t>Сверло 0.35Р6М5 / 0,4 Р6М5</t>
  </si>
  <si>
    <t>290 / 170</t>
  </si>
  <si>
    <t>Сверло 0,45Р6М5 / 0.5Р6М5</t>
  </si>
  <si>
    <t>400 / 365</t>
  </si>
  <si>
    <t>Сверло 0,55Р6М5 / 0.6Р6М5</t>
  </si>
  <si>
    <t>395 / 89</t>
  </si>
  <si>
    <t>Сверло 0,7Р6М5 / 0,8 Р6М5</t>
  </si>
  <si>
    <t>76 / 167</t>
  </si>
  <si>
    <t>Сверло 0,9Р6М5 / 0,95 Р6М5</t>
  </si>
  <si>
    <t>195 / 56</t>
  </si>
  <si>
    <t>8,40</t>
  </si>
  <si>
    <t>Сверло 1,0 Р6М5/ 1,05Р6М5 / 1,1 Р6М5</t>
  </si>
  <si>
    <t>65 / 23/ 219</t>
  </si>
  <si>
    <t>Сверло 1,2Р6М5 / 1.25 Р6М5</t>
  </si>
  <si>
    <t>20 / 94</t>
  </si>
  <si>
    <t>Сверло 1,3Р6М5 / 1,4Р6М5</t>
  </si>
  <si>
    <t>889 / 36</t>
  </si>
  <si>
    <t>Cверло 1,5Р6М5 / 1,6Р6М5</t>
  </si>
  <si>
    <t>3 / 20</t>
  </si>
  <si>
    <t>10,80</t>
  </si>
  <si>
    <t>Сверло 1,6Р6М5К5</t>
  </si>
  <si>
    <t>11,70</t>
  </si>
  <si>
    <t>Cверло 1.7Р6М5 / 1,75Р6М5 / 1,8Р6М5</t>
  </si>
  <si>
    <t>450 / 72 / 76</t>
  </si>
  <si>
    <t>Cверло 1,85Р6М5 / 1,9Р6М5</t>
  </si>
  <si>
    <t>599 / 554</t>
  </si>
  <si>
    <t>Сверло 2,0 Р6М5</t>
  </si>
  <si>
    <t>12,30</t>
  </si>
  <si>
    <t>Сверло 2,05 Р6М5 / 2.1 Р6М5</t>
  </si>
  <si>
    <t>72 / 30</t>
  </si>
  <si>
    <t>Сверло 2,15Р6М5 / 2,2Р6М5</t>
  </si>
  <si>
    <t>128 / 65</t>
  </si>
  <si>
    <t>Сверло 2,3Р6М5 / 2,35Р6М5</t>
  </si>
  <si>
    <t>1383 / 313</t>
  </si>
  <si>
    <t>Сверло 2,1х80удл Р6М5 / 2,2удл.Р6М5</t>
  </si>
  <si>
    <t>50 / 39</t>
  </si>
  <si>
    <t>Сверло 2,3х90удл.Р6М5</t>
  </si>
  <si>
    <t>Сверло 2,4Р6М5 / 2,5 Р6М5</t>
  </si>
  <si>
    <t>366 / 422</t>
  </si>
  <si>
    <t>13,20</t>
  </si>
  <si>
    <t>Сверло 2,5х95удл Р6М5</t>
  </si>
  <si>
    <t>Сверло 2,6Р6М5 / 2,65 Р6М5</t>
  </si>
  <si>
    <t>125 / 400</t>
  </si>
  <si>
    <t>Сверло 2,6х95удл Р6М5</t>
  </si>
  <si>
    <t>Сверло 2,7Р6М5 / 2,75Р6М5</t>
  </si>
  <si>
    <t>1255 / 20</t>
  </si>
  <si>
    <t>Сверло 2,8 Р6М5 / 2,85 Р6М5</t>
  </si>
  <si>
    <t>1723 / 213</t>
  </si>
  <si>
    <t>Сверло 2,8х100удл Р6М5</t>
  </si>
  <si>
    <t>Сверло 2,9Р6М5 / 2,95 Р6М5</t>
  </si>
  <si>
    <t>539 / 135</t>
  </si>
  <si>
    <t>Сверло 2,9х100удл Р6М5</t>
  </si>
  <si>
    <t>Сверло 3,0 Р9</t>
  </si>
  <si>
    <t>Сверло 3,0Р6М5</t>
  </si>
  <si>
    <t>15,60</t>
  </si>
  <si>
    <t>Сверло 3,0Р6М5К5 +р18</t>
  </si>
  <si>
    <t>20,40</t>
  </si>
  <si>
    <t>Сверло 3,0х100удл.Р6М5</t>
  </si>
  <si>
    <t>Сверло 3,1Р6М5 / 3,15Р6М5</t>
  </si>
  <si>
    <t>97 / 10</t>
  </si>
  <si>
    <t>Сверло 3,2Р9</t>
  </si>
  <si>
    <t>14,70</t>
  </si>
  <si>
    <t>Сверло 3,2Р6М5</t>
  </si>
  <si>
    <t>Сверло 3,2Р6М5К5 /3,2Р6М5А1</t>
  </si>
  <si>
    <t>36 /20</t>
  </si>
  <si>
    <t>Сверло 3,2удлР6М5К5 / 3,2х100удлР6М5А1</t>
  </si>
  <si>
    <t>8 / 7</t>
  </si>
  <si>
    <t>Сверло 3,3 Р9</t>
  </si>
  <si>
    <t>Сверло 3,3Р6М5</t>
  </si>
  <si>
    <t>Сверло 3,4Р6М5</t>
  </si>
  <si>
    <t>Сверло 3,5Р9</t>
  </si>
  <si>
    <t>16,50</t>
  </si>
  <si>
    <t>Сверло 3,5Р6м5</t>
  </si>
  <si>
    <t>Сверло 3,5Р6М5К5</t>
  </si>
  <si>
    <t>Сверло 3,4удлР6М5А1 /3,5х110удл.Р6М5А1</t>
  </si>
  <si>
    <t>14 / 13</t>
  </si>
  <si>
    <t>Сверло 3,6Р9</t>
  </si>
  <si>
    <t>Сверло 3,6Р6М5 / 3,7Р6М5</t>
  </si>
  <si>
    <t>27 / 51</t>
  </si>
  <si>
    <t>Сверло 3,8Р6М5 / 3,9Р6М5</t>
  </si>
  <si>
    <t>148 / 54</t>
  </si>
  <si>
    <t>18,30</t>
  </si>
  <si>
    <t>Сверло 3,7удл Р6М5 / 3,8удл.Р6М5 / 3,9х120удл.Р6М5</t>
  </si>
  <si>
    <t>9 / 13 / 95</t>
  </si>
  <si>
    <t>Сверло 4,0Р9</t>
  </si>
  <si>
    <t>Сверло 4,0Р6М5 короткое</t>
  </si>
  <si>
    <t>Сверло 4.0Р6М5К5 / 4,0Р18 / 4.0Р6М5А1</t>
  </si>
  <si>
    <t>7 / 18/ 10</t>
  </si>
  <si>
    <t>Сверло 4,0х150дл.Р6М5</t>
  </si>
  <si>
    <t>Сверло 4,1Р9 / 4,2Р9</t>
  </si>
  <si>
    <t>10 / 12</t>
  </si>
  <si>
    <t>Сверло 4,1 Р6М5 / 4,2Р6М5</t>
  </si>
  <si>
    <t>35 / 1</t>
  </si>
  <si>
    <t>Сверло 4,2Р6М5К5+Р18 / 4,2Р6М5А1 / 4,2Р6М5Аtaka</t>
  </si>
  <si>
    <t>20 / 2 / 6</t>
  </si>
  <si>
    <t>Сверло 4,2х120 дл.Р6М5 / 4,3дл.Р6М5 А1</t>
  </si>
  <si>
    <t>Сверло 4,3Р9</t>
  </si>
  <si>
    <t>18,60</t>
  </si>
  <si>
    <t>Сверло 4,3Р6М5 / 4,4Р6М5</t>
  </si>
  <si>
    <t>50 / 61</t>
  </si>
  <si>
    <t>21,90</t>
  </si>
  <si>
    <t>Сверло 4.4х120Р6М5 / 4,4х125удл. Р6М5</t>
  </si>
  <si>
    <t>54 / 24</t>
  </si>
  <si>
    <t>Сверло 4,5Р9</t>
  </si>
  <si>
    <t>19,80</t>
  </si>
  <si>
    <t>Сверло  4,5Р6М5 / 4,6Р6М5</t>
  </si>
  <si>
    <t>34 / 73</t>
  </si>
  <si>
    <t>24,60</t>
  </si>
  <si>
    <t>Сверло 4,5х120дл.Р6М5</t>
  </si>
  <si>
    <t>Сверло 4,7Р6М5 / 4.8 Р6М5</t>
  </si>
  <si>
    <t>57 / 24</t>
  </si>
  <si>
    <t>Сверло 4,7х120дл.Р6М5</t>
  </si>
  <si>
    <t>Сверло 4,8Р6М5К5 / 4,9Р6М5</t>
  </si>
  <si>
    <t>14 / 0</t>
  </si>
  <si>
    <t>Сверло 5,0 Р9</t>
  </si>
  <si>
    <t>Сверло 5,0 Р6М5К5 / 5,0Р6М5А1</t>
  </si>
  <si>
    <t>17 / 0</t>
  </si>
  <si>
    <t>Сверло 5,0дл.Р6М5</t>
  </si>
  <si>
    <t>Сверло 5,1Р6М5К5 / 5,2Р6М5</t>
  </si>
  <si>
    <t>10 / 28</t>
  </si>
  <si>
    <t>Сверло 5,1 Р6М5 А1</t>
  </si>
  <si>
    <t>Сверло 5,2Р9</t>
  </si>
  <si>
    <t>Сверло  5,2Р6М5К5 +Р18 / 5,2HSS-G (P12) BOСSH / 5,2Р6М5А1</t>
  </si>
  <si>
    <t>17 / 8 / 5</t>
  </si>
  <si>
    <t>Сверло 5,1х130 Р6М5 удл / 5,2х130 Р6М5 удл</t>
  </si>
  <si>
    <t>83 / 2</t>
  </si>
  <si>
    <t>Сверло 5,3Р6М5 / 5,3Р9</t>
  </si>
  <si>
    <t>81 / 18</t>
  </si>
  <si>
    <t>Сверло 5,4 Р6М5</t>
  </si>
  <si>
    <t>Сверло 5,5 Р6М5</t>
  </si>
  <si>
    <t>Сверло 5,5удлР6М5</t>
  </si>
  <si>
    <t>Сверло 5,6Р6М5 / 5,7Р6М5</t>
  </si>
  <si>
    <t>27 / 181</t>
  </si>
  <si>
    <t>Сверло 5,7х140удлР6М5А1</t>
  </si>
  <si>
    <t>Сверло 5,8Р6М5 / 5,9Р6М5</t>
  </si>
  <si>
    <t>106 / 59</t>
  </si>
  <si>
    <t>Сверло 6,0 Р9</t>
  </si>
  <si>
    <t>Сверло 6,0 HSS-G (P12) BOСSH</t>
  </si>
  <si>
    <t>56,40</t>
  </si>
  <si>
    <t>Сверло 6,0 Р6М5К5 +Р18</t>
  </si>
  <si>
    <t>Сверло 6,0 х140удл Р6М5 СССР</t>
  </si>
  <si>
    <t>Сверло 6,1Р6М5 / 6,2Р6М5 / 6,3Р6М5</t>
  </si>
  <si>
    <t>243 / 6 / 355</t>
  </si>
  <si>
    <t>Сверло 6,2х150 Р6М5А1 / 6,3х140 Р6М5</t>
  </si>
  <si>
    <t>13 / 37</t>
  </si>
  <si>
    <t>Сверло 6,4Р6М5 / 6,5Р6М5</t>
  </si>
  <si>
    <t>420 / 40</t>
  </si>
  <si>
    <t>Сверло 6,5 Р9</t>
  </si>
  <si>
    <t>Сверло 6,5 Р6М5К5</t>
  </si>
  <si>
    <t>Сверло 6,4удл Р6М5/ 6,5х150удл Р6М5</t>
  </si>
  <si>
    <t>66 / 153</t>
  </si>
  <si>
    <t>Сверло 6,6 Р6М5 / 6,7 Р6М5</t>
  </si>
  <si>
    <t>466 / 17</t>
  </si>
  <si>
    <t>Сверло 6,7х150удл Р6М5</t>
  </si>
  <si>
    <t>Сверло 6,7х150удл Р6М5 А1</t>
  </si>
  <si>
    <t>Сверло 6,8 Р6М5 / 6,9 Р6М5</t>
  </si>
  <si>
    <t>102 / 164</t>
  </si>
  <si>
    <t>Сверло 6,8 А1 Р6М5 / 6,8 Р6АМ5</t>
  </si>
  <si>
    <t>8 / 40</t>
  </si>
  <si>
    <t>Сверло 6,8х140-150 Р6М5 / 6,9х140уд.Р6М5</t>
  </si>
  <si>
    <t>58 / 57</t>
  </si>
  <si>
    <t>Сверло 7,0Р9</t>
  </si>
  <si>
    <t>Сверло 7,0 Р6М5 СССР</t>
  </si>
  <si>
    <t>Сверло 7,0 HSS-G (P12) BOСSH</t>
  </si>
  <si>
    <t>Сверло 7,0удл.Р6М5 / 7,0х150удл.Р6М5</t>
  </si>
  <si>
    <t>176 / 30</t>
  </si>
  <si>
    <t>Сверло 7,0х370удл.Р6М5</t>
  </si>
  <si>
    <t>Сверло 7,1удл. Р6М5/ 7,2х150удл.Р6М5</t>
  </si>
  <si>
    <t>12 / 11</t>
  </si>
  <si>
    <t>Сверло 7,1 Р6М5 / 7,2 Р6М5</t>
  </si>
  <si>
    <t>488 / 139</t>
  </si>
  <si>
    <t>Сверло 7,3Р6М5 / 7,4Р6М5</t>
  </si>
  <si>
    <t>771 / 82</t>
  </si>
  <si>
    <t>Сверло 7,5Р6М5</t>
  </si>
  <si>
    <t>Сверло 7,5 Р6М5К5</t>
  </si>
  <si>
    <t>Сверло 7,3х160удл Р6М5 / 7,5х150удл.Р6М5 / 7,6х160 удл Р6М5</t>
  </si>
  <si>
    <t>9 / 9 / 35</t>
  </si>
  <si>
    <t>Сверло 7,6Р6М5 / 7,7 Р6М5</t>
  </si>
  <si>
    <t>236 / 249</t>
  </si>
  <si>
    <t>Сверло 7,8 Р6М5/ 7,9 Р6М5</t>
  </si>
  <si>
    <t>537 / 216</t>
  </si>
  <si>
    <t>Сверло 8,0Р9</t>
  </si>
  <si>
    <t>Сверло 8,0 Р6М5 СССР</t>
  </si>
  <si>
    <t>Сверло 8,0 HSS (Р6М5) Аtaka</t>
  </si>
  <si>
    <t>Сверло 8,1 Р6М5 / 8,2 Р6М5</t>
  </si>
  <si>
    <t>140 / 15</t>
  </si>
  <si>
    <t>Сверло 8,2Р9</t>
  </si>
  <si>
    <t>Сверло 8,2 Р6М5К5</t>
  </si>
  <si>
    <t>117,00</t>
  </si>
  <si>
    <t>Сверло 8,3удл. Р6М5</t>
  </si>
  <si>
    <t>Сверло  8,3 Р6М5 / 8,4Р6М5</t>
  </si>
  <si>
    <t>603 / 30</t>
  </si>
  <si>
    <t>Сверло 8,5 Р9</t>
  </si>
  <si>
    <t>Сверло 8,5 Р6М5 СССР</t>
  </si>
  <si>
    <t>Сверло 8,4х160удл. Р6М5 / 8,5х160удл Р6М5</t>
  </si>
  <si>
    <t>33 / 127</t>
  </si>
  <si>
    <t>Сверло 8,5х270удл Р6М5 / 8,5х160(100)удл Р6М5А1</t>
  </si>
  <si>
    <t>2 / 20</t>
  </si>
  <si>
    <t>Сверло 8.6удл Р6М5</t>
  </si>
  <si>
    <t>Сверло 8,6 Р6М5/ 8,7 Р6М5</t>
  </si>
  <si>
    <t>233 / 493</t>
  </si>
  <si>
    <t>Сверло 8,7х170 Р6М5</t>
  </si>
  <si>
    <t>Сверло 8,8 Р6М5/ 8,9Р6М5</t>
  </si>
  <si>
    <t>79 / 37</t>
  </si>
  <si>
    <t>Сверло 8.9х170удл. Р6М5</t>
  </si>
  <si>
    <t>Сверло 9,0 Р9</t>
  </si>
  <si>
    <t>Сверло 9,0 Р6М5 / 9,1Р6М5</t>
  </si>
  <si>
    <t>96 / 99</t>
  </si>
  <si>
    <t>Сверло 9,0х170-180 удл.Р6М5 / 9,0х300дл.Р6М5</t>
  </si>
  <si>
    <t>44 / 99</t>
  </si>
  <si>
    <t>Сверло 9,2 Р6М5/ 9,3Р6М5</t>
  </si>
  <si>
    <t>112 / 126</t>
  </si>
  <si>
    <t>Сверло 9,4 Р6М5/ 9,5Р6М5</t>
  </si>
  <si>
    <t>153 / 601</t>
  </si>
  <si>
    <t>96,60</t>
  </si>
  <si>
    <t>Сверло 9,3х200удл Р6М5 / 9,5удл. Р6М5/ 9,5х170удл. Р6М5</t>
  </si>
  <si>
    <t>10 / 117 / 2</t>
  </si>
  <si>
    <t>Сверло 9,6 Р6М5 / 9,7Р6М5</t>
  </si>
  <si>
    <t>448 / 170</t>
  </si>
  <si>
    <t>Сверло 9,6х185(110)удл Р6М5 / 9,7удл.Р6М5/ 9.8х180удл.Р6М5</t>
  </si>
  <si>
    <t>2 / 7 / 13</t>
  </si>
  <si>
    <t>Сверло 9,8 Р6М5/ 9,9Р6М5</t>
  </si>
  <si>
    <t>315 / 208</t>
  </si>
  <si>
    <t>102,00</t>
  </si>
  <si>
    <t>Сверло 10,0Р6М5 / 10,1 Р6М5</t>
  </si>
  <si>
    <t>31 / 183</t>
  </si>
  <si>
    <t>Сверло 10,0Р9</t>
  </si>
  <si>
    <t>Сверло 10,0Р6М5К5 / Аtaka</t>
  </si>
  <si>
    <t>31 / 10</t>
  </si>
  <si>
    <t>171,00</t>
  </si>
  <si>
    <t>Сверло 10.1 удл Р6М5</t>
  </si>
  <si>
    <t>Сверло 10,2Р6М5</t>
  </si>
  <si>
    <t>Сверло 10,2 Р6М5К5 / А1 булат</t>
  </si>
  <si>
    <t>Сверло 10.2х180удл Р6М5</t>
  </si>
  <si>
    <t>Сверло 10,3 Р6М5 / 10,4Р6М5</t>
  </si>
  <si>
    <t>23 / 22</t>
  </si>
  <si>
    <t>Сверло 10,5Р9</t>
  </si>
  <si>
    <t>Сверло 10.5Р6М5</t>
  </si>
  <si>
    <t>Сверло 10.5 HSS-G (P12) BOСSH</t>
  </si>
  <si>
    <t>Сверло 10,5х220дл. Р6М5</t>
  </si>
  <si>
    <t>168,00</t>
  </si>
  <si>
    <t>Сверло 10,6 Р6М5К5</t>
  </si>
  <si>
    <t>Сверло 10,6Р6М5 / 10,7Р6М5</t>
  </si>
  <si>
    <t>21 / 27</t>
  </si>
  <si>
    <t>Сверло 10,8Р6М5 / 10,9Р6М5</t>
  </si>
  <si>
    <t>31 / 187 / 35</t>
  </si>
  <si>
    <t>Сверло 10,7х190удл Р6М5 / 10.8удл.Р6М5</t>
  </si>
  <si>
    <t>60 / 1</t>
  </si>
  <si>
    <t>Сверло 11,0 Р9</t>
  </si>
  <si>
    <t>Сверло 11,0Р6М5 / 11.1 Р6М5</t>
  </si>
  <si>
    <t>1 / 43</t>
  </si>
  <si>
    <t>Сверло 11,0 Р6М5К5 /Аtaka</t>
  </si>
  <si>
    <t>Сверло 11.0х195удл. Р6М5</t>
  </si>
  <si>
    <t>Сверло 11.2 Р6М5 / 11,3Р6М5</t>
  </si>
  <si>
    <t>52 / 233</t>
  </si>
  <si>
    <t>155,00</t>
  </si>
  <si>
    <t>Сверло 11,4 удл Р6М5</t>
  </si>
  <si>
    <t>Сверло 11,5Р9</t>
  </si>
  <si>
    <t>Сверло 11,5Р6М5 / 11,6Р6М5</t>
  </si>
  <si>
    <t>35 / 50</t>
  </si>
  <si>
    <t>Сверло 11,5х190 удл Р6М5/ 11,8удл.Р6М5</t>
  </si>
  <si>
    <t>29 / 7</t>
  </si>
  <si>
    <t>Сверло 12,0Р9</t>
  </si>
  <si>
    <t>Сверло 12,0Р6М5</t>
  </si>
  <si>
    <t>Сверло 12,0Р6М5К5</t>
  </si>
  <si>
    <t>231,00</t>
  </si>
  <si>
    <t>Сверло 12,2Р9 / 12,2Р6М5</t>
  </si>
  <si>
    <t>Сверло 12,3 Р6М5/ 12,4 Р6М5</t>
  </si>
  <si>
    <t>Сверло 12,5 Р6М5 / 12,6Р6М5</t>
  </si>
  <si>
    <t>0 / 10</t>
  </si>
  <si>
    <t>Сверло 12,5Р6М5К5</t>
  </si>
  <si>
    <t>Сверло 12,5 200(120) Р6М5</t>
  </si>
  <si>
    <t>Сверло 12,7 Р6М5/ 12,8Р6М5</t>
  </si>
  <si>
    <t>56 / 38</t>
  </si>
  <si>
    <t>Сверло 12,8удл.Р6М5</t>
  </si>
  <si>
    <t>4 /52</t>
  </si>
  <si>
    <t>Сверло 13,0Р9</t>
  </si>
  <si>
    <t>Сверло 13.0Р6М5</t>
  </si>
  <si>
    <t>Сверло 13,0Р6М5К5 / Аtaka</t>
  </si>
  <si>
    <t>0 / 3</t>
  </si>
  <si>
    <t>Сверло 13,0удл.Р6М5</t>
  </si>
  <si>
    <t>Сверло 13,2удл.Р6М5 / 13,5удл.Р6М5</t>
  </si>
  <si>
    <t>8 / 44</t>
  </si>
  <si>
    <t>Сверло 13,1 Р6М5/ 13,2Р6М5</t>
  </si>
  <si>
    <t>43 / 214</t>
  </si>
  <si>
    <t>Сверло 13,3 Р6М5/ 13,5Р6М5</t>
  </si>
  <si>
    <t>72 / 28</t>
  </si>
  <si>
    <t>Сверло 13,7 Р6М5/ 13,8Р6М5</t>
  </si>
  <si>
    <t>105 / 15</t>
  </si>
  <si>
    <t>Сверло 13,8удл Р6М5</t>
  </si>
  <si>
    <t>Сверло 14,0Р9</t>
  </si>
  <si>
    <t>Сверло 14,0Р6М5</t>
  </si>
  <si>
    <t>Сверло 14,0Р6М5К5 Аtaka</t>
  </si>
  <si>
    <t>Сверло 14,0 (220х120)удл Р6М5</t>
  </si>
  <si>
    <t>Сверло 14,5Р9 / 14,5Р6М5</t>
  </si>
  <si>
    <t>0 / 5</t>
  </si>
  <si>
    <t>Сверло 14,25удл Р6М5 / 14,5удл Р6М5</t>
  </si>
  <si>
    <t>4 / 18</t>
  </si>
  <si>
    <t>Сверло 14.6 Р6М5 / 14,75Р6М5</t>
  </si>
  <si>
    <t>35 / 0</t>
  </si>
  <si>
    <t>Сверло 15,0 Р6М5 / 15,25 Р6М5</t>
  </si>
  <si>
    <t>4 / 2</t>
  </si>
  <si>
    <t>Сверло 15,0Р9</t>
  </si>
  <si>
    <t>Сверло 15,0Р6М5К5 Аtaka /15,0Р6М5</t>
  </si>
  <si>
    <t>Сверло 15,0удл Р6М5 / 15.5х230удлР6М5</t>
  </si>
  <si>
    <t>10 / 11</t>
  </si>
  <si>
    <t>Сверло 15.4 Р6М5 / 15,5Р6М5</t>
  </si>
  <si>
    <t>19 / 6</t>
  </si>
  <si>
    <t>Сверло 16,0 Р9 / 16,0Р6М5</t>
  </si>
  <si>
    <t>Сверло 16,25 Р6М5 / 16.5Р6М5</t>
  </si>
  <si>
    <t>38 / 5</t>
  </si>
  <si>
    <t>Сверло 16,5х240удл Р6М5</t>
  </si>
  <si>
    <t>Сверло 17,25х240удл Р6М5</t>
  </si>
  <si>
    <t>Сверло 17.5 Р6М5</t>
  </si>
  <si>
    <t>Сверло 18.5 Р6М5 / 18.75 Р6М5</t>
  </si>
  <si>
    <t>0 / 16</t>
  </si>
  <si>
    <t>Сверло 19.0 Р6М5 / 19.5 Р6М5</t>
  </si>
  <si>
    <t>16 / 6</t>
  </si>
  <si>
    <t>Сверло 19,75 Р6М5</t>
  </si>
  <si>
    <t>Сверло 27,0 Р6М5 / 28,0 Р6М5</t>
  </si>
  <si>
    <t>14. С В Е Р Л А КОН./ ХВ. - Р6М5</t>
  </si>
  <si>
    <t>Сверло 6,0 / 6,2</t>
  </si>
  <si>
    <t>8 / 84</t>
  </si>
  <si>
    <t>Сверло 6.0х220(150)удл.</t>
  </si>
  <si>
    <t>Сверло 6,5 / 6,6 / 6,7</t>
  </si>
  <si>
    <t>17 / 1 / 1</t>
  </si>
  <si>
    <t>Сверло 7,0 / 7,2</t>
  </si>
  <si>
    <t>16 / 39</t>
  </si>
  <si>
    <t>Сверло 7,0х230 / 7,2х240 удл</t>
  </si>
  <si>
    <t>8 / 17</t>
  </si>
  <si>
    <t>Сверло 7,5 / 7,8</t>
  </si>
  <si>
    <t>35 / 662</t>
  </si>
  <si>
    <t>Сверло 7.5х230(160)удл / 7,8х240х150удл</t>
  </si>
  <si>
    <t>1 / 67</t>
  </si>
  <si>
    <t>Сверло 8,0</t>
  </si>
  <si>
    <t>Сверло 8,0х240удл.</t>
  </si>
  <si>
    <t>Сверло 8,2 / 8,5 / 8,8</t>
  </si>
  <si>
    <t>82 / 0 / 50</t>
  </si>
  <si>
    <t>Сверло 8,5х240удл.</t>
  </si>
  <si>
    <t>Сверло 9,0</t>
  </si>
  <si>
    <t>Сверло 9,0х190удл</t>
  </si>
  <si>
    <t>Сверло 9,2 / 9,5 / 9,8</t>
  </si>
  <si>
    <t>3 / 98 / 25</t>
  </si>
  <si>
    <t>Сверло 9,8х100 удл</t>
  </si>
  <si>
    <t>Сверло 10,0 / 10,2</t>
  </si>
  <si>
    <t>283 / 70</t>
  </si>
  <si>
    <t>Сверло 10,5 / 10,8</t>
  </si>
  <si>
    <t>177 / 242</t>
  </si>
  <si>
    <t>Сверло 10,0х200удл. / 10х220удл.</t>
  </si>
  <si>
    <t>248 / 82</t>
  </si>
  <si>
    <t>Сверло 10,0х250удл. / 10.0х280удл.</t>
  </si>
  <si>
    <t>16 / 31</t>
  </si>
  <si>
    <t>Сверло 10,2х210удл. / 10.2х250Дл. / 10.2х280Дл.</t>
  </si>
  <si>
    <t>11 / 16 / 1</t>
  </si>
  <si>
    <t>Сверло 10,5х250 удл. / 10,5х300 удл.</t>
  </si>
  <si>
    <t>4 / 54</t>
  </si>
  <si>
    <t>Сверло 10,7удл. / 10,8удл.</t>
  </si>
  <si>
    <t>19 / 120</t>
  </si>
  <si>
    <t>195,00</t>
  </si>
  <si>
    <t>Сверло 11,0</t>
  </si>
  <si>
    <t>58+231</t>
  </si>
  <si>
    <t>Сверло 11,0х210удл. / 11,0х250удл.</t>
  </si>
  <si>
    <t>146 / 57</t>
  </si>
  <si>
    <t>Сверло 11,2удл. / 11,5удл.</t>
  </si>
  <si>
    <t>114 / 29</t>
  </si>
  <si>
    <t>Сверло 11,2 / 11,5 / 11,8</t>
  </si>
  <si>
    <t>129 /445 /150</t>
  </si>
  <si>
    <t>Сверло 12,0 / 12.2</t>
  </si>
  <si>
    <t>110 / 30</t>
  </si>
  <si>
    <t>Сверло 12,5х260 удл.</t>
  </si>
  <si>
    <t>Сверло 12,5 / 12,8</t>
  </si>
  <si>
    <t>133 / 16</t>
  </si>
  <si>
    <t>Сверло 12.7х260</t>
  </si>
  <si>
    <t>Сверло 13,0</t>
  </si>
  <si>
    <t>225,00</t>
  </si>
  <si>
    <t>Сверло 13х230 / 13х280 / 13х300удл.</t>
  </si>
  <si>
    <t>12 / 53 / 2</t>
  </si>
  <si>
    <t>Сверло 13,2х280удл / 13,8удл</t>
  </si>
  <si>
    <t>18 / 11</t>
  </si>
  <si>
    <t>Сверло 13,2 / 13,5 / 13.8</t>
  </si>
  <si>
    <t>128 / 67 / 63</t>
  </si>
  <si>
    <t>235,00</t>
  </si>
  <si>
    <t>Сверло 14,0</t>
  </si>
  <si>
    <t>252,00</t>
  </si>
  <si>
    <t>Сверло 14,0х280удл</t>
  </si>
  <si>
    <t>Сверло 14,0х300удл.</t>
  </si>
  <si>
    <t>Сверло 14,0х320удл.</t>
  </si>
  <si>
    <t>342,00</t>
  </si>
  <si>
    <t>Сверло 14,25</t>
  </si>
  <si>
    <t>Сверло 14,25х300удл.</t>
  </si>
  <si>
    <t>Сверло 14,5</t>
  </si>
  <si>
    <t>Сверло 14,5х250удл. / 14,5х290удл.</t>
  </si>
  <si>
    <t>8 / 56</t>
  </si>
  <si>
    <t>Сверло 14,5х415удл.</t>
  </si>
  <si>
    <t>Сверло 14,75х300</t>
  </si>
  <si>
    <t>Сверло 14,75х400удл.</t>
  </si>
  <si>
    <t>Сверло 15,0мм</t>
  </si>
  <si>
    <t>Сверло 15,0х250мм / 15х280мм</t>
  </si>
  <si>
    <t>Сверло 15,0х300 / 15,0х400удл.</t>
  </si>
  <si>
    <t>249 / 4</t>
  </si>
  <si>
    <t>Сверло 15,25х300удл / 15,5х300 удл.</t>
  </si>
  <si>
    <t>2 / 60</t>
  </si>
  <si>
    <t>Сверло 15,2 / 15,25 / 15,5 / 15.75</t>
  </si>
  <si>
    <t>12/16 / 15 / 0</t>
  </si>
  <si>
    <t>Сверло 15,75х300</t>
  </si>
  <si>
    <t>Сверло 16,0</t>
  </si>
  <si>
    <t>Сверло 16,0х300дл</t>
  </si>
  <si>
    <t>Сверло 16,0х600удл.</t>
  </si>
  <si>
    <t>Сверло 16,25 / 16,5</t>
  </si>
  <si>
    <t>22 / 25</t>
  </si>
  <si>
    <t>309,00</t>
  </si>
  <si>
    <t>Сверло 16,5х300удл. / 16.75х300</t>
  </si>
  <si>
    <t>80 / 15</t>
  </si>
  <si>
    <t>Сверло 16,75</t>
  </si>
  <si>
    <t>312,00</t>
  </si>
  <si>
    <t>Сверло 17,0 / 17.25</t>
  </si>
  <si>
    <t>398 / 46</t>
  </si>
  <si>
    <t>Сверло 17,0х250-320дл.</t>
  </si>
  <si>
    <t>Сверло 17,4 / 17,5</t>
  </si>
  <si>
    <t>19 / 38</t>
  </si>
  <si>
    <t>Сверло 17,4х330(220)дл.</t>
  </si>
  <si>
    <t>Сверло 17.5х320 / 17,6х350</t>
  </si>
  <si>
    <t>33 / 7</t>
  </si>
  <si>
    <t>Сверло 17,75х330(200)дл.</t>
  </si>
  <si>
    <t>Сверло 18.0</t>
  </si>
  <si>
    <t>Сверло 18.0х300 (170)</t>
  </si>
  <si>
    <t>Сверло 18,0х320 (220) / 18,0х250 (190)</t>
  </si>
  <si>
    <t>29 / 5</t>
  </si>
  <si>
    <t>Сверло 18,25 / 18,5</t>
  </si>
  <si>
    <t>5 / 32</t>
  </si>
  <si>
    <t>Сверло 18,25х310(100) / 18,5х330 удл.</t>
  </si>
  <si>
    <t>5 / 3</t>
  </si>
  <si>
    <t>Сверло 18,5х400удл. / 18,5х450удл.</t>
  </si>
  <si>
    <t>2 / 56</t>
  </si>
  <si>
    <t>Сверло 18,75</t>
  </si>
  <si>
    <t>Сверло 19,0 / 19.25 / 19,4</t>
  </si>
  <si>
    <t>44 / 32 / 7</t>
  </si>
  <si>
    <t>Сверло 19х300 удл.</t>
  </si>
  <si>
    <t>492,00</t>
  </si>
  <si>
    <t>Сверло 19,5 / 19,75</t>
  </si>
  <si>
    <t>50 / 27</t>
  </si>
  <si>
    <t>432,00</t>
  </si>
  <si>
    <t>Сверло 19,75х340 (220) удл.</t>
  </si>
  <si>
    <t>Сверло 20,0 / 20,25</t>
  </si>
  <si>
    <t>Сверло 20,0х300-350удл</t>
  </si>
  <si>
    <t>Сверло 20,0х650 (130)удл</t>
  </si>
  <si>
    <t>Сверло 20,25х320(220)удл</t>
  </si>
  <si>
    <t>Сверло 20,5х300 / 20,5х350удл</t>
  </si>
  <si>
    <t>40 / 23</t>
  </si>
  <si>
    <t>Сверло 20,5 / 20.75</t>
  </si>
  <si>
    <t>0 / 21</t>
  </si>
  <si>
    <t>Сверло 20,75х330удл</t>
  </si>
  <si>
    <t>Сверло 20,8 / 20,9</t>
  </si>
  <si>
    <t>3 / 16</t>
  </si>
  <si>
    <t>Сверло 21,0 / 21.25</t>
  </si>
  <si>
    <t>30 / 17</t>
  </si>
  <si>
    <t>Сверло 21.0х320удл. / 21,0х400(300)</t>
  </si>
  <si>
    <t>15 / 12</t>
  </si>
  <si>
    <t>Сверло ступенчатое 21.0х18х40 к/хв удл</t>
  </si>
  <si>
    <t>Сверло 21,25х330(230)</t>
  </si>
  <si>
    <t>Сверло 21.5</t>
  </si>
  <si>
    <t>Сверло 21.5х290дл.</t>
  </si>
  <si>
    <t>Сверло 21.5х490(260)удл. / 21,5х350(220)удл</t>
  </si>
  <si>
    <t>1 / 99</t>
  </si>
  <si>
    <t>Сверло 21.5х730(220)удл.</t>
  </si>
  <si>
    <t>Сверло 22.0</t>
  </si>
  <si>
    <t>Сверло 22.0х420(260)удл</t>
  </si>
  <si>
    <t>Сверло 22.25 / 22,5 / 22,75</t>
  </si>
  <si>
    <t>9 / 23 / 29</t>
  </si>
  <si>
    <t>Сверло 23,0 / 23,25</t>
  </si>
  <si>
    <t>27 / 25</t>
  </si>
  <si>
    <t>Сверло 23.0х330(230)удл / 23.0х340(240)удл</t>
  </si>
  <si>
    <t>2 / 17</t>
  </si>
  <si>
    <t>Сверло 23.0х400(170)удл</t>
  </si>
  <si>
    <t>Сверло 23,5 / 23,75</t>
  </si>
  <si>
    <t>17 / 28</t>
  </si>
  <si>
    <t>Сверло 23,9 / 24,0</t>
  </si>
  <si>
    <t>4 / 38</t>
  </si>
  <si>
    <t>Сверло 24х280 / 24,0х320(200)удл. / 24,0х360-400удл.</t>
  </si>
  <si>
    <t>16 / 3 / 41</t>
  </si>
  <si>
    <t>Сверло 24.25х340-360удл.</t>
  </si>
  <si>
    <t>Сверло 24,25 / 24,5 / 24,75</t>
  </si>
  <si>
    <t>24 / 22 / 15</t>
  </si>
  <si>
    <t>558,00</t>
  </si>
  <si>
    <t>Сверло 24,5х300 / 24,5х350удл.</t>
  </si>
  <si>
    <t>Сверло 25,0</t>
  </si>
  <si>
    <t>Сверло 25,0удл. / 25х380 (200)</t>
  </si>
  <si>
    <t>42 / 2</t>
  </si>
  <si>
    <t>Сверло 25,25</t>
  </si>
  <si>
    <t>Сверло 25,5 / 25,75</t>
  </si>
  <si>
    <t>18 / 9</t>
  </si>
  <si>
    <t>Сверло 26,0</t>
  </si>
  <si>
    <t>Сверло 26,0х300удл. / 26,0х380удл.</t>
  </si>
  <si>
    <t>Сверло 26,25 / 26,5 / 26.75</t>
  </si>
  <si>
    <t>10 / 8 / 4</t>
  </si>
  <si>
    <t>Сверло 27.0</t>
  </si>
  <si>
    <t>Сверло 27,0х380(250) удл</t>
  </si>
  <si>
    <t>Сверло 27,25 / 27,5</t>
  </si>
  <si>
    <t>Сверло 27,75</t>
  </si>
  <si>
    <t>Сверло 28,0</t>
  </si>
  <si>
    <t>Сверло 28,0х340(200)удл / 28х380удл./ 28.25х350удл</t>
  </si>
  <si>
    <t>25 / 6 / 5</t>
  </si>
  <si>
    <t>Сверло 28,1 / 28,25 / 28,3</t>
  </si>
  <si>
    <t>4 / 22 / 2</t>
  </si>
  <si>
    <t>Сверло 28,5 / 28,75</t>
  </si>
  <si>
    <t>18 / 16</t>
  </si>
  <si>
    <t>Сверло 29,0</t>
  </si>
  <si>
    <t>Сверло 29,0х400удл.</t>
  </si>
  <si>
    <t>Сверло 29,25 / 29.5</t>
  </si>
  <si>
    <t>Сверло 30,0</t>
  </si>
  <si>
    <t>Сверло 30,0х350удл. / 30,0х400(250)удл.</t>
  </si>
  <si>
    <t>Сверло 30,25 / 30,5 / 30,75</t>
  </si>
  <si>
    <t>0 / 12 / 16</t>
  </si>
  <si>
    <t>Сверло 31,0</t>
  </si>
  <si>
    <t>Сверло 31,25 / 31,5</t>
  </si>
  <si>
    <t>14 / 20</t>
  </si>
  <si>
    <t>Сверло 32,0</t>
  </si>
  <si>
    <t>Сверло 32.5х400</t>
  </si>
  <si>
    <t>Сверло 32,25 / 32,5</t>
  </si>
  <si>
    <t>5 / 7</t>
  </si>
  <si>
    <t>Сверло 33,0</t>
  </si>
  <si>
    <t>Сверло 33,25 / 33,5</t>
  </si>
  <si>
    <t>7 / 14</t>
  </si>
  <si>
    <t>Сверло 33,5х330удл.</t>
  </si>
  <si>
    <t>Сверло 34,0 / 34,5</t>
  </si>
  <si>
    <t>13 / 22</t>
  </si>
  <si>
    <t>Сверло 35,0</t>
  </si>
  <si>
    <t>Сверло 35,5 / 35,75</t>
  </si>
  <si>
    <t>12 / 5</t>
  </si>
  <si>
    <t>Сверло 35,75х400</t>
  </si>
  <si>
    <t>Сверло 36,0 / 36,5</t>
  </si>
  <si>
    <t>17 / 15</t>
  </si>
  <si>
    <t>Сверло 36,0х400 / 36,5х400удл.</t>
  </si>
  <si>
    <t>16 / 2</t>
  </si>
  <si>
    <t>Сверло 37,0 / 37,5</t>
  </si>
  <si>
    <t>27 / 31</t>
  </si>
  <si>
    <t>Сверло 37,5х400удл.</t>
  </si>
  <si>
    <t>Сверло 38,0 / 38,5</t>
  </si>
  <si>
    <t>0 / 4</t>
  </si>
  <si>
    <t>Сверло 38,0удл / 38,0х400(200)удл.</t>
  </si>
  <si>
    <t>Сверло 39,0 / 39,25 / 39,5</t>
  </si>
  <si>
    <t>4 / 7 / 9</t>
  </si>
  <si>
    <t>Сверло 40,0 / 40,5</t>
  </si>
  <si>
    <t>6 / 5</t>
  </si>
  <si>
    <t>870,00</t>
  </si>
  <si>
    <t>Сверло 40х400 (200) / 40х400 (280)</t>
  </si>
  <si>
    <t>Сверло 41,0 / 41,25</t>
  </si>
  <si>
    <t>6 / 2</t>
  </si>
  <si>
    <t>Сверло 41,5 / 42,0</t>
  </si>
  <si>
    <t>15 / 7</t>
  </si>
  <si>
    <t>Сверло 42х450 / 43х400</t>
  </si>
  <si>
    <t>3 / 11</t>
  </si>
  <si>
    <t>Сверло 42,5 / 43,0</t>
  </si>
  <si>
    <t>1 / 13</t>
  </si>
  <si>
    <t>Сверло 43,5 / 44,0</t>
  </si>
  <si>
    <t>3 / 5</t>
  </si>
  <si>
    <t>Сверло 44,5удл</t>
  </si>
  <si>
    <t>Сверло  44,5 / 45,0</t>
  </si>
  <si>
    <t>Сверло 45,0х400(220-240)удл / 45,0х440(250)удл</t>
  </si>
  <si>
    <t>Сверло 45,5</t>
  </si>
  <si>
    <t>Сверло 46,0 / 47,5</t>
  </si>
  <si>
    <t>Сверло 47,0 (б/у) / 48,0 (б/у)</t>
  </si>
  <si>
    <t>Сверло 48,0 / 49,0</t>
  </si>
  <si>
    <t>8 / 2</t>
  </si>
  <si>
    <t>Сверло 50.0 КМ4</t>
  </si>
  <si>
    <t>Сверло 50.0 легкое б/у / без заточки</t>
  </si>
  <si>
    <t>Сверло 50,0х400 (220)</t>
  </si>
  <si>
    <t>1620,00</t>
  </si>
  <si>
    <t>Сверло 50,5 / 51.0</t>
  </si>
  <si>
    <t>Сверло 52,0 / 53,0 / 53.5</t>
  </si>
  <si>
    <t>5 / 8 / 1</t>
  </si>
  <si>
    <t>1590,00</t>
  </si>
  <si>
    <t>Сверло 52,0х400дл. / 53,0х650(300)удл.</t>
  </si>
  <si>
    <t>Сверло 54,0 / 55,0</t>
  </si>
  <si>
    <t>13 / 0</t>
  </si>
  <si>
    <t>Сверло 54х500 / 55х500дл.</t>
  </si>
  <si>
    <t>Сверло  56.0 / 57,0 / 58.0</t>
  </si>
  <si>
    <t>1 / 4 / 0</t>
  </si>
  <si>
    <t>2650,00</t>
  </si>
  <si>
    <t>Сверло 60,0 КМ5 / 60,0 ступенчатое, переточено</t>
  </si>
  <si>
    <t>3400,00</t>
  </si>
  <si>
    <t>Сверло 60,0х470(270) КМ5</t>
  </si>
  <si>
    <t>Сверло 62,0</t>
  </si>
  <si>
    <t>Сверло 65,0</t>
  </si>
  <si>
    <t>Сверло кольцевое 66,0</t>
  </si>
  <si>
    <t>Сверло 68.0</t>
  </si>
  <si>
    <t>Сверло 70,0</t>
  </si>
  <si>
    <t>3450,00</t>
  </si>
  <si>
    <t>Сверло 72,0</t>
  </si>
  <si>
    <t>Сверло 72,0 КМ5 б.у</t>
  </si>
  <si>
    <t>Сверло 78,0 КМ6 Р6М5К5</t>
  </si>
  <si>
    <t>Перо к сверлу 76мм</t>
  </si>
  <si>
    <t>Сверло-зенкер комбиниров. D75xd28хL580(400)мм КМ5+зап.2шт (70 и 75мм)</t>
  </si>
  <si>
    <t>15. С ВЕ Р Л А П О В Ы Ш Е Н Н О Й Т В Е Р Д О С Т И - ВК6М, ВК8, Р9, Р12, Р18</t>
  </si>
  <si>
    <t>Сверло монолитное 0,6 / 0,75 / 0,8 ВК6-М</t>
  </si>
  <si>
    <t>54 / 2 / 40</t>
  </si>
  <si>
    <t>Сверло монолитное 0,9 / 0,95 / 1,0 ВК6-М</t>
  </si>
  <si>
    <t>154 / 20/342</t>
  </si>
  <si>
    <t>Сверло монолитное 1,1 / 1,2 ВК6-М</t>
  </si>
  <si>
    <t>60 / 44</t>
  </si>
  <si>
    <t>10,60</t>
  </si>
  <si>
    <t>Сверло монолитное 1,3 / 1,4 ВК6-М</t>
  </si>
  <si>
    <t>348 / 104</t>
  </si>
  <si>
    <t>11,40</t>
  </si>
  <si>
    <t>Сверло монолитное 1,5 / 1,6 ВК6-М</t>
  </si>
  <si>
    <t>198 / 74</t>
  </si>
  <si>
    <t>12,90</t>
  </si>
  <si>
    <t>Сверло монолитное 1,7 / 1,9 ВК6-М</t>
  </si>
  <si>
    <t>74 / 11</t>
  </si>
  <si>
    <t>Сверло 1,9 Р18</t>
  </si>
  <si>
    <t>Сверло монолитное 2,0ВК6-М Кл.А</t>
  </si>
  <si>
    <t>Сверло 2.9 Р18 удл.</t>
  </si>
  <si>
    <t>Сверло монолитное 3,0 ВК6-М</t>
  </si>
  <si>
    <t>Сверло 3,0 Р18 удл (150храб.40мм)</t>
  </si>
  <si>
    <t>Сверло 3,0Р18 / 3,2 Р18 / 3,3Р18</t>
  </si>
  <si>
    <t>10 / 4 / 5</t>
  </si>
  <si>
    <t>Сверло 3,3 (100/60) Р18</t>
  </si>
  <si>
    <t>Сверло 3,5 Р18</t>
  </si>
  <si>
    <t>Сверло 4,0 Р18</t>
  </si>
  <si>
    <t>Сверло 4,2 Р18</t>
  </si>
  <si>
    <t>33,30</t>
  </si>
  <si>
    <t>Сверло монолитное 4,3 ВК8 (раб. 15мм)</t>
  </si>
  <si>
    <t>Сверло 4,5 Р18</t>
  </si>
  <si>
    <t>Сверло 4.6 Р18 лев.</t>
  </si>
  <si>
    <t>Сверло 4.8 Р18</t>
  </si>
  <si>
    <t>Сверло конич. 5,0х60 (1:50) Р18</t>
  </si>
  <si>
    <t>Сверло 5,0 Р18</t>
  </si>
  <si>
    <t>Сверло 5,2 Р18</t>
  </si>
  <si>
    <t>Сверло 5,5 Р18</t>
  </si>
  <si>
    <t>Сверло 6,0 Р18</t>
  </si>
  <si>
    <t>Сверло 6.2 Р18 лев.</t>
  </si>
  <si>
    <t>Сверло 6,3 Р18 / 6,5Р6М5К5</t>
  </si>
  <si>
    <t>Сверло 6,5 к/хв Р18</t>
  </si>
  <si>
    <t>Сверло 6,5х150ц/хв Р18</t>
  </si>
  <si>
    <t>Сверло 6,7х300ц/хв Р18</t>
  </si>
  <si>
    <t>Сверло 6,9ц/хв Р12</t>
  </si>
  <si>
    <t>Сверло 7,0 Р18К5</t>
  </si>
  <si>
    <t>82,00</t>
  </si>
  <si>
    <t>Сверло 7,0 к/хв Р9</t>
  </si>
  <si>
    <t>Сверло 7,1ц/хв Р18 / 7,2ц/хв Р12 ц/хв</t>
  </si>
  <si>
    <t>6 / 1</t>
  </si>
  <si>
    <t>Сверло 7,3 ц/хв Р18</t>
  </si>
  <si>
    <t>Сверло 7,3 ц/хв Р18 лев.</t>
  </si>
  <si>
    <t>Сверло 7,6 ц/хв ВК8</t>
  </si>
  <si>
    <t>Сверло 7,7 ц/хв Р18</t>
  </si>
  <si>
    <t>Сверло 7,7х150ц/хв Р18</t>
  </si>
  <si>
    <t>Сверло 7,8 Р18ц/хв лев. / 7,9 Р18ц/хв лев.</t>
  </si>
  <si>
    <t>100 / 4</t>
  </si>
  <si>
    <t>Сверло 8,1х160(110) ц/хв Р18</t>
  </si>
  <si>
    <t>Сверло 8,4 к/хв Р18</t>
  </si>
  <si>
    <t>Сверло 8,5ц/хв Р18</t>
  </si>
  <si>
    <t>Сверло 8,5 Р18 удл (165/110)</t>
  </si>
  <si>
    <t>Сверло 8,8лев. Р18</t>
  </si>
  <si>
    <t>Сверло 8,8х170удл ц/хв Р18</t>
  </si>
  <si>
    <t>Сверло 8,9 ц/хв Р9К5</t>
  </si>
  <si>
    <t>Сверло 9,0ц/хв Р18</t>
  </si>
  <si>
    <t>Сверло 9,0 к/хв Р6М5К5</t>
  </si>
  <si>
    <t>Сверло 9,2 к/хв Р18</t>
  </si>
  <si>
    <t>Сверло 9,4ц/хв Р18лев.</t>
  </si>
  <si>
    <t>Сверло 9,5ц/хв Р18 / 9,5ц/хв Р12 ц/хв</t>
  </si>
  <si>
    <t>114,00</t>
  </si>
  <si>
    <t>Сверло 9,6ц/хв Р18 ц/хв</t>
  </si>
  <si>
    <t>Сверло 9,7ц/хв Р18 / 9,7ц/хв Р18 лев.</t>
  </si>
  <si>
    <t>17 / 4</t>
  </si>
  <si>
    <t>Сверло 10,0ц/хв Р18</t>
  </si>
  <si>
    <t>Сверло 10,0ц/хв ВК8</t>
  </si>
  <si>
    <t>Сверло 10,2ц/хв Р18</t>
  </si>
  <si>
    <t>5+4</t>
  </si>
  <si>
    <t>Сверло 10,3х250к/хв Р18</t>
  </si>
  <si>
    <t>Сверло 10,5ц/хв Р18</t>
  </si>
  <si>
    <t>Сверло 10,5 Р18 удл (185/120)</t>
  </si>
  <si>
    <t>Сверло 10,8 к/хв Р18</t>
  </si>
  <si>
    <t>Сверло 11,5 ц/хв Р18</t>
  </si>
  <si>
    <t>Сверло 12,0Р18 ц/хв /12,0 ц/хв ВК8</t>
  </si>
  <si>
    <t>2 / 9</t>
  </si>
  <si>
    <t>Сверло 12,0 к/хв Р18</t>
  </si>
  <si>
    <t>Сверло 13,0х300 к/хв Р18</t>
  </si>
  <si>
    <t>Сверло 13,9х220 ц/хв Р9</t>
  </si>
  <si>
    <t>Сверло 14,0к/хв Р6М5К5</t>
  </si>
  <si>
    <t>Сверло 14,5к/хв ВК8</t>
  </si>
  <si>
    <t>Сверло 15,0к/хв ВК8</t>
  </si>
  <si>
    <t>288,00</t>
  </si>
  <si>
    <t>Сверло 15,0х400к/хв Р18 / 15,0х300(200)к/хв Р18</t>
  </si>
  <si>
    <t>Сверло 15,25к/хв Р18</t>
  </si>
  <si>
    <t>Сверло 15,3х400к/хв Р18 / 15.4х340к/хв Р18</t>
  </si>
  <si>
    <t>Сверло 15,5х370к/хв Р18</t>
  </si>
  <si>
    <t>Сверло 16,0 к/хв Р18</t>
  </si>
  <si>
    <t>Сверло 16,5х300(200) Р18 к/хв</t>
  </si>
  <si>
    <t>Сверло 17,0Р9 ц/хв</t>
  </si>
  <si>
    <t>Сверло 17,3Р18 к/хв</t>
  </si>
  <si>
    <t>Сверло 17,4Р9К5к/хв</t>
  </si>
  <si>
    <t>Сверло 17,5Р9к/хв / 17,5ВК8к/хв</t>
  </si>
  <si>
    <t>Сверло 18,0ВК8к/хв / 18,0Р18к/хв лев</t>
  </si>
  <si>
    <t>11 / 1</t>
  </si>
  <si>
    <t>Сверло 18,0к/хв Р6М5К5 / 18,0Р9к/хв</t>
  </si>
  <si>
    <t>Сверло 18,0х280 ВК8 КМ3</t>
  </si>
  <si>
    <t>Сверло 18,0х300(150) Р18 КМ2 / 18,0х350(200) Р18 КМ2</t>
  </si>
  <si>
    <t>1 / 7</t>
  </si>
  <si>
    <t>Сверло 18,0х400(150) Р18 КМ2 / 18,0х450(200) Р18 КМ2</t>
  </si>
  <si>
    <t>Сверло 18,0х560/220 ВК8 КМ3</t>
  </si>
  <si>
    <t>Сверло 18,25 Р18к/хв / 18,5 Р18к/хв</t>
  </si>
  <si>
    <t>3 / 6</t>
  </si>
  <si>
    <t>Сверло 18,5х390(160) Р18 к/хв</t>
  </si>
  <si>
    <t>Сверло 18,75 Р18к/хв</t>
  </si>
  <si>
    <t>Сверло 19,0 Р18 ц/хв / 19,0 Р18 к/хв / 19,0 Р9 к/хв /19,0ВК8 к/хв</t>
  </si>
  <si>
    <t>1 / 3 / 1 / 1</t>
  </si>
  <si>
    <t>Сверло 19,4 к/хв Р18 / 19,5к/хв Р18 / 19,5х390Р12КМ3</t>
  </si>
  <si>
    <t>1 / 1 / 1</t>
  </si>
  <si>
    <t>Сверло 20,0КМ3 ВК8 / 20,0к/хв Р6М5К5</t>
  </si>
  <si>
    <t>12 / 1</t>
  </si>
  <si>
    <t>Сверло 20,0х310(200) Р18 к/хв</t>
  </si>
  <si>
    <t>Сверло коническое 20,2-22,5х650 (330) Р18 КМ3</t>
  </si>
  <si>
    <t>Сверло 20,3 Р18к/хв</t>
  </si>
  <si>
    <t>Сверло 20,75Р18 к/хв</t>
  </si>
  <si>
    <t>Сверло 21,0 ВК8к/хв / 21,0Р12к/хв / 21,0Р18к/хв</t>
  </si>
  <si>
    <t>3 / 1 / 3</t>
  </si>
  <si>
    <t>Сверло 21,0х240 Р18к/хв / 21,0х280Р18к/хв</t>
  </si>
  <si>
    <t>Сверло 21,0х370(250)КМ3 Р18</t>
  </si>
  <si>
    <t>Сверло 21,2Р18к/хв / 21,25Р18к/хв</t>
  </si>
  <si>
    <t>Сверло 21,5 Р9К5 / 21,5 Р18к/хв</t>
  </si>
  <si>
    <t>Сверло 21,5ВК8к/хв /21,5 Т5К10 КМ3</t>
  </si>
  <si>
    <t>6 / 4</t>
  </si>
  <si>
    <t>Сверло 22,0ВК8к/хв</t>
  </si>
  <si>
    <t>Сверло 22,0х350(210) Р18к/хв</t>
  </si>
  <si>
    <t>Сверло 22,0х600(300) Р18 КМ3</t>
  </si>
  <si>
    <t>Сверло 22,25Р18 к/хв</t>
  </si>
  <si>
    <t>Сверло 22,5х350Р18к/хв</t>
  </si>
  <si>
    <t>Сверло 23,0Р18к/хв / 23,0ВК8 к/хв</t>
  </si>
  <si>
    <t>Сверло 23,0х340(240) Р18к/хв</t>
  </si>
  <si>
    <t>Сверло 23,5ВК8к/хв</t>
  </si>
  <si>
    <t>Сверло 23,5х490(350) Р9к/хв</t>
  </si>
  <si>
    <t>Сверло 23,7х280Р18к/хв</t>
  </si>
  <si>
    <t>Сверло 23,75Р18к/хв / 23,75Р12к/хв / 23,75Р9к/хв</t>
  </si>
  <si>
    <t>3 / 1 / 1</t>
  </si>
  <si>
    <t>Сверло 24,0Р18к/хв / 24.0ВК8к/хв</t>
  </si>
  <si>
    <t>1 / 8</t>
  </si>
  <si>
    <t>Сверло 24,0х300Р9к/хв / 24,0х310Р12к/хв</t>
  </si>
  <si>
    <t>6 / 3</t>
  </si>
  <si>
    <t>Сверло 24,0х400Р18к/хв / 24,0х440Р18к/хв</t>
  </si>
  <si>
    <t>21 / 18</t>
  </si>
  <si>
    <t>Сверло 24,1Р18 к/хв</t>
  </si>
  <si>
    <t>Сверло 24,7Р18к/хв / 24,75Р18к/хв</t>
  </si>
  <si>
    <t>Сверло 25.0Р18к/хв</t>
  </si>
  <si>
    <t>Сверло 26.0 ВК8к/хв</t>
  </si>
  <si>
    <t>Сверло 27.0 ВК8к/хв</t>
  </si>
  <si>
    <t>Сверло 28.75Р18к/хв</t>
  </si>
  <si>
    <t>Сверло 29,0Р18к/хв</t>
  </si>
  <si>
    <t>Сверло 29,0х470(200)Р18к/хв</t>
  </si>
  <si>
    <t>Сверло 30,0 Р18 к/хв / 30,0 ВК8 к/хв</t>
  </si>
  <si>
    <t>Сверло 30,0х660(300) Р18 КМ4</t>
  </si>
  <si>
    <t>Сверло 30.5Р18к/хв</t>
  </si>
  <si>
    <t>Сверло 32,0 ВК8 КМ5 в/з / 32,0х640ВК8 КМ4</t>
  </si>
  <si>
    <t>Сверло 34.0 Р18к/хв</t>
  </si>
  <si>
    <t>852,00</t>
  </si>
  <si>
    <t>Сверло 35.9 Р18к/хв</t>
  </si>
  <si>
    <t>Сверло 36.0 Р18к/хв / 36,0 ВК8 к/хв</t>
  </si>
  <si>
    <t>Сверло 36,5 Р18к/хв</t>
  </si>
  <si>
    <t>Сверло 37,0Р18 / 37,0Р9</t>
  </si>
  <si>
    <t>Сверло 37,5х440 Р18к/хв</t>
  </si>
  <si>
    <t>Сверло 38,0 Р18к/хв</t>
  </si>
  <si>
    <t>Сверло 40.0 Р18к/хв легкое бу</t>
  </si>
  <si>
    <t>Сверло 43.5 Р18к/хв</t>
  </si>
  <si>
    <t>Сверло 45,0х150 короткое Р18к/хв / 45,0х100-120 короткое Р18к/хв</t>
  </si>
  <si>
    <t>1390,00</t>
  </si>
  <si>
    <t>Сверло 45,3х380 Р9 КМ4</t>
  </si>
  <si>
    <t>Сверло 50,0х450 Р18 КМ4</t>
  </si>
  <si>
    <t>Сверло 60,0 Р18 КМ5</t>
  </si>
  <si>
    <t>15. С ВЕ Р Л А А Л М А З Н Ы Е (стекло, керамика, бетон)</t>
  </si>
  <si>
    <t>Сверло алмазное трубчатое 4,0х2,5х50</t>
  </si>
  <si>
    <t>Сверло алмазное клинообр. 7,0х80</t>
  </si>
  <si>
    <t>Сверло алмазное трубчатое 8х6х50</t>
  </si>
  <si>
    <t>Сверло алмазное клинообр. 10х85</t>
  </si>
  <si>
    <t>Сверло алмазное трубчатое 12х60</t>
  </si>
  <si>
    <t>Сверло алмазное клинообр. 14х100</t>
  </si>
  <si>
    <t>Сверло алмазное корончатое 30мм</t>
  </si>
  <si>
    <t>Сверло алмазное корончатое 40мм</t>
  </si>
  <si>
    <t>108,00</t>
  </si>
  <si>
    <t>Сверло алмазное корончатое 42мм</t>
  </si>
  <si>
    <t>Сверло алмазное корончатое 45мм</t>
  </si>
  <si>
    <t>Сверло алмазное корончатое 55мм</t>
  </si>
  <si>
    <t>Сверло трубчатое алмазное 60х350мм</t>
  </si>
  <si>
    <t>426,00</t>
  </si>
  <si>
    <t>16. Р Е З Ц Ы Т О К А Р Н Ы Е Н А П А Й Н Ы Е</t>
  </si>
  <si>
    <t>Резец токарный проходной прямой Т5К10 16х16х80 / 16х16х80лев</t>
  </si>
  <si>
    <t>10 / 5 / 10</t>
  </si>
  <si>
    <t>Резец токарный проходной прямой Т5К10 20х20х100лев / 20х12х110</t>
  </si>
  <si>
    <t>Резец токарный проходной упорн. Т5К10 d-15х50лев / d-20х80лев</t>
  </si>
  <si>
    <t>5 / 6</t>
  </si>
  <si>
    <t>Резец токарный проходной прямой Т5К10 20х16х110 / 25х16-20х120</t>
  </si>
  <si>
    <t>51 / 12</t>
  </si>
  <si>
    <t>Резец токарный проходной прямой Т5К10 25х16х140 / 25х20х140</t>
  </si>
  <si>
    <t>71 / 43</t>
  </si>
  <si>
    <t>Резец токарный проходной прямой Т5К10 25х25х200</t>
  </si>
  <si>
    <t>Резец токарный проходной прямой Т5К10 32х20х170</t>
  </si>
  <si>
    <t>Резец токарный проходной прямой Т5К10 40х25х200</t>
  </si>
  <si>
    <t>Резец токарный проходной упорн. прямой Т5К10 20х20х100 лев</t>
  </si>
  <si>
    <t>Резец токарный проходной упорн. прямой Т5К10 25х20х140</t>
  </si>
  <si>
    <t>Резец токарный проходной упорн. прямой Т5К10 25х25х120</t>
  </si>
  <si>
    <t>Резец токарный проходной упорн. прямой Т5К10 28х20х140</t>
  </si>
  <si>
    <t>Резец токарный проходной упорн. прямой Т5К10 30х20х140</t>
  </si>
  <si>
    <t>Резец токарный проходной упорн. прямой двухстор. Т5К10 30х20х140</t>
  </si>
  <si>
    <t>Резец токарный проходной упорн. Отогн. Т5К10 16х12х100пр/16х10х100лев</t>
  </si>
  <si>
    <t>17 / 11</t>
  </si>
  <si>
    <t>Резец токарный проходной отогнутый Т5К10 12х12х70</t>
  </si>
  <si>
    <t>Резец токарный проходной отогнутый Т5К10 20х12х120</t>
  </si>
  <si>
    <t>Резец токарный проходной упорный отогнутый Т5К10 20х12х120</t>
  </si>
  <si>
    <t>Резец токарный проходной упорный отогнутый Т5К10 20х16х120 / лев</t>
  </si>
  <si>
    <t>Резец токарный проходной упорный отогнутый Т5К10 20х20х140</t>
  </si>
  <si>
    <t>Резец токарный проходной отогнутый Т5К10 20х16х120</t>
  </si>
  <si>
    <t>Резец токарный проходной отогнутый Т5К10 25х16х140 / лев</t>
  </si>
  <si>
    <t>167 / 13</t>
  </si>
  <si>
    <t>Резец токарный проходной отогнутый Т5К10 25х20х140 / лев</t>
  </si>
  <si>
    <t>6 / 37</t>
  </si>
  <si>
    <t>Резец токарный проходной отогнутый Т5К10 25х16х170</t>
  </si>
  <si>
    <t>Резец токарный проходной упорный прямой Т5К10 25х16х120</t>
  </si>
  <si>
    <t>Резец токарный проходной упорный прямой Т5К10 25х16х140 пр/лев</t>
  </si>
  <si>
    <t>Резец токарный проходной упорный отогнутый Т5К10 25х16х140</t>
  </si>
  <si>
    <t>Резец токарный проходной упорный отогнутый Т5К10 25х16х140 лев</t>
  </si>
  <si>
    <t>Резец токарный проходной упорный отогнутый Т5К10 25х20х140 лев.</t>
  </si>
  <si>
    <t>Резец токарный проходной упорный прямой Т5К10 25х20х140</t>
  </si>
  <si>
    <t>Резец токарный проходной упорный прямой Т5К10 30х20х140</t>
  </si>
  <si>
    <t>Резец токарный проходной отогнутый Т5К10 32х20х170</t>
  </si>
  <si>
    <t>Резец токарный проходной отогнутый Т5К10 32х20х170 лев</t>
  </si>
  <si>
    <t>Резец токарный проходной упорный отогнутый Т5К10 32х20х170</t>
  </si>
  <si>
    <t>Резец токарный проходной упорный отогнутый Т5К10 32х20х170 лев</t>
  </si>
  <si>
    <t>Резец токарный проходной отогнутый Т5К10 32х25х160</t>
  </si>
  <si>
    <t>Резец токарный проходной отогнутый Т5К10 40х25х200</t>
  </si>
  <si>
    <t>Резец токарный проходной отогнутый Т5К10 40х30х300</t>
  </si>
  <si>
    <t>Резец токарный проходной отогнутый Т5К10 40х25х200 лев</t>
  </si>
  <si>
    <t>Резец токарный проходной упорн. отогнутый Т5К10 40х25х200лев</t>
  </si>
  <si>
    <t>Резец токарный проходной упорный отогнутый Т5К10 40х25х200</t>
  </si>
  <si>
    <t>Резец токарный проходной прямой Т15К6 10х10х50</t>
  </si>
  <si>
    <t>Резец токарный проходной прямой Т15К6 12х12х40лев</t>
  </si>
  <si>
    <t>Резец токарный проходной прямой Т15К6 12х12х120 / 14х14х50</t>
  </si>
  <si>
    <t>12 / 13</t>
  </si>
  <si>
    <t>Резец токарный проходной прямой Т15К6 14х14х40лев</t>
  </si>
  <si>
    <t>Резец токарный проходной прямой Т15К6 16х12х90</t>
  </si>
  <si>
    <t>Резец токарный проходной прямой Т15К6 16х16х90лев</t>
  </si>
  <si>
    <t>Резец токарный проходной прямой Т15К6 20х16х120 / 20х12х120</t>
  </si>
  <si>
    <t>144 / 3</t>
  </si>
  <si>
    <t>Резец токарный проходной прямой Т15К6 20х20х100 лев</t>
  </si>
  <si>
    <t>Резец токарный проходной прямой Т15К6 25х16х140 / 25х20х140</t>
  </si>
  <si>
    <t>5 / 29</t>
  </si>
  <si>
    <t>Резец токарный проходной прямой Т15К6 25х20х195 / 25х16х250</t>
  </si>
  <si>
    <t>34 / 5</t>
  </si>
  <si>
    <t>Резец токарный проходной прямой Т15К6 32х20х160</t>
  </si>
  <si>
    <t>Резец токарный проходной прямой Т15К6 40х25х200</t>
  </si>
  <si>
    <t>Резец токарный проходной упорный Т15К6 12х12х70 лев</t>
  </si>
  <si>
    <t>Резец токарный проходной упорный отогнутый Т15К6 16х12х110</t>
  </si>
  <si>
    <t>Резец токарный проходной отогнутый Т15К6 16х12х100 / 16х12х100лев</t>
  </si>
  <si>
    <t>10 / 24</t>
  </si>
  <si>
    <t>Резец токарный проходной отогнутый Т15К6 20х12х120</t>
  </si>
  <si>
    <t>Резец токарный проходной упорный отогнут. Т15К6 20х20х80 / 20х12х120</t>
  </si>
  <si>
    <t>4 / 12</t>
  </si>
  <si>
    <t>Резец токарный проходной отогнутый Т15К6 20х16х120</t>
  </si>
  <si>
    <t>Резец токарный проходной упорный отогнутый Т15К6 20х16х120</t>
  </si>
  <si>
    <t>Резец токарный проходной отогнутый Т15К6 20х20х140</t>
  </si>
  <si>
    <t>Резец токарный проходной отогнутый Т15К6 25х16х140</t>
  </si>
  <si>
    <t>Резец токарный проходной отогнутый Т15К6 25х16х140 лев</t>
  </si>
  <si>
    <t>Резец токарный проходной отогнутый Т30К4 25х16х140</t>
  </si>
  <si>
    <t>Резец токарный проходной упорный отогнутый Т15К6 25х16х140</t>
  </si>
  <si>
    <t>Резец токарный проходной упорный отогнутый Т15К6 25х16х140 лев</t>
  </si>
  <si>
    <t>Резец токарный проходной упорный отогнутый Т15К6 25х16х140 прав-лев</t>
  </si>
  <si>
    <t>Резец токарный проходной упорный прямой Т15К6 25х16х120</t>
  </si>
  <si>
    <t>Резец токарный проходной упорный отогнутый Т14К8 25х16х140</t>
  </si>
  <si>
    <t>Резец токарный проходной упорный отогнутый Т15К6 25х20х140</t>
  </si>
  <si>
    <t>Резец токарный проходной упорный отогнутый Т15К6 25х25х200</t>
  </si>
  <si>
    <t>Резец токарный проходной отогнутый Т15К6 25х20х140</t>
  </si>
  <si>
    <t>Резец токарный проходной отогнутый Т15К6 25х20х170</t>
  </si>
  <si>
    <t>Резец токарный проходной отогнутый Т15К6 32х20х170</t>
  </si>
  <si>
    <t>Резец токарный проходной отогнутый Т15К6 32х25х170</t>
  </si>
  <si>
    <t>Резец токарный проходной отогнутый Т15К6 32х25х170 лев</t>
  </si>
  <si>
    <t>Резец токарный проходной упорный отогнутый Т15К6 32х20х170</t>
  </si>
  <si>
    <t>Резец токарный проходной упорный отогнутый Т15К6 32х20х170лев</t>
  </si>
  <si>
    <t>Резец токарный проходной отогнутый Т15К6 40х25х200</t>
  </si>
  <si>
    <t>Резец токарный проходной отогнутый Т15К6 40х25х200 лев</t>
  </si>
  <si>
    <t>Резец токарный проходной упорный отогнутый Т15К6 40х25х200</t>
  </si>
  <si>
    <t>Резец токарный проходной упорный отогнутый Т15К6 40х25х200 лев</t>
  </si>
  <si>
    <t>Резец токарный проходной прямой ВК8 7х8х25 / 8х25</t>
  </si>
  <si>
    <t>13 / 2</t>
  </si>
  <si>
    <t>Резец токарный проходной прямой ВК8 8х17х35 / 10х30</t>
  </si>
  <si>
    <t>6 / 10</t>
  </si>
  <si>
    <t>Резец токарный проходной прямой ВК8 8х8х40 / 8х8х50лев /10х10х25</t>
  </si>
  <si>
    <t>7 / 2 / 30</t>
  </si>
  <si>
    <t>Резец токарный проходной прямой ВК8 10х10х40 / 10х10х40лев</t>
  </si>
  <si>
    <t>13 / 30</t>
  </si>
  <si>
    <t>Резец токарный проходной прямой ВК8 12х12х50 / 12х12х60 / 12х12х70</t>
  </si>
  <si>
    <t>20 / 14 / 6</t>
  </si>
  <si>
    <t>Резец токарный проходной прямой ВК8 11х12х65/12х12х50лев/12х12х70лев</t>
  </si>
  <si>
    <t>9 / 9 / 5</t>
  </si>
  <si>
    <t>Резец токарный проходной прямой ВК8 16х16х60лев / 16х12х80</t>
  </si>
  <si>
    <t>13 / 14</t>
  </si>
  <si>
    <t>Резец токарный проходной прямой ВК8 16х16х70 / 16х16х80</t>
  </si>
  <si>
    <t>56 / 4</t>
  </si>
  <si>
    <t>Резец токарный проходной прям ВК8 16х16х70лев /16х16х80лев</t>
  </si>
  <si>
    <t>33 / 49</t>
  </si>
  <si>
    <t>Резец токарный проходной прямой ВК8 16х16х140</t>
  </si>
  <si>
    <t>Резец токарный проходной прям ВК8 20х20х70 / 20х20х90л / 20х20х100л</t>
  </si>
  <si>
    <t>6 / 4 /16</t>
  </si>
  <si>
    <t>Резец токарный проходной прямой ВК8 18х14х110 / 20х12х120</t>
  </si>
  <si>
    <t>11 / 6</t>
  </si>
  <si>
    <t>Резец токарный проходной упорн. прямой ВК8 12х12х70</t>
  </si>
  <si>
    <t>Резец токарный проходной упорн. прямой ВК8 16х12х65 / 16х16х65</t>
  </si>
  <si>
    <t>Резец токарный проходной упорн. прямой ВК8 16х12х70 лев/ 16х16х65лев</t>
  </si>
  <si>
    <t>Резец токарный проходной упорн. прямой ВК8 16х16х80лев</t>
  </si>
  <si>
    <t>Резец токарный проходной упорн. прямой ВК8 20х20х80лев / 20х12х100</t>
  </si>
  <si>
    <t>Резец токарный проходной упорн. изог ВК8 20х20х100лев</t>
  </si>
  <si>
    <t>Резец токарный проходной упорн. прямой ВК8 15х30 / 15х60</t>
  </si>
  <si>
    <t>Резец токарный проходной прямой ВК8 20х12х120/20х16х120 /20х20х120</t>
  </si>
  <si>
    <t>1 / 201 / 9</t>
  </si>
  <si>
    <t>Резец токарный проходной прямой ВК8 25х25х80лев / 25х20х120лев</t>
  </si>
  <si>
    <t>9 / 1</t>
  </si>
  <si>
    <t>Резец токарный проходной прямой ВК8 25х16х120/ 25х16х200 /25х25х120</t>
  </si>
  <si>
    <t>81 / 1 / 1</t>
  </si>
  <si>
    <t>Резец токарный проходной прямой ВК8 25х20х140 / 25х16х140лев</t>
  </si>
  <si>
    <t>39 / 3</t>
  </si>
  <si>
    <t>Резец токарный проходной прямой ВК8 25х20х200 / 32х20х160</t>
  </si>
  <si>
    <t>5 / 18</t>
  </si>
  <si>
    <t>Резец токарный проходной прямой ВК8 40х25х200</t>
  </si>
  <si>
    <t>Резец токарный проходной прямой ВК8 d-10х50лев/d-12х60лев</t>
  </si>
  <si>
    <t>7 / 7</t>
  </si>
  <si>
    <t>Резец токарный проходной прямой ВК8 d-12х70лев/d-12х60 /d-12х90</t>
  </si>
  <si>
    <t>20 / 19 / 5</t>
  </si>
  <si>
    <t>Резец токарный проходной упорн. ВК8 d-14х40 /d-15х40 / d-15х60</t>
  </si>
  <si>
    <t>15 / 21 / 23</t>
  </si>
  <si>
    <t>Резец токарный проходной прямой ВК8 d-15х55 / d-16х70/d-16х50</t>
  </si>
  <si>
    <t>5 / 10 / 15</t>
  </si>
  <si>
    <t>Резец токарный проходной прямой ВК8(тс) d-16х50лев /d-20х60</t>
  </si>
  <si>
    <t>Резец токарный проходной прямой ВК8(тс) d-20х66лев /d-16х90лев</t>
  </si>
  <si>
    <t>Резец токарный проходной отогн. ВК8 d-17х110 / d-20х80лев</t>
  </si>
  <si>
    <t>Резец токарный проходной отогн. ВК8 d-20х120</t>
  </si>
  <si>
    <t>Резец токарный проходной отогнутый ВК8 10х10х55 лев</t>
  </si>
  <si>
    <t>Резец токарный проходной отогнутый ВК8 12х12х80</t>
  </si>
  <si>
    <t>Резец токарный проходной упорный отогнутый ВК8 12х12х40</t>
  </si>
  <si>
    <t>Резец токарный проходной упорный отогнутый ВК8 12х12х70лев</t>
  </si>
  <si>
    <t>Резец токарный проходной упорный отогнутый ВК8 16х12х120 / 18х20х90</t>
  </si>
  <si>
    <t>Резец токарный проходной отогнутый ВК8 16х16х65</t>
  </si>
  <si>
    <t>Резец токарный проходной отогнутый ВК8 20х12х120</t>
  </si>
  <si>
    <t>Резец токарный проходной упорный отогнутый ВК8 20х12х120</t>
  </si>
  <si>
    <t>Резец токарный проходной упорный отогнутый ВК8 20х12х120 лев</t>
  </si>
  <si>
    <t>Резец токарный проходной отогнутый ВК8 20х16х120 / 20х20х110лев.</t>
  </si>
  <si>
    <t>539 / 8</t>
  </si>
  <si>
    <t>Резец токарный проходной упорный отогнутый ВК8 20х16х120 / лев</t>
  </si>
  <si>
    <t>110 / 4</t>
  </si>
  <si>
    <t>Резец токарный проходной упорный отогнутый ВК8 20х20х190</t>
  </si>
  <si>
    <t>Резец токарный проходной отогнутый ВК8 25х16х140 / лев</t>
  </si>
  <si>
    <t>910 / 10</t>
  </si>
  <si>
    <t>112,00</t>
  </si>
  <si>
    <t>Резец токарный проходной упорный прямой ВК8 25х16х120</t>
  </si>
  <si>
    <t>Резец токарный проходной упорный отогнутый ВК8 25х16х140</t>
  </si>
  <si>
    <t>Резец токарный проходной упорный отогнутый ВК8 25х16х140 лев</t>
  </si>
  <si>
    <t>Резец токарный проходной упорный отогнутый ВК8 25х20х140</t>
  </si>
  <si>
    <t>Резец токарный проходной отогнутый ВК8 25х20х140 / ВК4</t>
  </si>
  <si>
    <t>856 / 8</t>
  </si>
  <si>
    <t>Резец токарный проходной отогнутый ВК8 25х20х180</t>
  </si>
  <si>
    <t>Резец токарный проходной отогнутый ВК8 32х25х140 / 32х20х170</t>
  </si>
  <si>
    <t>61 / 203</t>
  </si>
  <si>
    <t>Резец токарный проходной отогнутый ВК8 32х25х160лев</t>
  </si>
  <si>
    <t>Резец токарный проходной упорный отогнутый ВК8 32х20х170</t>
  </si>
  <si>
    <t>Резец токарный проходной упорный отогнутый ВК8 32х20х170 лев</t>
  </si>
  <si>
    <t>Резец токарный проходной отогнутый ВК8 32х20х170</t>
  </si>
  <si>
    <t>Резец токарный проходной отогнутый ВК8 32х28х200лев.</t>
  </si>
  <si>
    <t>Резец токарный проходной упорный прямой ВК8 32х20х170</t>
  </si>
  <si>
    <t>Резец токарный проходной отогнутый ВК8 40х25х200</t>
  </si>
  <si>
    <t>Резец токарный проходной отогнутый ВК8 40х25х200 лев</t>
  </si>
  <si>
    <t>Резец токарный проходной отогнутый ВК8 40х30х300</t>
  </si>
  <si>
    <t>Резец токарный проходной упорный отогнутый ВК8 40х25х200</t>
  </si>
  <si>
    <t>Резец токарный проходной упорный отогнутый ВК8 40х25х200лев</t>
  </si>
  <si>
    <t>Резец токарный проходной упорный отогнутый ВК8 (?) 40х40х300</t>
  </si>
  <si>
    <t>Резец токарный проходной отогнутый Р6М5 20х16х12 / 25х16х140</t>
  </si>
  <si>
    <t>Резец токарный проходной отогнутый Р6М5 32х20х170</t>
  </si>
  <si>
    <t>Резец токарный прох. прямой Р9 16х16х150</t>
  </si>
  <si>
    <t>Резец токарный прох. прямой Р6М5 20х20х140</t>
  </si>
  <si>
    <t>Резец токарный прох. прямой Р6М5 32х20х150</t>
  </si>
  <si>
    <t>Резец токарный прох. прямой мон-ный Р6М5 20х20х150</t>
  </si>
  <si>
    <t>Резец токарный прох. прямой мон-ный Р6М5 20х12х125</t>
  </si>
  <si>
    <t>Резец токарный прох. прямой мон-ный Р6М5 16х12х70 / Р9</t>
  </si>
  <si>
    <t>22 / 1</t>
  </si>
  <si>
    <t>Резец токарный прох. прямой мон-ный Р6М5 16х16х70 / 16х16х80</t>
  </si>
  <si>
    <t>16 / 8</t>
  </si>
  <si>
    <t>Резец токарный прох. прямой Р6М5 16х16х125</t>
  </si>
  <si>
    <t>Резец токарный прох. прямой мон-ный Р6М5 16х16х140</t>
  </si>
  <si>
    <t>Резец токарный прох. прямой мон-ный Р6М5 16х16х150</t>
  </si>
  <si>
    <t>Резец токарный прох. прямой мон-ный Р6М5 16х16х80 / 16х12х85</t>
  </si>
  <si>
    <t>Резец токарный прох. прямой мон-ный Р18 16х12х110 / Р18 16х12х110лев</t>
  </si>
  <si>
    <t>6 / 12</t>
  </si>
  <si>
    <t>Резец токарный прох. прямой мон-ный Р6М5 12х12х150</t>
  </si>
  <si>
    <t>Резец токарный прох. прямой мон-ный Р6М5 12х12х100 / 12х12х120</t>
  </si>
  <si>
    <t>1 / 201</t>
  </si>
  <si>
    <t>Резец токарный прох. прямой мон-ный Р6М5 12х12х40 / 12х12х50</t>
  </si>
  <si>
    <t>Резец токарный прох. прямой мон-ный Р6М5 12х12х70 / 12х12х80</t>
  </si>
  <si>
    <t>Резец токарный прох. прямой мон-ный Р6М5 10х10х120</t>
  </si>
  <si>
    <t>Резец токарный прох. прямой мон-ный Р6М5 10х10х150</t>
  </si>
  <si>
    <t>Резец токарный прох. прямой Р6М5 10х10х120</t>
  </si>
  <si>
    <t>Резец токарный прох. прямой мон-ный Р6М5 10х10х50 / 10х10х60</t>
  </si>
  <si>
    <t>Резец токарный прох. прямой мон-ный Р6М5 8х8х80</t>
  </si>
  <si>
    <t>Резец токарный прох. прямой мон-ный Р6М5 8х8х120</t>
  </si>
  <si>
    <t>Резец токарный прох. прямой мон-ный Р6М5 8х8х150</t>
  </si>
  <si>
    <t>Резец токарный подрезной прямой Т5К10 12х12х120</t>
  </si>
  <si>
    <t>Резец токарный подрезной отогнутый Т5К10 20х12х120 лев</t>
  </si>
  <si>
    <t>Резец токарный подрезной отогнутый Т5К10 20х16х120</t>
  </si>
  <si>
    <t>Резец токарный подрезной отогнутый Т5К10 25х16х140</t>
  </si>
  <si>
    <t>Резец токарный подрезной отогнутый Т5К10 25х16х140 лев</t>
  </si>
  <si>
    <t>Резец токарный подрезной отогнутый Т5К10 32х25х170 / 32х20х200</t>
  </si>
  <si>
    <t>Резец токарный подрезной отогнутый Т15К6 16х12х100</t>
  </si>
  <si>
    <t>Резец токарный подрезной отогнутый Т15К6 20х16х120</t>
  </si>
  <si>
    <t>Резец токарный подрезной отогнутый Т15К6 25х16х140</t>
  </si>
  <si>
    <t>Резец токарный подрезной отогнутый Т15К6 25х16х140 лев</t>
  </si>
  <si>
    <t>Резец токарный подрезной отогнутый Т14К8 25х16х140</t>
  </si>
  <si>
    <t>Резец токарный подрезной отогнутый Т15К6 32х20х170</t>
  </si>
  <si>
    <t>Резец токарный подрезной отогнутый Т14К8 32х20х170</t>
  </si>
  <si>
    <t>Резец токарный подрезной отогнутый Т15К6 40х30х200</t>
  </si>
  <si>
    <t>Резец токарный подрезной прям. ВК8 d10х70</t>
  </si>
  <si>
    <t>22,20</t>
  </si>
  <si>
    <t>Резец токарный подрезной прям. ВК8 12х12х50 / d16х50</t>
  </si>
  <si>
    <t>23,10</t>
  </si>
  <si>
    <t>Резец токарный подрезной прям. ВК8 12х12х70</t>
  </si>
  <si>
    <t>Резец токарный подрезной прям. ВК8 16х16х70лев</t>
  </si>
  <si>
    <t>Резец токарный подрезной прям. ВК8 16х16х100</t>
  </si>
  <si>
    <t>Резец токарный подрезной прям. ВК8 22х22х130 / 25х25х100</t>
  </si>
  <si>
    <t>Резец токарный подрезной прям. ВК8 25х16х100лев</t>
  </si>
  <si>
    <t>Резец токарный подрезной прям. ВК8 32х20х140/32х20х100лев</t>
  </si>
  <si>
    <t>4 / 4</t>
  </si>
  <si>
    <t>Резец токарный подрезной прямой ВК8 d-20х90 / d-16х50лев / d-16х60лев</t>
  </si>
  <si>
    <t>8 / 7 / 4</t>
  </si>
  <si>
    <t>26,10</t>
  </si>
  <si>
    <t>Резец токарный подрезной отогнутый ВК8 10х12х90</t>
  </si>
  <si>
    <t>32,10</t>
  </si>
  <si>
    <t>Резец токарный подрезной отогнутый ВК8 16х10х100 /16х12х100/16х12х120</t>
  </si>
  <si>
    <t>6 / 51 / 8</t>
  </si>
  <si>
    <t>Резец токарный подрезной отогнутый ВК8 16х16х85 / 16х16х100 лев</t>
  </si>
  <si>
    <t>1 / 5</t>
  </si>
  <si>
    <t>Резец токарный подрезной отогнутый ВК8 16х16х160 пр/лев</t>
  </si>
  <si>
    <t>Резец токарный подрезной отогнутый ВК8 20х12х120</t>
  </si>
  <si>
    <t>Резец токарный подрезной отогнутый ВК8 20х16х120</t>
  </si>
  <si>
    <t>Резец токарный подрезной отогнутый ВК8 25х16х140 / 25х16х140 лев</t>
  </si>
  <si>
    <t>305 / 5</t>
  </si>
  <si>
    <t>Резец токарный подрезной отогнутый двухстор. ВК8 25х16х140</t>
  </si>
  <si>
    <t>Резец токарный подрезной отогнутый ВК8 25х20х140</t>
  </si>
  <si>
    <t>Резец токарный подрезной отогнутый ВК8 25х20х160</t>
  </si>
  <si>
    <t>Резец токарный подрезной отогнутый ВК8 32х20х170 / 32х20х170 лев.</t>
  </si>
  <si>
    <t>214 / 5</t>
  </si>
  <si>
    <t>Резец токарный подрезной отогнутый ВК8 32х25х170</t>
  </si>
  <si>
    <t>Резец токарный подрезной отогнутый ВК8 32х25х220 лев.</t>
  </si>
  <si>
    <t>Резец токарный подрезной отогнутый ВК8 32х20х110 лев.</t>
  </si>
  <si>
    <t>Резец токарный подрезной радиусный ВК8 32х25х170</t>
  </si>
  <si>
    <t>Резец токарный подрезной отогнутый ВК8 40х25х200</t>
  </si>
  <si>
    <t>Резец токарный подрезной отогнутый ВК8 40х30х230</t>
  </si>
  <si>
    <t>Резец токарный подрезной Р6М5 25х20х140 / Р18 40х25х190</t>
  </si>
  <si>
    <t>Резец токарный резьбовой Т15К6 16х12х120 / 20х12х120</t>
  </si>
  <si>
    <t>1 / 160</t>
  </si>
  <si>
    <t>Резец токарный резьбовой Т15К6 25х16х140</t>
  </si>
  <si>
    <t>Резец токарный резьбовой Т15К6 32х20х170</t>
  </si>
  <si>
    <t>Резец токарный резьбовой Т15К6 внутр. 12х12х110</t>
  </si>
  <si>
    <t>Резец токарный резьбовой Т15К6 внутр. 16х16х170</t>
  </si>
  <si>
    <t>Резец токарный резьбовой Т15К6 внутр. 25х16х140</t>
  </si>
  <si>
    <t>Резец токарный резьбовой Т15К6 внутр. 20х20х170 / 25х16х170</t>
  </si>
  <si>
    <t>Резец токарный резьбовой Т15К6 внутр. 20х20х200</t>
  </si>
  <si>
    <t>Резец токарный резьбовой Т15К6 внутр. 25х25х240</t>
  </si>
  <si>
    <t>Резец токарный резьбовой ВК8 d16х90 / 16х10х100</t>
  </si>
  <si>
    <t>Резец токарный резьбовой ВК8 20х12х120</t>
  </si>
  <si>
    <t>Резец токарный резьбовой ВК8 25х16х140</t>
  </si>
  <si>
    <t>Резец токарный резьбовой ВК8 25х20х140</t>
  </si>
  <si>
    <t>Резец токарный резьбовой ВК8 25х25х140</t>
  </si>
  <si>
    <t>Резец токарный резьбовой ВК8 25х20х170</t>
  </si>
  <si>
    <t>Резец токарный резьбовой ВК8 32х20х170</t>
  </si>
  <si>
    <t>Резец токарный резьбовой ВК8 внутр. 12х12х110 / 12х12х130</t>
  </si>
  <si>
    <t>Резец токарный резьбовой ВК8 внутр. 16х16х170 / d25х90мм</t>
  </si>
  <si>
    <t>196 / 10</t>
  </si>
  <si>
    <t>Резец токарный резьбовой ВК8 внутр. 25х20х120 / 25х25х140</t>
  </si>
  <si>
    <t>Резец токарный резьбовой ВК8 внутр. 20х20х170 / 25х16х170</t>
  </si>
  <si>
    <t>39 / 24</t>
  </si>
  <si>
    <t>Резец токарный резьбовой ВК8 внутр. 20х20х200 / 25х25х200</t>
  </si>
  <si>
    <t>63 / 3</t>
  </si>
  <si>
    <t>147,00</t>
  </si>
  <si>
    <t>Резец токарный резьбовой ВК8 внутр. 25х25х230</t>
  </si>
  <si>
    <t>Резец токарный резьбовой ВК8 внутр. 25х25х250 / 25х25х250лев</t>
  </si>
  <si>
    <t>Резец токарный резьбовой ВК8 внутр. 32х20х180</t>
  </si>
  <si>
    <t>Резец токарный резьбовой Т5К10 20х12х120</t>
  </si>
  <si>
    <t>Резец токарный резьбовой Т5К10 25х16х140</t>
  </si>
  <si>
    <t>Резец токарный резьбовой Т5К10 32х20х170</t>
  </si>
  <si>
    <t>Резец токарный резьбовой Т5К10 внутр. 16х16х170</t>
  </si>
  <si>
    <t>Резец токарный резьбовой Т5К10 внутр. 25х16х170</t>
  </si>
  <si>
    <t>Резец токарный резьбовой Т5К10 внутр. 20х20х200</t>
  </si>
  <si>
    <t>Резец токарный резьбовой Т5К10 внутр. 25х25х240</t>
  </si>
  <si>
    <t>Резец токарный резьбовой Т5К10 внутр. 40х30х200</t>
  </si>
  <si>
    <t>Резец токарный отрезной Т15К6 12х12х100</t>
  </si>
  <si>
    <t>Резец токарный отрезной Т15К6 16х10х100</t>
  </si>
  <si>
    <t>Резец токарный отрезной Т15К6 16х12х110</t>
  </si>
  <si>
    <t>Резец токарный отрезной Т15К6 20х12х120</t>
  </si>
  <si>
    <t>Резец токарный отрезной Т15К6 25х16х140</t>
  </si>
  <si>
    <t>Резец токарный отрезной Т15К6 32х20х170</t>
  </si>
  <si>
    <t>Резец токарный отрезной Т15К6 40х25х200</t>
  </si>
  <si>
    <t>151,20</t>
  </si>
  <si>
    <t>Резец токарный отрезной ВК8 12х12х100</t>
  </si>
  <si>
    <t>Резец токарный отрезной ВК8 16х10х100</t>
  </si>
  <si>
    <t>Резец токарный отрезной ВК8 20х12х120</t>
  </si>
  <si>
    <t>Резец токарный отрезной ВК8 25х16х140</t>
  </si>
  <si>
    <t>Резец токарный отрезной ВК8 25х16х170 двухстор.</t>
  </si>
  <si>
    <t>Резец токарный отрезной ВК8 32х20х170</t>
  </si>
  <si>
    <t>139,00</t>
  </si>
  <si>
    <t>Резец токарный отрезной ВК8 32х25х200</t>
  </si>
  <si>
    <t>Резец токарный отрезной ВК8 40х25х200</t>
  </si>
  <si>
    <t>Резец токарный отрезной Т5К10 12х12х100</t>
  </si>
  <si>
    <t>Резец токарный отрезной Т5К10 20х12х120</t>
  </si>
  <si>
    <t>Резец токарный отрезной Т5К10 25х16х140</t>
  </si>
  <si>
    <t>Резец токарный отрезной Т5К10 25х16х140 двухстор.</t>
  </si>
  <si>
    <t>140,00</t>
  </si>
  <si>
    <t>Резец токарный отрезной Т5К10 32х20х170</t>
  </si>
  <si>
    <t>Резец токарный отрезной Т5К10 40х20х200</t>
  </si>
  <si>
    <t>Резец токарный отрезной Р6М5 монолит 8х8х120</t>
  </si>
  <si>
    <t>Резец токарный отрезной Р6М5 монолит 10х4х100</t>
  </si>
  <si>
    <t>Резец токарный отрезной Р6М5 монолит 10х4х120</t>
  </si>
  <si>
    <t>Резец токарный отрезной Р6М5 монолит 10х4х150</t>
  </si>
  <si>
    <t>Резец токарный отрезной Р6М5 монолит 10х10х60 SP-25</t>
  </si>
  <si>
    <t>Резец токарный отрезной Р6М5 монолит 10х10х120</t>
  </si>
  <si>
    <t>Резец токарный отрезной Р6М5 монолит 12х3х125 ласт. Хв.</t>
  </si>
  <si>
    <t>Резец токарный отрезной Р6М5 монолит 12х12х100</t>
  </si>
  <si>
    <t>Резец токарный отрезной Р6М5 монолит 14х4х120</t>
  </si>
  <si>
    <t>Резец токарный отрезной Р6М5 монолит 14х6х120</t>
  </si>
  <si>
    <t>Резец токарный отрезной Р6М5 монолит 14х6х160 / 14х14х70</t>
  </si>
  <si>
    <t>Резец токарный отрезной Р6М5 монолит 16х16х140</t>
  </si>
  <si>
    <t>Резец токарный отрезной Р6М5 монолит 18х4х120прям.</t>
  </si>
  <si>
    <t>Резец токарный отрезной Р6М5 монолит 20х6х100 / 20х6х115</t>
  </si>
  <si>
    <t>7 / 16</t>
  </si>
  <si>
    <t>Резец токарный отрезной Р6М5 монолит 20х12х140</t>
  </si>
  <si>
    <t>Резец токарный отрезной Р6М5 монолит 25х20х160</t>
  </si>
  <si>
    <t>Резец токарный отрезной Р6М5 (не монолит) 20х12х110</t>
  </si>
  <si>
    <t>Резец токарный отрезной Р6М5 (не монолит) 20х20х140 / 25х16х140</t>
  </si>
  <si>
    <t>Резец токарный отрезной Р6М5 монолит 25х5х140 / 25х5х150 / 26х6х130</t>
  </si>
  <si>
    <t>22 / 10 / 4</t>
  </si>
  <si>
    <t>Резец токарный отрезной Р6М5 монолит 25х16х170</t>
  </si>
  <si>
    <t>Резец токарный отрезной Р6М5 25х16х170 "петух"</t>
  </si>
  <si>
    <t>Резец токарный отрезной Р6М5 35х8х200 / 35х9х170 / 18х18х160</t>
  </si>
  <si>
    <t>10 / 3 / 1</t>
  </si>
  <si>
    <t>Резец токарный розточной скв. отв. Т15К6 16х12х180 / 16х16х120</t>
  </si>
  <si>
    <t>179 / 38</t>
  </si>
  <si>
    <t>Резец токарный розточной скв. отв. Т15К6 16х16х140</t>
  </si>
  <si>
    <t>Резец токарный розточной скв. отв. Т15К6 16х16х170 / 20х20х140</t>
  </si>
  <si>
    <t>105 / 2</t>
  </si>
  <si>
    <t>Резец токарный розточной скв. отв. Т15К6 20х16х200</t>
  </si>
  <si>
    <t>Резец токарный розточной скв. отв. Т15К6 20х20х170</t>
  </si>
  <si>
    <t>Резец токарный розточной скв. отв. Т15К6 20х20х200 / 20х20х220</t>
  </si>
  <si>
    <t>3 / 14</t>
  </si>
  <si>
    <t>Резец токарный розточной скв. отв. Т15К6 20х20х300</t>
  </si>
  <si>
    <t>Резец токарный розточной скв. отв. Т15К6 25х20х140 / 25х16х200</t>
  </si>
  <si>
    <t>1 / 42</t>
  </si>
  <si>
    <t>Резец токарный розточной скв. отв. Т15К6 20х20х240лев / 25х25х190лев</t>
  </si>
  <si>
    <t>Резец токарный розточной скв. отв. Т15К6 25х25х200</t>
  </si>
  <si>
    <t>Резец токарный розточной скв. отв. Т15К6 25х20х240 / 25х25х230</t>
  </si>
  <si>
    <t>Резец токарный розточной скв. отв. Т15К6 30х30х220</t>
  </si>
  <si>
    <t>Резец токарный розточной скв. отв. Т15К6 25х25х260 / 25х25х280</t>
  </si>
  <si>
    <t>27 / 2</t>
  </si>
  <si>
    <t>Резец токарный розточной скв. отв. Т15К6 32х30х220 / 35х20х230</t>
  </si>
  <si>
    <t>Резец токарный розточной скв. отв. Т15К6 32х25х270 / 30х30х250</t>
  </si>
  <si>
    <t>Резец токарный розточной скв. отв. Т15К6 30х30х320</t>
  </si>
  <si>
    <t>Резец токарный розточной глух. отв. Т15К6 d18х16х150</t>
  </si>
  <si>
    <t>67,20</t>
  </si>
  <si>
    <t>Резец токарный розточной глух. отв. Т15К6 d18х140</t>
  </si>
  <si>
    <t>Резец токарный розточной глух. отв. Т15К6 16х16х120 / 20х20х100</t>
  </si>
  <si>
    <t>32 / 2</t>
  </si>
  <si>
    <t>Резец токарный розточной глух. отв. Т15К6 16х16х140</t>
  </si>
  <si>
    <t>Резец токарный розточной глух. отв. Т15К6 16х16х170</t>
  </si>
  <si>
    <t>Резец токарный розточной глух. отв. Т15К6 20х20х140 / 20х20х170</t>
  </si>
  <si>
    <t>30 / 4</t>
  </si>
  <si>
    <t>Резец токарный розточной глух. отв. Т15К6 20х20х200</t>
  </si>
  <si>
    <t>Резец токарный розточной глух. отв. Т15К6 25х20х170лев</t>
  </si>
  <si>
    <t>Резец токарный розточной глух. отв. Т15К6 22х32х160</t>
  </si>
  <si>
    <t>Резец токарный розточной глух. отв. Т15К6 25х16х240 / 25х25х240</t>
  </si>
  <si>
    <t>Резец токарный розточной глух. отв. Т15К6 32х20х180 лев</t>
  </si>
  <si>
    <t>Резец токарный розточной глух. отв. Т15К6 32х32х280</t>
  </si>
  <si>
    <t>Резец токарный розточной глух.отв. D12х90мм Т5К10</t>
  </si>
  <si>
    <t>Резец токарный розточной глух. отв. Т5К10 16х16х120</t>
  </si>
  <si>
    <t>Резец токарный розточной глух. отв. Т5К10 16х16х140</t>
  </si>
  <si>
    <t>Резец токарный розточной глух. отв. Т5К10 16х16х170</t>
  </si>
  <si>
    <t>Резец токарный розточной глух. отв. Т5К10 20х20х140</t>
  </si>
  <si>
    <t>Резец токарный розточной глух. отв. Т5К10 20х20х170-180</t>
  </si>
  <si>
    <t>Резец токарный розточной глух. отв. Т5К10 20х25х170</t>
  </si>
  <si>
    <t>Резец токарный розточной глух. отв. Т5К10 20х20х200</t>
  </si>
  <si>
    <t>Резец токарный розточной глух. отв. Т5К10 25х25х200</t>
  </si>
  <si>
    <t>Резец токарный розточной глух. отв. Т5К10 25х16х250 / 25х25х240-260</t>
  </si>
  <si>
    <t>1 / 32</t>
  </si>
  <si>
    <t>Резец токарный розточной глух. отв. Т5К10 32х25х270 / 32х25х300</t>
  </si>
  <si>
    <t>Резец токарный розточной глух. отв. Т5К10 40х25х280</t>
  </si>
  <si>
    <t>Резец токарный розточной скв. отв. Т5К10 14х14х150 / 16х16х120</t>
  </si>
  <si>
    <t>9 / 11</t>
  </si>
  <si>
    <t>Резец токарный розточной скв. отв. Т5К10 16х16х140 / 16х12х170</t>
  </si>
  <si>
    <t>16 / 18</t>
  </si>
  <si>
    <t>Резец токарный розточной скв. отв. Т5К10 16х16х170</t>
  </si>
  <si>
    <t>Резец токарный розточной скв. отв. Т5К10 18х18х200</t>
  </si>
  <si>
    <t>Резец токарный розточной скв. отв. Т5К10 20х20х160</t>
  </si>
  <si>
    <t>Резец токарный розточной скв. отв. Т5К10 20х20х170</t>
  </si>
  <si>
    <t>Резец токарный розточной скв. отв. Т5К10 25х16х200</t>
  </si>
  <si>
    <t>Резец токарный розточной скв. отв. Т5К10 25х25х200</t>
  </si>
  <si>
    <t>Резец токарный розточной скв. отв. Т5К10 25х20х230-240</t>
  </si>
  <si>
    <t>Резец токарный розточной скв. отв. Т5К10 25х25х230-240</t>
  </si>
  <si>
    <t>Резец токарный розточной скв. отв. Т5К10 32х25х240 / 30х20х270</t>
  </si>
  <si>
    <t>2 / 7</t>
  </si>
  <si>
    <t>Резец токарный розточной скв. отв. Т5К10 25х25х280 / 32х25х290</t>
  </si>
  <si>
    <t>2 / 8</t>
  </si>
  <si>
    <t>Резец токарный розточной скв. отв. Т5К10 40х30х280 / 40х30х300</t>
  </si>
  <si>
    <t>Резец токарный розточной глух. отв. Т30К4 25х25х200</t>
  </si>
  <si>
    <t>Резец токарный розточной глух. отв. Т30К4 40х30х250</t>
  </si>
  <si>
    <t>Резец токарный розточной глух.отв. d3ммВК6М монолит</t>
  </si>
  <si>
    <t>Резец токарный розточной глух.отв. d4ммВК6М монолит</t>
  </si>
  <si>
    <t>Резец токарный розточной глух.отв. d5ммВК6М монолит</t>
  </si>
  <si>
    <t>Резец токарный розточной глух.отв. d6ммВК6М монолит</t>
  </si>
  <si>
    <t>Резец токарный розточной глух.отв. d7ммВК6М монолит</t>
  </si>
  <si>
    <t>Резец токарный розточной глух.отв. d8ммВК6М монолит</t>
  </si>
  <si>
    <t>Резец токарный розточной глух.отв. d10х70ммВК8 / d12х45ммВК8лев</t>
  </si>
  <si>
    <t>Резец токарный розточной глух.отв. D12х70ммВК8</t>
  </si>
  <si>
    <t>Резец токарный розточной глух.отв. D12х80мм Т15К6</t>
  </si>
  <si>
    <t>Резец токарный розточной глух.отв. D12х120-160ммВК8</t>
  </si>
  <si>
    <t>Резец токарный розточной глух.отв. D15х40мм т/с</t>
  </si>
  <si>
    <t>Резец токарный розточной глух.отв. d15х110ммВК8 / d16х130ммВК8</t>
  </si>
  <si>
    <t>19 / 3</t>
  </si>
  <si>
    <t>Резец токарный розточной глух.отв. d16х90ммВК8 лев</t>
  </si>
  <si>
    <t>Резец токарный розточной глух.отв. d17х115ммВК8</t>
  </si>
  <si>
    <t>Резец токарный розточной глух.отв. d18х60ммВК8</t>
  </si>
  <si>
    <t>Резец токарный розточной глух.отв. d18х100ммВК8 / d18х115ммВК8</t>
  </si>
  <si>
    <t>18 / 53</t>
  </si>
  <si>
    <t>Резец токарный розточной глух.отв. D18х120мм ВК8лев./ D19х80мм ВК8лев</t>
  </si>
  <si>
    <t>Резец токарный розточной глух.отв. D20х60мм т/с / d20х80ммВК8</t>
  </si>
  <si>
    <t>Резец токарный розточной глух.отв. D20х120мм т/с / d20х120мм т/с лев</t>
  </si>
  <si>
    <t>Резец токарный розточной глух.отв. d22х120ммВК8 / d24х150ммВК8</t>
  </si>
  <si>
    <t>5 / 21</t>
  </si>
  <si>
    <t>Резец токарный розточной глух.отв. d25х100ммВК8 / d25х110ммВК8</t>
  </si>
  <si>
    <t>7 / 9</t>
  </si>
  <si>
    <t>Резец токарный розточной глух.отв. d25х140ммВК8 / d25х180ммВК8</t>
  </si>
  <si>
    <t>Резец токарный розточной глух.отв. d25х240ммВК8лев /d26х240ммлев т/с</t>
  </si>
  <si>
    <t>Резец токарный розточной глух.отв. D30х60мм т/с / d30х100ммВК8</t>
  </si>
  <si>
    <t>9 / 6</t>
  </si>
  <si>
    <t>Резец токарный розточной глух.отв. ВК8 16х16х140</t>
  </si>
  <si>
    <t>Резец токарный розточной глух.отв. ВК8 16х16х160 / 16х16х170</t>
  </si>
  <si>
    <t>43 / 23</t>
  </si>
  <si>
    <t>Резец токарный розточной глух.отв. ВК8 20х20х140 / 20х16х160 / 25х25х140</t>
  </si>
  <si>
    <t>9 / 4 / 1</t>
  </si>
  <si>
    <t>Резец токарный розточной глух.отв. ВК8 20х16х200</t>
  </si>
  <si>
    <t>Резец токарный розточной глух.отв. ВК8 20х18х200</t>
  </si>
  <si>
    <t>Резец токарный розточной глух.отв. ВК8 20х20х200</t>
  </si>
  <si>
    <t>Резец токарный розточной глух.отв. ВК8 25х16х200 / 25х25х170</t>
  </si>
  <si>
    <t>50 / 1</t>
  </si>
  <si>
    <t>Резец токарный розточной глух.отв. ВК8 25х20х240 / 25х25х180лев</t>
  </si>
  <si>
    <t>41 / 1</t>
  </si>
  <si>
    <t>Резец токарный розточной глух.отв. ВК8 25х25х240 / 30х25х200</t>
  </si>
  <si>
    <t>Резец токарный розточной глух.отв. ВК8 30х25х240</t>
  </si>
  <si>
    <t>Резец токарный розточной глух.отв. ВК8 32х25х270</t>
  </si>
  <si>
    <t>Резец токарный розточной глух.отв. ВК8 32х25х175</t>
  </si>
  <si>
    <t>Резец токарный розточной глух.отв. ВК8 30х25х400 / 32х30х300</t>
  </si>
  <si>
    <t>Резец токарный розточной глух.отв. ВК8 20х20х170лев</t>
  </si>
  <si>
    <t>Резец токарный розточной глух.отв. ВК8 25х25х200лев / 25х25х240лев</t>
  </si>
  <si>
    <t>1 / 6</t>
  </si>
  <si>
    <t>Резец токарный розточной глух.отв. т/с 32х25х200лев</t>
  </si>
  <si>
    <t>Резец токарный розточной скв.отв т/с d16х55лев / d16х120лев</t>
  </si>
  <si>
    <t>9 / 3</t>
  </si>
  <si>
    <t>Резец токарный розточной скв.отв ВК8 d18х85 / d18х90 / d19х80лев</t>
  </si>
  <si>
    <t>3 / 3 / 4</t>
  </si>
  <si>
    <t>Резец токарный розточной скв.отв ВК8 d25х120</t>
  </si>
  <si>
    <t>Резец токарный розточной скв.отв ВК8 d25х160лев / d25х230лев</t>
  </si>
  <si>
    <t>2 / 4</t>
  </si>
  <si>
    <t>Резец токарный розточной скв.отв т/с d26х200лев / d25х230лев</t>
  </si>
  <si>
    <t>Резец токарный розточной скв.отв ВК8 16х12х170 / 16х16х140</t>
  </si>
  <si>
    <t>39 / 67</t>
  </si>
  <si>
    <t>Резец токарный розточной скв.отв ВК8 16х16х150</t>
  </si>
  <si>
    <t>Резец токарный розточной скв.отв ВК8 16х16х170 / 18х18х140</t>
  </si>
  <si>
    <t>34 / 40</t>
  </si>
  <si>
    <t>Резец токарный розточной скв.отв ВК8 20х20х170 / 20х16х210</t>
  </si>
  <si>
    <t>69 / 9</t>
  </si>
  <si>
    <t>Резец токарный розточной скв.отв ВК8 20х20х200 / 25х16х200</t>
  </si>
  <si>
    <t>32 / 146</t>
  </si>
  <si>
    <t>Резец токарный розточной скв.отв ВК8 20х20х160лев</t>
  </si>
  <si>
    <t>Резец токарный розточной скв.отв ВК8 25х25х160лев</t>
  </si>
  <si>
    <t>Резец токарный розточной скв.отв ВК8 25х25х280лев</t>
  </si>
  <si>
    <t>Резец токарный розточной скв.отв ВК8 25х25х200 / 28х30х200</t>
  </si>
  <si>
    <t>36 / 4</t>
  </si>
  <si>
    <t>Резец токарный розточной скв.отв. ВК8 25х20х240 / 25х25х230</t>
  </si>
  <si>
    <t>31 / 320</t>
  </si>
  <si>
    <t>Резец токарный розточной скв.отв. ВК8 25х20х270 / 25х25х260</t>
  </si>
  <si>
    <t>Резец токарный розточной скв.отв. ВК8 30х16х160</t>
  </si>
  <si>
    <t>Резец токарный розточной скв.отв. ВК8 30х25х240</t>
  </si>
  <si>
    <t>Резец токарный розточной скв.отв. ВК8 32х25х270 / 30х25х290</t>
  </si>
  <si>
    <t>11 / 2</t>
  </si>
  <si>
    <t>Резец токарный розточной скв.отв. ВК8 32х25х370</t>
  </si>
  <si>
    <t>Резец токарный розточной скв.отв. ВК8 40х30х250</t>
  </si>
  <si>
    <t>Резец токарный розточной скв.отв. ВК8 40х30х300</t>
  </si>
  <si>
    <t>Резец токарный розточной гексонитовый d6х40 / d6х45</t>
  </si>
  <si>
    <t>20 / 2</t>
  </si>
  <si>
    <t>95,00</t>
  </si>
  <si>
    <t>Резец токарный розточной гексонитовый d8х55</t>
  </si>
  <si>
    <t>Резец токарный розточной глух. Отв. Р6М5 d8х85</t>
  </si>
  <si>
    <t>Резец токарный розточной скв. Отв. Р6М5 10х10х120</t>
  </si>
  <si>
    <t>Резец токарный розточной скв. Отв. Р6М5 d15х70 / 14х14х130</t>
  </si>
  <si>
    <t>10 / 1</t>
  </si>
  <si>
    <t>Резец токарный розточной глух. Отв. Р9 d15х180</t>
  </si>
  <si>
    <t>Резец токарный розточной скв. Отв. Р6М5 16х16х150</t>
  </si>
  <si>
    <t>Резец токарный канавочный Р6М5 10х10х50 / 12х12х70 / 12х14х80</t>
  </si>
  <si>
    <t>14 / 22 / 1</t>
  </si>
  <si>
    <t>Резец токарный канавочный Р6М5 d15х70 / d15х100</t>
  </si>
  <si>
    <t>Резец токарный канавочный Р6М5 d18х50</t>
  </si>
  <si>
    <t>Резец токарный канавочный ВК8 d12х50 /d15х75 / d15х90</t>
  </si>
  <si>
    <t>15 / 7 / 8</t>
  </si>
  <si>
    <t>Резец токарный канавочный Т15К6 10х10х60</t>
  </si>
  <si>
    <t>Резец токарный канавочный ВК8 12х12х50 / 12х12х60 / тс 12х12х70</t>
  </si>
  <si>
    <t>9 / 16 / 13</t>
  </si>
  <si>
    <t>Резец токарный канавочный ВК8 15х16х50</t>
  </si>
  <si>
    <t>Резец токарный канавочный ВК8 d16х160мм / 12х12х70</t>
  </si>
  <si>
    <t>22 / 5</t>
  </si>
  <si>
    <t>Резец токарный канавочный ВК8 d20х120мм лев</t>
  </si>
  <si>
    <t>Резец токарный канавочный Т5К10 14х14х60</t>
  </si>
  <si>
    <t>Резец токарный канавочный Т5К10 20х20х300</t>
  </si>
  <si>
    <t>Резец токарный канавочный ВК8 14х14х110 /16х16х60 / 20х12х70</t>
  </si>
  <si>
    <t>11 / 15 / 13</t>
  </si>
  <si>
    <t>Резец токарный канавочный ВК8 20х20х100 / 20х16х120</t>
  </si>
  <si>
    <t>Резец токарный канавочный ВК8 25х16х120 / 25х16х160</t>
  </si>
  <si>
    <t>Резец токарный канавочный т/с 26х16х140 / 25х20х140</t>
  </si>
  <si>
    <t>2 / 14</t>
  </si>
  <si>
    <t>Резец токарный канавочный Т5К10 25х20х145</t>
  </si>
  <si>
    <t>Резец токарный канавочный ВК8 25х20х140 / 32х20х180</t>
  </si>
  <si>
    <t>Резец токарный канавочный ВК8 25х20х240 / 25х20х220угл.</t>
  </si>
  <si>
    <t>Резец токарный канавочный Т5К10 32х20х170</t>
  </si>
  <si>
    <t>Резец токарный канавочный Т15К6 25х20х140 / 32х22х140</t>
  </si>
  <si>
    <t>Резец токарный канавочный Р6М5 20х20х300</t>
  </si>
  <si>
    <t>Резец токарный канавочный Р6М5 16х16х220 Р9</t>
  </si>
  <si>
    <t>Резец токарный канавочный Р6М5 16х16х110 Р18</t>
  </si>
  <si>
    <t>Резец токарный канавочный Р6М5 10х8х70 Р6М5</t>
  </si>
  <si>
    <t>Резец токарный канавочный угловой ВК8 20х16х120</t>
  </si>
  <si>
    <t>Резец токарный канавочный угловой ВК8 20х16х150</t>
  </si>
  <si>
    <t>Резец токарный канавочный внутр. ВК8 8х8х70 / 8х8х80</t>
  </si>
  <si>
    <t>4 / 24</t>
  </si>
  <si>
    <t>Резец токарный канавочный внутр. Тс d15х90 / d15х90Р6М5</t>
  </si>
  <si>
    <t>Резец токарный канавочный внутр. ВК8 d20х140 /d32х160</t>
  </si>
  <si>
    <t>Резец токарный канавочный внутр. Т5К10 16х16х140</t>
  </si>
  <si>
    <t>Резец токарный канавочный внутр. ВК8 20х20х160 / 20х16х170</t>
  </si>
  <si>
    <t>Резец токарный канавочный внутр. ВК8 25х16х140 / 25х25х100</t>
  </si>
  <si>
    <t>Резец токарный канавочный внутр. Т/с 20х20х200 / 25х20х230</t>
  </si>
  <si>
    <t>Резец токарный канавочный внутр. Т5К10 20х20х160</t>
  </si>
  <si>
    <t>Резец токарный канавочный внутр. Т/с 20х16х180</t>
  </si>
  <si>
    <t>Резец токарный канавочный внутр. Т/с 20х20х160лев / 20х20х200 лев</t>
  </si>
  <si>
    <t>Резец токарный канавочный внутр. Т15К6 25х16х140 / т/с 25х16х140</t>
  </si>
  <si>
    <t>Резец токарный канавочный внутр. ВК8 25х20х160 / 25х25х150</t>
  </si>
  <si>
    <t>Резец токарный канавочный внутр. Р18 25х25х180</t>
  </si>
  <si>
    <t>Резец токарный канавочный внутр. Т5К10 25х25х240</t>
  </si>
  <si>
    <t>Резец токарный канавочный внутр. ВК8 25х30х200 / 30х30х170</t>
  </si>
  <si>
    <t>Резец токарный канавочный внутр. Т/с 30х22х200</t>
  </si>
  <si>
    <t>Резец токарный канавочный внутр. ВК8 32х20х170 лев</t>
  </si>
  <si>
    <t>Резец токарный канавочный внутр. Т5К10 40х30х250 / лев</t>
  </si>
  <si>
    <t>Резец канавочный (строгальный) мон-ный Р18 25х16х170</t>
  </si>
  <si>
    <t>Резец канавочный Р6М5 12х12х150 / 16х14х100 / 20х16х140</t>
  </si>
  <si>
    <t>11 / 1 / 1</t>
  </si>
  <si>
    <t>Резец канавочный Р6М5 11х11х70 / 10х10х60</t>
  </si>
  <si>
    <t>56 / 18</t>
  </si>
  <si>
    <t>Резец канавочный Р6М5 8х8х70 / 8х8х50</t>
  </si>
  <si>
    <t>33 / 17</t>
  </si>
  <si>
    <t>Резец токарный фасонный т/с 8х8х70</t>
  </si>
  <si>
    <t>Резец токарный фасонный т/с 25х20х140</t>
  </si>
  <si>
    <t>Резец токарный радиусный Р6М5 12х12х80 / тс 12х12х70</t>
  </si>
  <si>
    <t>Резец токарный радиусный Т15К6 12х12х55</t>
  </si>
  <si>
    <t>Резец токарный радиусный Т5К10 16х16х20</t>
  </si>
  <si>
    <t>Резец токарный радиусный ВК8 d20х120</t>
  </si>
  <si>
    <t>Резец токарный радиусный 25х20х160</t>
  </si>
  <si>
    <t>Резец токарный радиусный тс 16х16х100</t>
  </si>
  <si>
    <t>Резец токарный радиусный ВК8 16х16х120 / 20х20х90</t>
  </si>
  <si>
    <t>Резец токарный радиусный ВК8 20х20х140 / 25х16х140</t>
  </si>
  <si>
    <t>Резец токарный радиусный ВК8 25х20х140 / 32х20х180</t>
  </si>
  <si>
    <t>Резец токарный радиусный Р6М5 12х12х75</t>
  </si>
  <si>
    <t>Резец токарный радиусный Р6М5 16х16х80 / 16х16х100</t>
  </si>
  <si>
    <t>Резец токарный радиусный Р6М5 20х20х100</t>
  </si>
  <si>
    <t>Резец угловой ВК8 12Х12Х70 / угл. 16х16х70</t>
  </si>
  <si>
    <t>13 / 21</t>
  </si>
  <si>
    <t>Резец угловой 60* ВК8 16Х16Х150лев.</t>
  </si>
  <si>
    <t>46,20</t>
  </si>
  <si>
    <t>Резец угловой 45* ВК8 25х20х140 / угл. 25х16х140 / угл. 25х16х100</t>
  </si>
  <si>
    <t>2 / 15 / 3</t>
  </si>
  <si>
    <t>Резец угловой 45* ВК8 25х25х160лев.</t>
  </si>
  <si>
    <t>Резец угловой ВК8 25х20х250лев / 25х25х220лев.</t>
  </si>
  <si>
    <t>Резец угловой 45* ВК8 25х16х200 / 25х20х250</t>
  </si>
  <si>
    <t>Резец угловой 14х14х60</t>
  </si>
  <si>
    <t>Резец угловой ВК8 25х16х140 / 32х20х170</t>
  </si>
  <si>
    <t>36 / 2</t>
  </si>
  <si>
    <t>Резец токарный угловой 70" Т5К10 32х20х140</t>
  </si>
  <si>
    <t>Резец угловой Р6М5 16х16х65 / 16х16х140</t>
  </si>
  <si>
    <t>2 / 11</t>
  </si>
  <si>
    <t>Резец угловой Р6М5 16х16х120</t>
  </si>
  <si>
    <t>Резец строгальный Т15К6 20х16х200 / Т15К6 25х20х200</t>
  </si>
  <si>
    <t>Резец строгальный ВК8 30х25х200 / стр. канав. 32х25х230</t>
  </si>
  <si>
    <t>12 / 3</t>
  </si>
  <si>
    <t>Резец для шкивов профиль Б-25х16х170т/с / Б-25х20х140 т/с</t>
  </si>
  <si>
    <t>Резец-заготовка Р6М5 8х8х150 / 8х8х180</t>
  </si>
  <si>
    <t>317 / 2</t>
  </si>
  <si>
    <t>Резец-заготовка Р6М5 9х9х150 шлиф</t>
  </si>
  <si>
    <t>Резец-заготовка Р6М5 10х10х150 шлиф</t>
  </si>
  <si>
    <t>Резец-заготовка Р6М5 10х10х180 шлиф</t>
  </si>
  <si>
    <t>Резец-заготовка Р6М5 12х6х150</t>
  </si>
  <si>
    <t>Резец-заготовка Р6М5 12х12х120</t>
  </si>
  <si>
    <t>Резец-заготовка Р6М5 12х12х150 шлиф</t>
  </si>
  <si>
    <t>Резец-заготовка Р6М5 12х12х150</t>
  </si>
  <si>
    <t>Резец-заготовка Р6М5 12х12х180 шлиф</t>
  </si>
  <si>
    <t>Резец-заготовка Р6М5 14х14х95</t>
  </si>
  <si>
    <t>Резец-заготовка Р6М5 21х9х130</t>
  </si>
  <si>
    <t>Резец-заготовка Р6М5 18х18х150 шлиф</t>
  </si>
  <si>
    <t>Резец-заготовка Р6М5 20х20х120 / 23х5х125ласт хв</t>
  </si>
  <si>
    <t>Резец долбежный угол 90* Р6М5 16х16х150</t>
  </si>
  <si>
    <t>Резец фасонный Р6М5 16х16х120</t>
  </si>
  <si>
    <t>Накатка 1-но роликовая б/у</t>
  </si>
  <si>
    <t>Накатка 2-х роликовая б/у</t>
  </si>
  <si>
    <t>Ролик накатной прямой d24х9х9мм</t>
  </si>
  <si>
    <t>Ролик накатной косой d27х14хd14мм / прямой d27х14хd14мм</t>
  </si>
  <si>
    <t>Ролик накатной сетчатый d28х14хd14мм / d30х10х10мм</t>
  </si>
  <si>
    <t>85,00</t>
  </si>
  <si>
    <t>Ролик накатной косой d30х15хd14мм</t>
  </si>
  <si>
    <t>Ролик накатной прямой d32х8х10мм / d34х14хd12мм /d45-50х13хd12мм</t>
  </si>
  <si>
    <t>8 / 1 / 2</t>
  </si>
  <si>
    <t>Ролик накатной косой d32х6х10мм / косой d32х8х10мм / d32х14хd14мм</t>
  </si>
  <si>
    <t>1 / 5 / 2</t>
  </si>
  <si>
    <t>17. Р Е З Ц Ы Т О К А Р Н Ы Е С М Е Х А Н И Ч Е С К И М К Р Е П Л Е Н И Е М</t>
  </si>
  <si>
    <t>Резец токарный резьбовой с мех. крепл. ВК8 25х16х150</t>
  </si>
  <si>
    <t>Резец токарный резьбовой с мех. крепл. ВК8 25х25х160</t>
  </si>
  <si>
    <t>Резец токарный резьбовой внутр. с мех. крепл. 23х25х150</t>
  </si>
  <si>
    <t>Резец токарный резьбовой внутр. с мех. крепл. 32х32х170</t>
  </si>
  <si>
    <t>Резец токарный отрезной с мех. крепл. 25х20х150 (+20пластин)</t>
  </si>
  <si>
    <t>Резец токарный проходной с мех. крепл. 5гр. 20х20х120</t>
  </si>
  <si>
    <t>Резец токарный проходной с мех. крепл. 5гр. 25х20х120 / 25х20х140</t>
  </si>
  <si>
    <t>Резец токарный проходной с мех. крепл. 5гр. 25х25х140</t>
  </si>
  <si>
    <t>Резец токарный проходной с мех. крепл. 5гр. 32х20х140 / 40х20х200</t>
  </si>
  <si>
    <t>Резец токарный проходной прям. с мех. крепл. 4гр. 20х16х120</t>
  </si>
  <si>
    <t>Резец токарный проходной прям. с мех. крепл. 4гр. 25х16х140 (+10пластин)</t>
  </si>
  <si>
    <t>Резец токарный проходной с мех. крепл. 4гр. 25х20х120 / 25х20х140</t>
  </si>
  <si>
    <t>2 / 13</t>
  </si>
  <si>
    <t>Резец токарный проходной с мех. крепл. 4гр. 25х20х150 / 25х25х150</t>
  </si>
  <si>
    <t>5 / 14</t>
  </si>
  <si>
    <t>Резец токарный проходной с мех. крепл. 4гр. 25х25х160</t>
  </si>
  <si>
    <t>Резец токарный проходной с мех. крепл. 4гр. 32х25х170</t>
  </si>
  <si>
    <t>Резец токарный проходной с мех. крепл. 3гр. 20х16х120 / 25х16х140</t>
  </si>
  <si>
    <t>1 / 17</t>
  </si>
  <si>
    <t>Резец токарный проходной с мех. крепл. 3гр. ломан. Приж. 20х20х125</t>
  </si>
  <si>
    <t>Резец токарный проходной с мех. крепл. 3гр. 25х20х120</t>
  </si>
  <si>
    <t>Резец токарный проходной с мех. крепл. 3гр. ломан. приж. 25х25х160</t>
  </si>
  <si>
    <t>Резец токарный проходной с мех. крепл. 3гр. ломан. ср. клин. 25х25х160 Т5К10</t>
  </si>
  <si>
    <t>Резец токарный проходной с мех. крепл. 3гр. ломан. приж. 25х25х160лев</t>
  </si>
  <si>
    <t>Резец токарный проходной с мех. крепл. 3гр. 28х20х140лев.</t>
  </si>
  <si>
    <t>Резец токарный проходной с мех. креп. 3гр. прямой 32х20х120</t>
  </si>
  <si>
    <t>Резец токарный проходной с мех. креп. 3гр. прямой 32х25х160</t>
  </si>
  <si>
    <t>Резец токарный проходной с мех. креп. 3гр. прямой 32х32х170 лев</t>
  </si>
  <si>
    <t>Резец токарный проходной с мех. крепл. 3гр. ломан. клин 32х25х170</t>
  </si>
  <si>
    <t>Резец токарный проходной с мех. крепл. 3гр.ломан.приж.32х25х170пр</t>
  </si>
  <si>
    <t>Резец токарный проходной с мех. крепл. 3гр. ломан. клин 32х25х170лев.</t>
  </si>
  <si>
    <t>Резец токарный проходной с мех. крепл. 3гр. ломан. Приж. 32х32х170лев.</t>
  </si>
  <si>
    <t>Резец токарный проходной с мех. крепл. 3гр. 40х30х200</t>
  </si>
  <si>
    <t>Резец токарный проходной с мех. крепл. 6гр. 25х20х140</t>
  </si>
  <si>
    <t>Резец токарный проходной с мех. крепл. ромб. 16х16х100 (+10пластин)</t>
  </si>
  <si>
    <t>Резец токарный проходной с мех. крепл. ромб. 25х25х140</t>
  </si>
  <si>
    <t>Резец токарный проходной с мех. крепл. ромб. 25х25х150 крамика</t>
  </si>
  <si>
    <t>Резец токарный проходной с мех. крепл. ромб. 32х32х160</t>
  </si>
  <si>
    <t>Резец для контурн. точения с мех. кр. паралелогр."шифер" 25х25х150прав</t>
  </si>
  <si>
    <t>Резец для контурн. точения с мех. кр. паралелогр."шифер" 25х25х150лев</t>
  </si>
  <si>
    <t>Резец токарный проходной с мех. крепл. "эльбор" 16х16х110 (+ 1 вставка)</t>
  </si>
  <si>
    <t>Резец токарный проходной с мех. крепл. "эльбор" 16х16х120</t>
  </si>
  <si>
    <t>Резец токарный проходной с мех. крепл. "эльбор" 3х гр. 20х20х120</t>
  </si>
  <si>
    <t>Резец токарный проходной с мех. крепл. "эльбор" 20х20х170 (+ 1 вставка)</t>
  </si>
  <si>
    <t>Резец токарный проходной с мех. крепл. "эльбор" 25х16х140</t>
  </si>
  <si>
    <t>Резец токарный подрезной с мех. крепл. "эльбор" 20х20х125</t>
  </si>
  <si>
    <t>Резец токарный подрезной с мех. крепл. "эльбор" 25х20х160 (+2 вставки)</t>
  </si>
  <si>
    <t>Резец токарный подрезной с мех. крепл. ромб 20х20х125</t>
  </si>
  <si>
    <t>Резец токарный подрезной с мех. крепл. ромб 25х25х150</t>
  </si>
  <si>
    <t>Резец токарный розточной глух. с мех. крепл. D3х3 24х24х170</t>
  </si>
  <si>
    <t>Резец токарный розточной глух. с мех. крепл. D3х3 20х25х200</t>
  </si>
  <si>
    <t>Резец токарный розточной глух. с мех. крепл. Ромб. 25х200 лев</t>
  </si>
  <si>
    <t>Резец токарный розточной глух. с мех. крепл. 40х250</t>
  </si>
  <si>
    <t>Резец токарный розточной сквозн. с мех. крепл. ромб 23х25х200</t>
  </si>
  <si>
    <t>Резец токарный розточной сквозн. с мех. крепл. 4гр. 25х25х250</t>
  </si>
  <si>
    <t>Резец токарный розточной с мех. крепл. "эльбор" 25х20х170</t>
  </si>
  <si>
    <t>Резец токарный розточной с мех. крепл. "гексонит" 22х25х200</t>
  </si>
  <si>
    <t>Резец токарный розточной cквозн. с мех. крепл. "гексонит" 22х23х170</t>
  </si>
  <si>
    <t>18. М Е Т А Л Л О Р Е Ж У Щ И Й И Н С Т Р У М Е Н Т</t>
  </si>
  <si>
    <t>Ножовка по металлу</t>
  </si>
  <si>
    <t>Полотно ножовочное</t>
  </si>
  <si>
    <t>Полотно машинное (Робеля) 350х32х4х2 (11Р3АМ3Ф2)</t>
  </si>
  <si>
    <t>Полотно машинное (Робеля) 400х32х4х2</t>
  </si>
  <si>
    <t>Полотно машинное (Робеля) 450х32х4х2</t>
  </si>
  <si>
    <t>294,00</t>
  </si>
  <si>
    <t>Полотно машинное (Робеля) 450х40х4х2</t>
  </si>
  <si>
    <t>Полотно машинное (Робеля) 500х40х4х2</t>
  </si>
  <si>
    <t>Пила сегментная 400мм</t>
  </si>
  <si>
    <t>Пила сегментная 510мм (4зуб)</t>
  </si>
  <si>
    <t>1386,00</t>
  </si>
  <si>
    <t>Пила сегментная 630мм (4зуб / 6зуб)</t>
  </si>
  <si>
    <t>1890,00</t>
  </si>
  <si>
    <t>Пила сегментная 710мм (8зуб)</t>
  </si>
  <si>
    <t>Ножницы рычажные для проволки до 3мм СССР (деревянная ручка)</t>
  </si>
  <si>
    <t>Ножницы рычажные для проволки до 6мм СССР</t>
  </si>
  <si>
    <t>Ножницы рычажные для проволки до 8мм СССР</t>
  </si>
  <si>
    <t>Ножницы для резки листовой стали до 2мм (крепление в деревяную колоду)</t>
  </si>
  <si>
    <t>Ножницы стуловые для резки листовой стали до 3мм</t>
  </si>
  <si>
    <t>3120,00</t>
  </si>
  <si>
    <t>Ножницы по металу с прям. резом Cr-V, 250 мм</t>
  </si>
  <si>
    <t>267,00</t>
  </si>
  <si>
    <t>Клейма цифровые 2мм / 3мм</t>
  </si>
  <si>
    <t>Клейма цифровые 4мм</t>
  </si>
  <si>
    <t>Клейма цифровые 5мм</t>
  </si>
  <si>
    <t>Клейма цифровые 6мм</t>
  </si>
  <si>
    <t>Клейма цифровые 10мм</t>
  </si>
  <si>
    <t>Клейма алфавит 2мм / 3мм</t>
  </si>
  <si>
    <t>Клейма алфавит 28шт ЛИЗ 3мм</t>
  </si>
  <si>
    <t>Клейма алфавит 5мм</t>
  </si>
  <si>
    <t>1560,00</t>
  </si>
  <si>
    <t>Клейма алфавит 6мм</t>
  </si>
  <si>
    <t>Клейма алфавит 8мм / 8мм без А</t>
  </si>
  <si>
    <t>Пластина твердосплавная 5гр. отв.6мм со стружколомом 10114-110408(т15 и ВК8)</t>
  </si>
  <si>
    <t>75 / 412</t>
  </si>
  <si>
    <t>Пластина твер-ная 5гр. отв.6мм гладк. 10113-110408 ВК8 / Т5К10 / Т15К6</t>
  </si>
  <si>
    <t>20 / 30 / 30</t>
  </si>
  <si>
    <t>Пластина твердосплавная 5гр. большая со стружк. ВК8 КИБ 101114-130612</t>
  </si>
  <si>
    <t>79,80</t>
  </si>
  <si>
    <t>Пластина твер-ная 5гр. отв.8мм гладк. 10113-110412 Т15К6</t>
  </si>
  <si>
    <t>Пластина твердосплавная 4гр. мелкая Т15К10 03114-120408</t>
  </si>
  <si>
    <t>Пластина твердосплавная 4гр. мелкая ВК8 03114-120408 / 0900304</t>
  </si>
  <si>
    <t>395 / 1</t>
  </si>
  <si>
    <t>Пластина твердосплавная 4гр. средняя Т15К6 03114-090308</t>
  </si>
  <si>
    <t>Пластина твердосплавная 4гр. средн Т15К6 03114-150412 / 02114-100608</t>
  </si>
  <si>
    <t>112 / 27</t>
  </si>
  <si>
    <t>49,50</t>
  </si>
  <si>
    <t>Пластина твердосплавная 4гр. гладкая Т15К6 (15,8х4,76мм)</t>
  </si>
  <si>
    <t>Пластина твердосплавная 4гр. средняя Т5К10 03114-150412</t>
  </si>
  <si>
    <t>Пластина твердосплавная 4гр. средняя ВК8 03114-150412</t>
  </si>
  <si>
    <t>Пластина твердосплавная 4гр. большая ВК8</t>
  </si>
  <si>
    <t>Пластина твердосплавная 4гр. без отверстия Т15К6 03111-120408</t>
  </si>
  <si>
    <t>Пластина твердосплавная керамика 4гр. КНТ16 / ТН20</t>
  </si>
  <si>
    <t>101 / 180</t>
  </si>
  <si>
    <t>55,50</t>
  </si>
  <si>
    <t>Пластина твердосплавная керамика без отверстия 4гр. ВОК (зел/красн)</t>
  </si>
  <si>
    <t>16 / 27</t>
  </si>
  <si>
    <t>Пластина твердосплавная 3гр. мелкая Т15К6 02114-060308 (2,9гр)</t>
  </si>
  <si>
    <t>Пластина твердосплавная 3гр. мелкая ВК8 02114-080408</t>
  </si>
  <si>
    <t>94 ?</t>
  </si>
  <si>
    <t>Пластина твердосплавная 3гр. мелкая Т5К10 02114-060304</t>
  </si>
  <si>
    <t>Пластина твердосплавная 3гр. мелкая Т5К10 02114-080408</t>
  </si>
  <si>
    <t>Пластина твердосплавная 3гр. средняя ВК1755-Р30 01114-220408</t>
  </si>
  <si>
    <t>35,40</t>
  </si>
  <si>
    <t>Пластина твердосплавная 3гр. мелкая Т15К6 02114-080404</t>
  </si>
  <si>
    <t>Пластина твердосплавная 3гр. средняя Т5К10 02114-100608 (отв. 6,3мм)</t>
  </si>
  <si>
    <t>Пластина твердосплавная 3гр. средняя Т15К6 02114-100608 (отв. 6,3мм)</t>
  </si>
  <si>
    <t>Пластина твердосплавная 3гр. средняя ВК8 02114-100608 (отв. 6,3мм)</t>
  </si>
  <si>
    <t>Пластина твердосплавная 3гр. большая Т5К10 02114-120612(отв. 7,93мм)</t>
  </si>
  <si>
    <t>Пластина твердосплавная 3гр. большая ВК8 02114-120612(отв. 7,93мм)</t>
  </si>
  <si>
    <t>Пластина твердосплавная 3гр. без отверстия Т15К6 01117-160408</t>
  </si>
  <si>
    <t>Пластина твердосплавная 3гр. без отверстия ВОК71</t>
  </si>
  <si>
    <t>Пластина твер-ная ромб. Т15К6 / ВК8 / Т5К10 05114-120412 / 2008-1952</t>
  </si>
  <si>
    <t>45/ 800 /169</t>
  </si>
  <si>
    <t>Пластина твер-ная ромб. 05114-190612</t>
  </si>
  <si>
    <t>Пластина твер-ная ромб. Резц.</t>
  </si>
  <si>
    <t>Пластина твер-ная круглая 12113-150600 Т5К10 (Р40)</t>
  </si>
  <si>
    <t>Пластина параллелогр. (шифер) прав. 08116-190610 Т5К10 / ВК8 / Т15</t>
  </si>
  <si>
    <t>588 / 7 / 140</t>
  </si>
  <si>
    <t>Пластина параллелогр. (шифер) лев. 08116-190610 Т15К6 / Т5К10</t>
  </si>
  <si>
    <t>41 / 118</t>
  </si>
  <si>
    <t>Пластина шаберная ВК6-ОМ 30х15</t>
  </si>
  <si>
    <t>Пластина отрезная Т5К10 13171 (6.54) / 1363</t>
  </si>
  <si>
    <t>29 / 80</t>
  </si>
  <si>
    <t>Пластина отрезная Т5К10 13151</t>
  </si>
  <si>
    <t>22,50</t>
  </si>
  <si>
    <t>Пластина отрезная Т15К6 13131 (3.53)</t>
  </si>
  <si>
    <t>Пластина отрезная Т15К6 13151</t>
  </si>
  <si>
    <t>22,80</t>
  </si>
  <si>
    <t>Пластина отрезная Т15К6 13351</t>
  </si>
  <si>
    <t>Пластина отрезная Т15К6 13532 (1.7)</t>
  </si>
  <si>
    <t>Пластина отрезная Т15К6 13572 (4.8)</t>
  </si>
  <si>
    <t>Пластина отрезная Т15К6 13171 (11.5)</t>
  </si>
  <si>
    <t>Пластина отрезная Т15К6 13351 (5.73)</t>
  </si>
  <si>
    <t>23,50</t>
  </si>
  <si>
    <t>Пластина отрезная ВК8 13552 (2.84)</t>
  </si>
  <si>
    <t>Пластина отрезная ВК8 13572 (4.08)</t>
  </si>
  <si>
    <t>Пластина отрезная ВК8 13151 (4.46)</t>
  </si>
  <si>
    <t>Пластина отрезная ВК8 13131 (4.54)</t>
  </si>
  <si>
    <t>Пластина отрезная ВК8 13171 (7.5)</t>
  </si>
  <si>
    <t>25,50</t>
  </si>
  <si>
    <t>Пластина отрезная ВК8 13612 (12гр)</t>
  </si>
  <si>
    <t>38,70</t>
  </si>
  <si>
    <t>Пластина резьбовая Т5К10 11170 (2.55)</t>
  </si>
  <si>
    <t>Пластина резьбовая Т5К10 11210 (9.77)</t>
  </si>
  <si>
    <t>Пластина резьбовая Т5К10 11190 (13.95)</t>
  </si>
  <si>
    <t>Пластина резьбовая Т5К10 11230 (15.27)</t>
  </si>
  <si>
    <t>33,60</t>
  </si>
  <si>
    <t>Пластина резьбовая Т15К6 11170 (2.27)</t>
  </si>
  <si>
    <t>13,50</t>
  </si>
  <si>
    <t>Пластина резьбовая Т15К6 11210 (9,70)</t>
  </si>
  <si>
    <t>Пластина резьбовая Т15К6 11230 (13.50)</t>
  </si>
  <si>
    <t>Пластина резьбовая ВК8 11150 (1.73) / ВК3М 11150 (1.76)</t>
  </si>
  <si>
    <t>250 / 500</t>
  </si>
  <si>
    <t>Пластина резьбовая ВК8 11170 (2.91) / ВК6М 11170 (2.91)</t>
  </si>
  <si>
    <t>1033 / 120</t>
  </si>
  <si>
    <t>Пластина резьбовая ВК8 11190 (4.52)</t>
  </si>
  <si>
    <t>23,70</t>
  </si>
  <si>
    <t>Пластина резьбовая ВК8 11210 (9.31)</t>
  </si>
  <si>
    <t>Пластина резьбовая ВК8 11230 (17.48)</t>
  </si>
  <si>
    <t>Пластина подрезная Т5К10 07115 (16.58)</t>
  </si>
  <si>
    <t>Пластина подрезная Т15К6 67390 (7.51)</t>
  </si>
  <si>
    <t>Пластина подрезная Т15К6 07410 (16.3) / 07420лев (16.3)</t>
  </si>
  <si>
    <t>45 / 50</t>
  </si>
  <si>
    <t>Пластина подрезная Т15К6 67340 (26.1)</t>
  </si>
  <si>
    <t>71,40</t>
  </si>
  <si>
    <t>Пластина подрезная ВК8 07090</t>
  </si>
  <si>
    <t>Пластина подрезная ВК8 67390 (7.54) / ВК8 07130</t>
  </si>
  <si>
    <t>250 / 81</t>
  </si>
  <si>
    <t>Пластина подрезная ВК8 07160 (18.98)</t>
  </si>
  <si>
    <t>Пластина подрезная ВК8 67410 (16,7)</t>
  </si>
  <si>
    <t>Пластина подрезная ВК8 67330 (31.2)</t>
  </si>
  <si>
    <t>Пластина проходная Т5К10 06050 (4.46)</t>
  </si>
  <si>
    <t>Пластина проходная Т15К6 10471 (4.56)</t>
  </si>
  <si>
    <t>25,20</t>
  </si>
  <si>
    <t>Пластина проходная Т15К6 02251 (10.71)</t>
  </si>
  <si>
    <t>Пластина проходная Т15К6 02311 (29.0)</t>
  </si>
  <si>
    <t>Пластина проходная Т15К6 70541 (31.6)</t>
  </si>
  <si>
    <t>Пластина проходная Т15К6 70551 (36)</t>
  </si>
  <si>
    <t>Пластина проходная ВК8 10491 (8.91) / 70311</t>
  </si>
  <si>
    <t>39 / 17</t>
  </si>
  <si>
    <t>Пластина проходная ВК8 01391 (10)</t>
  </si>
  <si>
    <t>Пластина проходная ВК8 02251 (14,0) / 02271</t>
  </si>
  <si>
    <t>91 / 68</t>
  </si>
  <si>
    <t>Пластина проходная ВК8 02351 (69,0)</t>
  </si>
  <si>
    <t>Пластина росточная гл.отв. Т5К10 06050 (4.26)</t>
  </si>
  <si>
    <t>Пластина росточная гл.отв. Т5К10 10491 (9.93)</t>
  </si>
  <si>
    <t>Пластина росточная гл.отв. Т15К6 06050 (4.26)</t>
  </si>
  <si>
    <t>Пластина росточная гл.отв. Т15К6 06090 (8.88)</t>
  </si>
  <si>
    <t>Пластина росточная гл.отв. Т15К6 06170 (28.3)</t>
  </si>
  <si>
    <t>75,60</t>
  </si>
  <si>
    <t>Пластина росточная гл.отв. ВК8 06050 (4.26)</t>
  </si>
  <si>
    <t>Пластина росточная гл.отв. ВК8 06360 (4.91)</t>
  </si>
  <si>
    <t>Пластина росточная гл.отв. ВК8 06090 (11.6)</t>
  </si>
  <si>
    <t>Пластина росточная скв.отв. Т5К10 01371 (5,51)</t>
  </si>
  <si>
    <t>Пластина росточная скв.отв. Т5К10 02651 (8.16)</t>
  </si>
  <si>
    <t>Пластина росточная скв.отв. Т15К6 1391 (9.55)</t>
  </si>
  <si>
    <t>Пластина росточная скв.отв. ВК8 61151 (21.8)</t>
  </si>
  <si>
    <t>Пластина росточная скв.отв. ВК8 02651 (9.34)</t>
  </si>
  <si>
    <t>Пластина для шкивов 32210 / 32230 ВК8</t>
  </si>
  <si>
    <t>63,00 / 78,00</t>
  </si>
  <si>
    <t>Вставка расточной головки, резца 4123 Т15К6 d5,2х25мм</t>
  </si>
  <si>
    <t>Нож к скоростной фрезе Т5К10 0001</t>
  </si>
  <si>
    <t>Нож к скоростной фрезе 0003пр ВК8 / 0003лев ВК8 / 0003пр Т5К10</t>
  </si>
  <si>
    <t>39 / 68 / 176</t>
  </si>
  <si>
    <t>Нож к скоростной фрезе 0003пр Т15К6 (?)</t>
  </si>
  <si>
    <t>Нож к скоростной фрезе Т5К10 0005пр</t>
  </si>
  <si>
    <t>Нож к скоростной фрезе Т5К10 0007пр / ВК8 0007пр</t>
  </si>
  <si>
    <t>13 / 7</t>
  </si>
  <si>
    <t>Нож рифл. к фрезе ВК8 0015</t>
  </si>
  <si>
    <t>Резец-вставка эльборовая d8х20мм пр</t>
  </si>
  <si>
    <t>Резец-вставка эльборовая d8х22мм пр</t>
  </si>
  <si>
    <t>Резец-вставка эльборовая d8х30мм лев / прав</t>
  </si>
  <si>
    <t>20 / 8</t>
  </si>
  <si>
    <t>Резец-вставка эльборовая d10х17мм пр</t>
  </si>
  <si>
    <t>Резец-вставка эльборовая d10х25мм пр</t>
  </si>
  <si>
    <t>Резец-вставка эльборовая d10х41мм лев</t>
  </si>
  <si>
    <t>Резец-вставка эльборовая К01 d12 (11х27мм) лев</t>
  </si>
  <si>
    <t>Резец-вставка эльборовая К01 d16 (15х60мм) лев</t>
  </si>
  <si>
    <t>Резец-вставка эльборовая d16х35мм лев / d16х35мм К10прав</t>
  </si>
  <si>
    <t>16 / 12</t>
  </si>
  <si>
    <t>Резец-вставка эльборовая "Эльбор Р" d16 (16х11х80мм) лев</t>
  </si>
  <si>
    <t>Резец-вставка эльборовая К01-12х12х65мм лев / К10-12х12х65мм лев</t>
  </si>
  <si>
    <t>29 / 17</t>
  </si>
  <si>
    <t>Резец-вставка эльборовая К01-16х12х80мм прав</t>
  </si>
  <si>
    <t>200,00</t>
  </si>
  <si>
    <t>Развертка ручная М2 / М3</t>
  </si>
  <si>
    <t>5 / 585</t>
  </si>
  <si>
    <t>50,00</t>
  </si>
  <si>
    <t>Развертка ручная М3.4 / М3.5 / М3,6</t>
  </si>
  <si>
    <t>13 / 87 / 49</t>
  </si>
  <si>
    <t>Развертка ручная М4 / М4,2</t>
  </si>
  <si>
    <t>451 / 37</t>
  </si>
  <si>
    <t>Развертка ручная М4,5 / М4.8</t>
  </si>
  <si>
    <t>60 / 20</t>
  </si>
  <si>
    <t>Развертка ручная М5 / М5,2 / М5,5</t>
  </si>
  <si>
    <t>461 / 8 / 9</t>
  </si>
  <si>
    <t>Развертка ручная М6</t>
  </si>
  <si>
    <t>Развертка ручная М7 / М7,5</t>
  </si>
  <si>
    <t>37 / 54</t>
  </si>
  <si>
    <t>Развертка ручная М8 / М8,5</t>
  </si>
  <si>
    <t>56 / 3</t>
  </si>
  <si>
    <t>Развертка ручная М9 / М9,5</t>
  </si>
  <si>
    <t>300 / 13</t>
  </si>
  <si>
    <t>Развертка ручная М10 / М10.5</t>
  </si>
  <si>
    <t>56 / 15</t>
  </si>
  <si>
    <t>Развертка ручная М11 / М11,3 / М11,5</t>
  </si>
  <si>
    <t>14 / 1 / 55</t>
  </si>
  <si>
    <t>136,20</t>
  </si>
  <si>
    <t>Развертка ручная М12</t>
  </si>
  <si>
    <t>Развертка ручная М13 / М14</t>
  </si>
  <si>
    <t>129 / 9</t>
  </si>
  <si>
    <t>Развертка ручная М15 / М16</t>
  </si>
  <si>
    <t>76 / 20</t>
  </si>
  <si>
    <t>228,00</t>
  </si>
  <si>
    <t>Развертка ручная М17 / М18</t>
  </si>
  <si>
    <t>97 / 106</t>
  </si>
  <si>
    <t>Развертка ручная М19 / М19.8</t>
  </si>
  <si>
    <t>47 / 1</t>
  </si>
  <si>
    <t>Развертка ручная М20 / М21</t>
  </si>
  <si>
    <t>83 / 55</t>
  </si>
  <si>
    <t>Развертка ручная М22 / М23</t>
  </si>
  <si>
    <t>56 / 65</t>
  </si>
  <si>
    <t>Развертка ручная М24</t>
  </si>
  <si>
    <t>Развертка ручная М25 / М26</t>
  </si>
  <si>
    <t>3 / 99</t>
  </si>
  <si>
    <t>Развертка ручная М27 / М28</t>
  </si>
  <si>
    <t>18 / 92</t>
  </si>
  <si>
    <t>Развертка ручная М30 / М32</t>
  </si>
  <si>
    <t>12 / 40</t>
  </si>
  <si>
    <t>Развертка ручная М34 / М35</t>
  </si>
  <si>
    <t>36 / 59</t>
  </si>
  <si>
    <t>Развертка ручная М36 / М37</t>
  </si>
  <si>
    <t>51 / 10</t>
  </si>
  <si>
    <t>Развертка ручная М38 / М40</t>
  </si>
  <si>
    <t>1 / 30</t>
  </si>
  <si>
    <t>795,00</t>
  </si>
  <si>
    <t>Развертка ручная М42</t>
  </si>
  <si>
    <t>Развертка машинная М3 / М3.2</t>
  </si>
  <si>
    <t>172 / 17</t>
  </si>
  <si>
    <t>Развертка машинная М3,5 / М4</t>
  </si>
  <si>
    <t>70 / 269</t>
  </si>
  <si>
    <t>Развертка машинная М4,5 / М5 / М5,5</t>
  </si>
  <si>
    <t>21 / 106 / 93</t>
  </si>
  <si>
    <t>Развертка машинная М6 / М7</t>
  </si>
  <si>
    <t>302 / 107</t>
  </si>
  <si>
    <t>56,10</t>
  </si>
  <si>
    <t>Развертка машинная М6ВК8 / М7ВК8</t>
  </si>
  <si>
    <t>Развертка машинная М7.5 / М8 / М9</t>
  </si>
  <si>
    <t>9 / 208 / 268</t>
  </si>
  <si>
    <t>Развертка машинная М9ВК8</t>
  </si>
  <si>
    <t>Развертка машинная М10 / М10,5</t>
  </si>
  <si>
    <t>159 / 2</t>
  </si>
  <si>
    <t>Развертка машинная М10Т5К10</t>
  </si>
  <si>
    <t>Развертка машинная М11Т5К10 / М11,5ВК8</t>
  </si>
  <si>
    <t>2 / 12</t>
  </si>
  <si>
    <t>Развертка машинная М11 / М12 / М13</t>
  </si>
  <si>
    <t>41 / 111 / 46</t>
  </si>
  <si>
    <t>Развертка машинная М12ВК8 / М12Р18</t>
  </si>
  <si>
    <t>Развертка машинная М14 / М15</t>
  </si>
  <si>
    <t>95 / 161</t>
  </si>
  <si>
    <t>Развертка машинная М16 / М17</t>
  </si>
  <si>
    <t>103 / 88</t>
  </si>
  <si>
    <t>205,00</t>
  </si>
  <si>
    <t>Развертка машинная М16 Т15К6 / М16ВК8</t>
  </si>
  <si>
    <t>Развертка машинная М18 / М19</t>
  </si>
  <si>
    <t>107 / 36</t>
  </si>
  <si>
    <t>Развертка машинная М20 / М21</t>
  </si>
  <si>
    <t>Развертка машинная М20,9т/с /М21ВК6</t>
  </si>
  <si>
    <t>Развертка машинная М22 / М22,5</t>
  </si>
  <si>
    <t>54 / 2</t>
  </si>
  <si>
    <t>Развертка машинная М22 с удл. Раб. Частью</t>
  </si>
  <si>
    <t>Развертка машинная М22ВК6 / М22,7ВК8</t>
  </si>
  <si>
    <t>Развертка машинная М24</t>
  </si>
  <si>
    <t>Развертка машинная М24ВК6 / М25Т5К10</t>
  </si>
  <si>
    <t>Развертка машинная М25 / М26</t>
  </si>
  <si>
    <t>23 / 105</t>
  </si>
  <si>
    <t>Развертка машинная М26Т5К10</t>
  </si>
  <si>
    <t>Развертка машинная М27 / М28</t>
  </si>
  <si>
    <t>23 / 63</t>
  </si>
  <si>
    <t>Развертка машинная М30 / М32</t>
  </si>
  <si>
    <t>90 / 27</t>
  </si>
  <si>
    <t>Развертка машинная М32ВК8</t>
  </si>
  <si>
    <t>Развертка коническая руч. 3 (1:50)</t>
  </si>
  <si>
    <t>Развертка коническая руч. 4 (1:50)</t>
  </si>
  <si>
    <t>Развертка коническая руч. 5 (1:50)</t>
  </si>
  <si>
    <t>Развертка коническая руч. 6 (1:50)</t>
  </si>
  <si>
    <t>Развертка коническая руч. 8 (1:50)</t>
  </si>
  <si>
    <t>Развертка коническая руч. 10 (1:50)</t>
  </si>
  <si>
    <t>Развертка коническая маш. 10 (1:50)</t>
  </si>
  <si>
    <t>Развертка коническая руч. 12 (1:50) / маш. 12 (1:50)</t>
  </si>
  <si>
    <t>14 / 5</t>
  </si>
  <si>
    <t>Развертка коническая руч. 13 (1:50)</t>
  </si>
  <si>
    <t>Развертка коническая руч. 16 (1:50) / маш. 16 (1:50)</t>
  </si>
  <si>
    <t>49 / 1</t>
  </si>
  <si>
    <t>Развертка коническая руч. 20 (1:50)</t>
  </si>
  <si>
    <t>Развертка коническая руч. 13 (1:30) / 14 (1:30)</t>
  </si>
  <si>
    <t>15 / 1</t>
  </si>
  <si>
    <t>Развертка коническая руч. 16 (1:30) / маш. 16 (1:30)</t>
  </si>
  <si>
    <t>44 / 3</t>
  </si>
  <si>
    <t>Развертка коническая руч. 19 (1:30)</t>
  </si>
  <si>
    <t>Развертка коническая руч. 22 (1:30)</t>
  </si>
  <si>
    <t>Развертка коническая руч. 27 (1:30)</t>
  </si>
  <si>
    <t>Развертка коническая руч. 32 (1:30)</t>
  </si>
  <si>
    <t>Развертка коническая руч. 3/8" (1:16) / ТрК1/2" (1:16)</t>
  </si>
  <si>
    <t>Развертка коническая маш. "Котельная" 11 (1:10)</t>
  </si>
  <si>
    <t>Развертка коническая маш. "Котельная" 17 (1:10)</t>
  </si>
  <si>
    <t>Развертка коническая маш. "Котельная" 21 (1:10)</t>
  </si>
  <si>
    <t>Развертка коническая маш. "Котельная" 23 (1:10)</t>
  </si>
  <si>
    <t>Развертка коническая маш. "Котельная" 25 (1:10) (18-25мм)</t>
  </si>
  <si>
    <t>Развертка коническая КМ 1/4 / №0 / №1</t>
  </si>
  <si>
    <t>1 / 81 / 16</t>
  </si>
  <si>
    <t>129,60</t>
  </si>
  <si>
    <t>Развертка коническая КМ №0 / №1</t>
  </si>
  <si>
    <t>к-т</t>
  </si>
  <si>
    <t>Развертка коническая КМ №2</t>
  </si>
  <si>
    <t>Развертка коническая КМ №3</t>
  </si>
  <si>
    <t>Развертка коническая КМ №4 / КМ5</t>
  </si>
  <si>
    <t>Развертка раздвижная М 10,0 - 10,75мм</t>
  </si>
  <si>
    <t>Развертка раздвижная М 10,75 - 11,75мм</t>
  </si>
  <si>
    <t>Развертка раздвижная М 12,0 - 13,5мм</t>
  </si>
  <si>
    <t>Развертка раздвижная М 15,25 - 17,25мм</t>
  </si>
  <si>
    <t>Развертка раздвижная М 17,25 - 19мм</t>
  </si>
  <si>
    <t>Развертка раздвижная М 19 - 21мм</t>
  </si>
  <si>
    <t>Развертка раздвижная М 21 - 23мм</t>
  </si>
  <si>
    <t>Развертка раздвижная М 23 - 26мм</t>
  </si>
  <si>
    <t>Развертка раздвижная М 26 - 29,5мм</t>
  </si>
  <si>
    <t>Развертка раздвижная М 29,5 - 33,5мм</t>
  </si>
  <si>
    <t>Развертка раздвижная М 33,5 - 38мм</t>
  </si>
  <si>
    <t>Развертка разжимная шариковая М8</t>
  </si>
  <si>
    <t>Развертка разжимная шариковая М10</t>
  </si>
  <si>
    <t>170,00</t>
  </si>
  <si>
    <t>Развертка разжимная шариковая М14 / М15</t>
  </si>
  <si>
    <t>0 / 0</t>
  </si>
  <si>
    <t>Развертка разжимная шариковая  М16 / М17</t>
  </si>
  <si>
    <t>Развертка разжимная шариковая М18 / М19</t>
  </si>
  <si>
    <t>4 / 5</t>
  </si>
  <si>
    <t>Развертка разжимная шариковая М20 / М21</t>
  </si>
  <si>
    <t>6 / 8</t>
  </si>
  <si>
    <t>411,00</t>
  </si>
  <si>
    <t>Развертка разжимная шариковая М22 / М23</t>
  </si>
  <si>
    <t>18 / 6</t>
  </si>
  <si>
    <t>Развертка разжимная шариковая М24 / М26</t>
  </si>
  <si>
    <t>6 / 6</t>
  </si>
  <si>
    <t>Развертка разжимная шариковая М27 / М28</t>
  </si>
  <si>
    <t>9 / 17</t>
  </si>
  <si>
    <t>Развертка разжимная шариковая М30</t>
  </si>
  <si>
    <t>Развертка разжимная шариковая  М32 / М34</t>
  </si>
  <si>
    <t>0 / 7</t>
  </si>
  <si>
    <t>Развертка разжимная шариковая М35</t>
  </si>
  <si>
    <t>Развертка разжимная шариковая М36</t>
  </si>
  <si>
    <t>Развертка разжимная шариковая М38 / М40</t>
  </si>
  <si>
    <t>Развертка разжимная шариковая   М42 / М45</t>
  </si>
  <si>
    <t>2 / 0</t>
  </si>
  <si>
    <t>Развертка разжимная шариковая М48</t>
  </si>
  <si>
    <t>Развертка разжимная шариковая М50 б/у с трещиной на 3х пластинах</t>
  </si>
  <si>
    <t>Развертка разжимная шариковая М62</t>
  </si>
  <si>
    <t>Развертка насадная М18</t>
  </si>
  <si>
    <t>Развертка насадная М25 / М26</t>
  </si>
  <si>
    <t>9 / 5</t>
  </si>
  <si>
    <t>Развертка насадная М27 / М28</t>
  </si>
  <si>
    <t>Развертка насадная М30 / М32</t>
  </si>
  <si>
    <t>14 / 6</t>
  </si>
  <si>
    <t>Развертка насадная М32ВК8 / М32Т5К10</t>
  </si>
  <si>
    <t>Развертка насадная М34</t>
  </si>
  <si>
    <t>Развертка насадная М35 / М36</t>
  </si>
  <si>
    <t>19 / 16</t>
  </si>
  <si>
    <t>Развертка насадная М34т/с / М35ВК8 / М36ВК8</t>
  </si>
  <si>
    <t>1 / 3 / 3</t>
  </si>
  <si>
    <t>Развертка насадная М36ВК8 с оправкой КМ4</t>
  </si>
  <si>
    <t>Развертка насадная М37 / М38</t>
  </si>
  <si>
    <t>Развертка насадная М38ВК8 / М39ВК8</t>
  </si>
  <si>
    <t>Развертка насадная М40 / М42 Н9</t>
  </si>
  <si>
    <t>18 / 3</t>
  </si>
  <si>
    <t>Развертка насадная М44 / М45н7</t>
  </si>
  <si>
    <t>Развертка насадная М45вст.нож / М46вст.нож</t>
  </si>
  <si>
    <t>Развертка насадная М46ВК8</t>
  </si>
  <si>
    <t>Развертка насадная М47 / М48</t>
  </si>
  <si>
    <t>Развертка насадная М50н7 / М50н8</t>
  </si>
  <si>
    <t>Развертка насадная М52н7 / М52н9вст.нож / М55вст.нож</t>
  </si>
  <si>
    <t>1 / 1 / 2</t>
  </si>
  <si>
    <t>Развертка насадная М58 / М58вст.нож</t>
  </si>
  <si>
    <t>Развертка насадная М60т/с / М60вст.нож</t>
  </si>
  <si>
    <t>0 / 2</t>
  </si>
  <si>
    <t>Развертка насадная вст.нож М62 / М65 / М68</t>
  </si>
  <si>
    <t>Развертка насадная вст.нож М70Н9 / М72Н9</t>
  </si>
  <si>
    <t>Развертка насадная вст.нож М75Н9 / М80</t>
  </si>
  <si>
    <t>Развертка насадная вст.нож М90 / М95</t>
  </si>
  <si>
    <t>Зенковка 16мм 60* / 16мм 90* / 16мм 120*</t>
  </si>
  <si>
    <t>16 / 6 / 26</t>
  </si>
  <si>
    <t>Зенковка 22мм 60* / 20мм 90* / 22мм 120*</t>
  </si>
  <si>
    <t>2 / 2 / 4</t>
  </si>
  <si>
    <t>Зенковка 25х45* / 25мм 60*</t>
  </si>
  <si>
    <t>25 / 52</t>
  </si>
  <si>
    <t>Зенковка 25мм 90*/ 25мм 120*</t>
  </si>
  <si>
    <t>0 / 54</t>
  </si>
  <si>
    <t>Зенковка 26мм 45*</t>
  </si>
  <si>
    <t>Зенковка 31,5мм 10* / 31,5мм 60*</t>
  </si>
  <si>
    <t>2 / 5</t>
  </si>
  <si>
    <t>Зенковка 31,5мм 90* / 31,5мм 120*</t>
  </si>
  <si>
    <t>0 / 8</t>
  </si>
  <si>
    <t>Зенковка 32мм 60* / 32мм 90* / 32мм 120*</t>
  </si>
  <si>
    <t>1 / 7 / 5</t>
  </si>
  <si>
    <t>Зенковка 40мм 60* / 40х90* / 40х120*</t>
  </si>
  <si>
    <t>1 / 11 / 12</t>
  </si>
  <si>
    <t>Зенковка 45х70* / 45х90* / 45х120*</t>
  </si>
  <si>
    <t>1 / 2 / 4</t>
  </si>
  <si>
    <t>Зенковка  50х60* / 50х90* / 55х60*</t>
  </si>
  <si>
    <t>3 / 0 / 1</t>
  </si>
  <si>
    <t>Зенковка 80х90*б/у</t>
  </si>
  <si>
    <t>Зенкер маш. Р6М5 7мм / 11мм / 11,9х380/80Р18удл / 12мм</t>
  </si>
  <si>
    <t>1 / 9 / 1 / 4</t>
  </si>
  <si>
    <t>Зенкер маш. Р6М5 13.0мм / 13.85мм</t>
  </si>
  <si>
    <t>13 / 1</t>
  </si>
  <si>
    <t>Зенкер маш. Р6М5 14мм / 15мм</t>
  </si>
  <si>
    <t>Зенкер маш. т/с 14ВК8 / 15ВК8 / 16ВК8</t>
  </si>
  <si>
    <t>3 / 11 / 13</t>
  </si>
  <si>
    <t>Зенкер маш. Р6М5 16мм / 17мм</t>
  </si>
  <si>
    <t>Зенкер маш. Р6М5 18мм / 19мм</t>
  </si>
  <si>
    <t>9 / 7</t>
  </si>
  <si>
    <t>Зенкер маш. т/с 18ВК8 / 19ВК8 / 19.8ВК8</t>
  </si>
  <si>
    <t>0 / 9 / 1</t>
  </si>
  <si>
    <t>261,00</t>
  </si>
  <si>
    <t>Зенкер маш. Р6М5 20мм / 21мм</t>
  </si>
  <si>
    <t>Зенкер маш. Р6М5 20х370 (120)мм / 20х340</t>
  </si>
  <si>
    <t>Зенкер маш. т/с 20ВК8 / 20Т5К10</t>
  </si>
  <si>
    <t>3 / 12</t>
  </si>
  <si>
    <t>291,00</t>
  </si>
  <si>
    <t>Зенкер маш. т/с 21ВК8 / 22ВК8</t>
  </si>
  <si>
    <t>Зенкер маш. Р6М5 22мм / 23мм</t>
  </si>
  <si>
    <t>Зенкер маш. т/с 23ВК8 / 24ВК8</t>
  </si>
  <si>
    <t>11 / 0</t>
  </si>
  <si>
    <t>324,00</t>
  </si>
  <si>
    <t>Зенкер маш. Р6М5 24мм / 25мм</t>
  </si>
  <si>
    <t>Зенкер маш. т/с 25ВК8 / 26ВК8 / 27ВК8</t>
  </si>
  <si>
    <t>7 / 1 / 2</t>
  </si>
  <si>
    <t>393,00</t>
  </si>
  <si>
    <t>Зенкер маш. Р6М5 26мм / 27мм / 28мм</t>
  </si>
  <si>
    <t>12 / 2 / 2</t>
  </si>
  <si>
    <t>Зенкер маш. т/с 28ВК8 / 30ВК8</t>
  </si>
  <si>
    <t>4 / 7</t>
  </si>
  <si>
    <t>Зенкер маш. Р6М5 30мм / 32мм</t>
  </si>
  <si>
    <t>Зенкер маш. Р437 30мм</t>
  </si>
  <si>
    <t>Зенкер маш. т/с 32ВК8 / 33ВК8</t>
  </si>
  <si>
    <t>438,00</t>
  </si>
  <si>
    <t>Зенкер маш. Р6М5 34мм / 35мм</t>
  </si>
  <si>
    <t>Зенкер маш. т/с 34ВК8 / 35ВК8</t>
  </si>
  <si>
    <t>453,00</t>
  </si>
  <si>
    <t>Зенкер маш. Р6М5 37мм / 38мм</t>
  </si>
  <si>
    <t>Зенкер маш. т/с 50ВК8</t>
  </si>
  <si>
    <t>Зенкер насаднной Р6М5 28 / 30 / 32</t>
  </si>
  <si>
    <t>2 / 3 / 1</t>
  </si>
  <si>
    <t>Зенкер насаднной Р6М5 34 / 35</t>
  </si>
  <si>
    <t>11 / 10</t>
  </si>
  <si>
    <t>Зенкер насаднной Р6М5 36№1Р9 / 36№2Р6М5 / 36Р6М5</t>
  </si>
  <si>
    <t>4 / 2 / 7</t>
  </si>
  <si>
    <t>Зенкер насаднной Р6М5 37Р6АМ5</t>
  </si>
  <si>
    <t>Зенкер насаднной Р6М5 38 / 40</t>
  </si>
  <si>
    <t>12 / 12</t>
  </si>
  <si>
    <t>Зенкер насаднной Р6М5 44 / 45</t>
  </si>
  <si>
    <t>3 / 17</t>
  </si>
  <si>
    <t>Зенкер насаднной Р6М5 47 / 48</t>
  </si>
  <si>
    <t>6 / 7</t>
  </si>
  <si>
    <t>Зенкер насаднной Р6М5 50 / 52</t>
  </si>
  <si>
    <t>13 / 5</t>
  </si>
  <si>
    <t>Зенкер насаднной Р6М5 75</t>
  </si>
  <si>
    <t>Зенкер насаднной т/с 19ВК8</t>
  </si>
  <si>
    <t>Зенкер насаднной т/с 22ВК8 / 24ВК8</t>
  </si>
  <si>
    <t>Зенкер насаднной т/с 28ВК8</t>
  </si>
  <si>
    <t>Зенкер насаднной т/с 32ВК8 / 34ВК8</t>
  </si>
  <si>
    <t>282,00</t>
  </si>
  <si>
    <t>Зенкер насаднной т/с 35ВК8 / 36ВК8</t>
  </si>
  <si>
    <t>10 / 16</t>
  </si>
  <si>
    <t>Зенкер насаднной т/с 38ВК8 / 40ВК8</t>
  </si>
  <si>
    <t>1 / 27</t>
  </si>
  <si>
    <t>Зенкер насаднной т/с 45ВК8 / 46ВК8</t>
  </si>
  <si>
    <t>Зенкер насаднной т/с 47ВК8 / 47,7Т15К6</t>
  </si>
  <si>
    <t>412,00</t>
  </si>
  <si>
    <t>Зенкер насаднной т/с 48ВК8 / 49,3Т5К10</t>
  </si>
  <si>
    <t>Зенкер насаднной т/с 50ВК8 / 50Т15К6</t>
  </si>
  <si>
    <t>Зенкер насаднной т/с 52ВК8 / 55ВК8 / 58ВК8</t>
  </si>
  <si>
    <t>1 / 4 / 5</t>
  </si>
  <si>
    <t>Зенкер насаднной т/с 65ВК8 / 68ВК8</t>
  </si>
  <si>
    <t>Зенкер насаднной т/с 70ВК8 / 72ВК8</t>
  </si>
  <si>
    <t>11 / 3</t>
  </si>
  <si>
    <t>Зенкер насаднной т/с 75ВК8 / 80ВК8</t>
  </si>
  <si>
    <t>Цековка d24мм КМ2</t>
  </si>
  <si>
    <t>Цековка d25мм Р9 КМ3</t>
  </si>
  <si>
    <t>Цековка d31,5мм Ц/хв</t>
  </si>
  <si>
    <t>Втулка переходная конус 2/1</t>
  </si>
  <si>
    <t>Втулка переходная конус 2/1 удл 150мм</t>
  </si>
  <si>
    <t>Втулка переходная конус 3/1 / 3/2</t>
  </si>
  <si>
    <t>78 / 43</t>
  </si>
  <si>
    <t>Втулка переходная конус 3/3 удл. 400мм</t>
  </si>
  <si>
    <t>Втулка переходная конус 4/1</t>
  </si>
  <si>
    <t>Втулка переходная конус 4/1 удл 220мм</t>
  </si>
  <si>
    <t>Втулка переходная конус 4/2 / 4/3</t>
  </si>
  <si>
    <t>125 / 44</t>
  </si>
  <si>
    <t>Втулка переходная конус 4/2 удл 220мм / 4/4 удл 200мм</t>
  </si>
  <si>
    <t>Втулка переходная конус 5/1 / 5/2  / 5/3</t>
  </si>
  <si>
    <t>2 / 0 / 97</t>
  </si>
  <si>
    <t>Втулка переходная конус 5/3 удл</t>
  </si>
  <si>
    <t>Втулка переходная конус  5/4</t>
  </si>
  <si>
    <t>Втулка переходная конус 5/4удл / 6/5</t>
  </si>
  <si>
    <t>Конус переходной наружный КМ1хВ10</t>
  </si>
  <si>
    <t>Конус переходной наружный КМ1хВ18</t>
  </si>
  <si>
    <t>Конус переходной наружный КМ1хКМ2</t>
  </si>
  <si>
    <t>Конус переходной наружный КМ2хВ10</t>
  </si>
  <si>
    <t>Конус переходной наружный КМ2хВ18</t>
  </si>
  <si>
    <t>Конус переходной наружный КМ3хВ16</t>
  </si>
  <si>
    <t>Конус переходной наружный КМ3хВ18</t>
  </si>
  <si>
    <t>Конус переходной наружный КМ2хКМ1</t>
  </si>
  <si>
    <t>Центр упорный вращающийся КМ2 СССР</t>
  </si>
  <si>
    <t>Центр упорный вращающийся КМ3 СССР</t>
  </si>
  <si>
    <t>Центр упорный вращающийся КМ3 СССР повыш. точности</t>
  </si>
  <si>
    <t>Центр упорный вращающийся КМ3 раскатка (труба 15-30мм)</t>
  </si>
  <si>
    <t>Центр упорный вращающийся КМ4 СССР</t>
  </si>
  <si>
    <t>Центр упорный вращающийся КМ4 ПНР</t>
  </si>
  <si>
    <t>Центр упорный вращающийся КМ4усил. СССР</t>
  </si>
  <si>
    <t>Центр упорный вращающийся КМ4 d70-140ми грибковый б/у</t>
  </si>
  <si>
    <t>Центр упорный вращающийся КМ5 СССР</t>
  </si>
  <si>
    <t>2280,00</t>
  </si>
  <si>
    <t>Центр упорный вращающийся КМ5 удлиненный (65мм) легкое бу</t>
  </si>
  <si>
    <t>Центр упорный вращающийся КМ5 Усил. СССР</t>
  </si>
  <si>
    <t>Центр упорный вращающийся КМ5 Усил. СССР б/у</t>
  </si>
  <si>
    <t>Центр упорный вращающийся КМ5 d20-90мм грибковый</t>
  </si>
  <si>
    <t>Центр упорный вращающийся КМ5 d20-90мм грибковый легкое б/у</t>
  </si>
  <si>
    <t>Центр упорный вращающийся КМ5 d40-65мм грибковый легкое б/у</t>
  </si>
  <si>
    <t>Центр упорный вращающийся КМ5 d40-95мм грибковый легкое б/у</t>
  </si>
  <si>
    <t>1710,00</t>
  </si>
  <si>
    <t>Центр упорный вращающийся КМ5 d50-105мм грибковый</t>
  </si>
  <si>
    <t>Центр упорный вращающийся КМ5 d80-95мм грибковый б/у</t>
  </si>
  <si>
    <t>Центр упорный вращающийся КМ5 раскатка (труба 30-40мм)</t>
  </si>
  <si>
    <t>Центр упорный вращающийся поводковый КМ5</t>
  </si>
  <si>
    <t>Центр упорный вращающийся утопающий КМ5 б/у</t>
  </si>
  <si>
    <t>Центр упорный вращающийся КМ5 б/у</t>
  </si>
  <si>
    <t>Центр упорный вращающийся КМ6 СССР</t>
  </si>
  <si>
    <t>Центр упорный вращающийся КМ6 ПНР</t>
  </si>
  <si>
    <t>Центр упорный глухой №0 / №0 гл. обр. / №1</t>
  </si>
  <si>
    <t>Центр упорный глухой №2</t>
  </si>
  <si>
    <t>Центр упорный глухой грибковый №2</t>
  </si>
  <si>
    <t>Центр упорный глухой рифл. №2 (45х80мм)</t>
  </si>
  <si>
    <t>Центр упорный глухой №3</t>
  </si>
  <si>
    <t>Центр упорный глухой №3 т/с</t>
  </si>
  <si>
    <t>Центр упорный глухой рифл. №3 обратный</t>
  </si>
  <si>
    <t>Центр упорный глухой для центроискателя №3 (2шт)</t>
  </si>
  <si>
    <t>Центр упорный глухой №4</t>
  </si>
  <si>
    <t>Центр упорный глухой №4т/с</t>
  </si>
  <si>
    <t>Центр упорный глухой №5</t>
  </si>
  <si>
    <t>Центр упорный глухой №5т/с</t>
  </si>
  <si>
    <t>Центр упорный глухой №6</t>
  </si>
  <si>
    <t>Центр упорный глухой №6 рж.</t>
  </si>
  <si>
    <t>Оправка для вырезания в метале круглых дисков, канавок, шайб. d50-280мм КМ3</t>
  </si>
  <si>
    <t>Расточная оправка с микроподачей резца 0,001мм КМ5 L130мм 70-95мм(10 резцов)</t>
  </si>
  <si>
    <t>Расточная оправка с микроподачей резца 0,001мм КМ5 L220 d70-100мм</t>
  </si>
  <si>
    <t>2300,00</t>
  </si>
  <si>
    <t>Расточная оправка с микроподачей резца 0,001мм КМ5 L140 d90-130мм</t>
  </si>
  <si>
    <t>Расточная оправка с микроподачей резца 0,001мм КМ5 d120-145 (8 резцов Т30К4)</t>
  </si>
  <si>
    <t>Расточная оправка с микроподачей резца 0,01мм КМ4 d10-45</t>
  </si>
  <si>
    <t>Расточная оправка с микроподачей резца КМ4 d45-65 L120</t>
  </si>
  <si>
    <t>Расточная оправка с микроподачей резца К ИСО40 L120 d45-65мм</t>
  </si>
  <si>
    <t>Расточная оправка с микроподачей резца К ИСО40 L150 d60-80мм</t>
  </si>
  <si>
    <t>2000,00</t>
  </si>
  <si>
    <t>Расточная оправка с микроподачей резца К ИСО40 L220 d120-150мм резец 16х16</t>
  </si>
  <si>
    <t>2200,00</t>
  </si>
  <si>
    <t>Расточная оправка (головка) К ИСО40 (7/24) L140 d55-70мм резец 12х12мм</t>
  </si>
  <si>
    <t>Расточная оправка (головка) К ИСО40 (7/24) L230 d55-70мм резец 12х12мм</t>
  </si>
  <si>
    <t>1700,00</t>
  </si>
  <si>
    <t>Расточная оправка (головка) К ИСО40 (7/24) L140 d70-90мм резец 16х16мм</t>
  </si>
  <si>
    <t>Расточная оправка (головка) К ИСО40 (7/24) L180 d90-110мм резец 16х16мм</t>
  </si>
  <si>
    <t>Расточная оправка (головка) К ИСО40 d135-360 мех. Кр. 4гр.L200мм (всего 3 ставки)</t>
  </si>
  <si>
    <t>Расточная оправка К ИСО40 d63-100 2-х стор.мех.кр.т/с ромб.L170 +вставка 63-100</t>
  </si>
  <si>
    <t>Расточная оправка с микром. регулир. резца К45 d30-120</t>
  </si>
  <si>
    <t>Расточная оправка К45 d80-170мм</t>
  </si>
  <si>
    <t>Расточная оправка К45 под резец 14х14 d65-120мм</t>
  </si>
  <si>
    <t>Расточная оправка К50</t>
  </si>
  <si>
    <t>Расточная оправка (головка) К50 с микром. регул. Резца (0,01) d10-45 мм</t>
  </si>
  <si>
    <t>Расточная оправка (головка) К50 с микром. регул. резца d45-65 L240мм</t>
  </si>
  <si>
    <t>Расточная оправка (головка) К50 конусность 7/24 на d70-90 L130мм</t>
  </si>
  <si>
    <t>Расточная оправка (головка) К50 с микром. регул. резца d90-125 L120мм</t>
  </si>
  <si>
    <t>Расточная оправка (головка) К50 конусность 7/24 на d63-82-100 L140мм</t>
  </si>
  <si>
    <t>Расточная оправка (головка) К50 конусность 7/24 на d80-120-100 L150мм</t>
  </si>
  <si>
    <t>Расточная оправка (головка) К50 конусность 7/24 на d100-180 L130мм</t>
  </si>
  <si>
    <t>Расточная оправка (головка) К50 с микром. регул. резца d100-180 L200мм</t>
  </si>
  <si>
    <t>Расточная оправка (головка) К50 с микром. регул. резца d150-180 L200мм</t>
  </si>
  <si>
    <t>Расточная оправка (головка) цилиндр. 36мм d10-45 L180мм</t>
  </si>
  <si>
    <t>Расточная оправка (головка) цилиндр. 46мм d10-45 L180мм</t>
  </si>
  <si>
    <t>Вставка на расточную оправку 2192-4007.02 (ОРША) 40-70мм. Ромб</t>
  </si>
  <si>
    <t>Вставка на расточную оправку 2192-4011.02 (ОРША) 180-270мм. Ромб</t>
  </si>
  <si>
    <t>Вставка на расточную оправку 2192-4011.03 (ОРША) 180-270мм. Квадрат</t>
  </si>
  <si>
    <t>Вставка на расточную оправку 2192-4010.05 (ОРША) 270-360мм. Квадрат</t>
  </si>
  <si>
    <t>Вставка на расточную оправку 2192-4010.04 (ОРША) 270-360мм. Ромб</t>
  </si>
  <si>
    <t>Оправка КМ2 на d20мм</t>
  </si>
  <si>
    <t>Оправка КМ3 на d20мм / КМ3 на d32мм</t>
  </si>
  <si>
    <t>Оправка КМ3 на d22мм / КМ3 на d27мм</t>
  </si>
  <si>
    <t>Оправка КМ3 на d20х220мм</t>
  </si>
  <si>
    <t>Оправка КМ4 на d24мм / КМ4 на d40мм</t>
  </si>
  <si>
    <t>Оправка КМ5 на d32мм / КМ5 на d50мм</t>
  </si>
  <si>
    <t>Оправка КМ6 на КМ4</t>
  </si>
  <si>
    <t>Оправка для насадных разверток, зенкеров КМ3 d13мм</t>
  </si>
  <si>
    <t>Оправка для насадных разверток, зенкеров КМ4 d19мм /27мм</t>
  </si>
  <si>
    <t>Оправка для насадных разверток, зенкеров КМ2 / КМ3</t>
  </si>
  <si>
    <t>Оправка для торцовых фрез К40 конусность 7/24 на d32мм</t>
  </si>
  <si>
    <t>Оправка фрезерная КМ4 L480мм</t>
  </si>
  <si>
    <t>Оправка фрезерная КМ4 L400мм</t>
  </si>
  <si>
    <t>Оправка КМ2н /КМ1 вн L150мм</t>
  </si>
  <si>
    <t>Оправка К40 конусность 7/24 на d22мм</t>
  </si>
  <si>
    <t>Оправка К40 конусность 7/24 на d22х260мм</t>
  </si>
  <si>
    <t>Оправка К40 конусность 7/24 на d27мм</t>
  </si>
  <si>
    <t>Оправка К40 конусность 7/24 на d27х240мм</t>
  </si>
  <si>
    <t>Оправка К40 конусность 7/24 на d32мм</t>
  </si>
  <si>
    <t>Оправка К40 конусность 7/24 на d32х150мм</t>
  </si>
  <si>
    <t>Оправка К40 конусность 7/24 на КМ2</t>
  </si>
  <si>
    <t>Оправка К40 конусность 7/24 на КМ3</t>
  </si>
  <si>
    <t>Оправка К45 конусность 7/24 на КМ3</t>
  </si>
  <si>
    <t>Оправка К50 конусность 7/24 на КМ2 / КМ3</t>
  </si>
  <si>
    <t>Оправка К50 конусность 7/24 на КМ4 / КМ5</t>
  </si>
  <si>
    <t>Оправка К50 конусность 7/24 на d27мм</t>
  </si>
  <si>
    <t>Оправка К50 конусность 7/24 на d32мм</t>
  </si>
  <si>
    <t>Оправка К50 конусность 7/24 на d40мм</t>
  </si>
  <si>
    <t>1230,00</t>
  </si>
  <si>
    <t>Оправка К50 конусность 7/24 на d50мм</t>
  </si>
  <si>
    <t>Оправка К50 конусность 7/24 на d10х10мм</t>
  </si>
  <si>
    <t>Штангенциркуль с глубиномером ШЦ-125-0,1 Кл.2 Ставрополь</t>
  </si>
  <si>
    <t>Штангенциркуль с глубиномером ШЦ-125-0,05 Кл. 1 Ставрополь</t>
  </si>
  <si>
    <t>Штангенциркуль с глубиномером ШЦ-125-0,1 Кл.2 СССР Калибр/Ставрополь</t>
  </si>
  <si>
    <t>Штангенциркуль с глубиномером ШЦ-125-0,1 Кл.2 СССР без футряра легкое б/у</t>
  </si>
  <si>
    <t>Штангенциркуль с глубиномером ШЦ-150-0,1 Кл. 2 Ставрополь</t>
  </si>
  <si>
    <t>882,00</t>
  </si>
  <si>
    <t>Штангенциркуль с глубиномером ШЦ-150-0,05 Кл. 1 Китай</t>
  </si>
  <si>
    <t>Штангенциркуль с глубиномером ШЦ-150-0,02 Кл. 1 Китай</t>
  </si>
  <si>
    <t>Штангенциркуль без глубиномера 150мм ЛИЗ СССР б/у</t>
  </si>
  <si>
    <t>Штангенциркуль c глубиномер электронный 150мм YATO</t>
  </si>
  <si>
    <t>1100,00</t>
  </si>
  <si>
    <t>Штангенциркуль с глубиномером 160мм (0.05) Кл. 1 СССР</t>
  </si>
  <si>
    <t>Штангенциркуль высотомер без глубиномера 160мм (0.05) Кл. 1 СССР</t>
  </si>
  <si>
    <t>Разметочное устройство на штангенциркуль ШЦ-III- 160</t>
  </si>
  <si>
    <t>Штангенциркуль 200мм СССР б/у СССР</t>
  </si>
  <si>
    <t>Штангенциркуль 250мм (0.1) Кл. 2 СССР</t>
  </si>
  <si>
    <t>1970,00</t>
  </si>
  <si>
    <t>Штангенциркуль 250мм (0.05) Кл. 1 СССР</t>
  </si>
  <si>
    <t>2190,00</t>
  </si>
  <si>
    <t>Штангенциркуль 250мм 0,1 / 0,05 легкое б/у СССР</t>
  </si>
  <si>
    <t>1430,00</t>
  </si>
  <si>
    <t>Штангенциркуль 250мм (0.1) односторонний СССР</t>
  </si>
  <si>
    <t>Штангенциркуль путевой ПШБ 0-290мм легкое бу</t>
  </si>
  <si>
    <t>Штангенциркуль ШЦ І-300мм (0.05) Микротех</t>
  </si>
  <si>
    <t>Штангенциркуль ШЦ ІІ-300мм (0.02) Микротех</t>
  </si>
  <si>
    <t>2580,00</t>
  </si>
  <si>
    <t>Штангенциркуль 300мм (0.05) Кл. 1 СССР</t>
  </si>
  <si>
    <t>Штангенциркуль 400мм (0.1)</t>
  </si>
  <si>
    <t>Штангенциркуль 400мм (0.1) б/у</t>
  </si>
  <si>
    <t>1750,00</t>
  </si>
  <si>
    <t>Штангенциркуль 500мм (0.1)</t>
  </si>
  <si>
    <t>3780,00</t>
  </si>
  <si>
    <t>Штангенциркуль 0-500мм (0.1) с разметочным устройством</t>
  </si>
  <si>
    <t>Штангенциркуль 500мм (0.05)</t>
  </si>
  <si>
    <t>Штангенциркуль ШЦ ІІІ-500мм (0.02) Микротех</t>
  </si>
  <si>
    <t>Штангенциркуль 250 - 630мм (0,1)</t>
  </si>
  <si>
    <t>Штангенциркуль 250 - 700мм (0.1)</t>
  </si>
  <si>
    <t>Штангенциркуль 700мм (0.1) легкое б/у</t>
  </si>
  <si>
    <t>Штангенциркуль 250-800мм (0.1)</t>
  </si>
  <si>
    <t>Штангенциркуль 250-800мм (0.1) б/у</t>
  </si>
  <si>
    <t>Штангенциркуль 320-1000мм(0.1)</t>
  </si>
  <si>
    <t>Штангенциркуль 400-1000мм (0.1) легкое б/у</t>
  </si>
  <si>
    <t>Штангенциркуль 320-1000мм(0.1) б/у</t>
  </si>
  <si>
    <t>Штангенциркуль 600-1500мм (0,1) б/у</t>
  </si>
  <si>
    <t>Штангенциркуль 500-1600мм (0,1) новый, есть незначительные пятна корозии</t>
  </si>
  <si>
    <t>8700,00</t>
  </si>
  <si>
    <t>Штангенциркуль 600-2000мм (0,1) новый, без коробки</t>
  </si>
  <si>
    <t>15000,00</t>
  </si>
  <si>
    <t>Штангенрейсмус ШР 0 - 250мм (0,05)</t>
  </si>
  <si>
    <t>2460,00</t>
  </si>
  <si>
    <t>Штангенрейсмус ШР 0 - 250мм б/у без коробки / с коробкой</t>
  </si>
  <si>
    <t>Штангенрейсмус стрелочный 250ми. Модель БВ-6226.</t>
  </si>
  <si>
    <t>Штангенрейсмус ШР 30 - 300мм</t>
  </si>
  <si>
    <t>Штангенрейсмус ШР 40 - 400мм</t>
  </si>
  <si>
    <t>2820,00</t>
  </si>
  <si>
    <t>Штангенрейсмус ШР 450мм (0,02) ПНР</t>
  </si>
  <si>
    <t>Штангенрейсмус ШР 40 - 630мм</t>
  </si>
  <si>
    <t>Штангенрейсмус ШР 60-810мм (0,1)</t>
  </si>
  <si>
    <t>Штангенрейсмус ШР 100-1000мм (0,1)</t>
  </si>
  <si>
    <t>Штангенглубиномер индикаторный Mitytoyo 150мм (0,05) легкое б/у</t>
  </si>
  <si>
    <t>Штангенглубиномер ШГ 160мм (0,05)</t>
  </si>
  <si>
    <t>Штангенглубиномер ШГ 200мм (0,05)</t>
  </si>
  <si>
    <t>Штангенглубиномер ШГ 250мм (0,05)</t>
  </si>
  <si>
    <t>Штангенглубиномер ШГ 320мм (0,05)</t>
  </si>
  <si>
    <t>Штангенглубиномер ШГ 400мм (0,05)</t>
  </si>
  <si>
    <t>Штангенглубиномер ШГ 500мм (0,1) легкое б/у</t>
  </si>
  <si>
    <t>Штангензубомер ШЗ 1-18 мм (0,02) / (0,05)</t>
  </si>
  <si>
    <t>Штангензубомер ШЗ 1-18 мм (0,02) б/у</t>
  </si>
  <si>
    <t>Штангензубомер ШЗ 5-36 мм (0,02)</t>
  </si>
  <si>
    <t>2790,00</t>
  </si>
  <si>
    <t>Штангензубомер ШЗ 5-36 мм (0,02) легкое б/у</t>
  </si>
  <si>
    <t>Штангензубомер ШЗ 5-36 мм (0,02) б/у</t>
  </si>
  <si>
    <t>Циркурь пропорциональный ЦП-1 Калибр</t>
  </si>
  <si>
    <t>Зубомер индикаторно-микрометрический ЗИМ 16</t>
  </si>
  <si>
    <t>2470,00</t>
  </si>
  <si>
    <t>Головка микрометрическая МГ</t>
  </si>
  <si>
    <t>Микрометр гладкий МК 0-25 Калибр</t>
  </si>
  <si>
    <t>Микрометр гладкий МК 0-25 ГДР</t>
  </si>
  <si>
    <t>Микрометр гладкий МК 25-50 Калибр</t>
  </si>
  <si>
    <t>Микрометр гладкий МК 50-75 Калибр / ПНР</t>
  </si>
  <si>
    <t>13 / 3</t>
  </si>
  <si>
    <t>1470,00</t>
  </si>
  <si>
    <t>Микрометр гладкий МК 50-75 Калибр Б/у</t>
  </si>
  <si>
    <t>Микрометр гладкий МК 75-100 Калибр</t>
  </si>
  <si>
    <t>Микрометр гладкий МК 100-125 / МК 125-150 Калибр</t>
  </si>
  <si>
    <t>Микрометр гладкий МК 150-175 / МК 175-200 Калибр</t>
  </si>
  <si>
    <t>Микрометр гладкий МК 200-225 / МК 225-250 Калибр</t>
  </si>
  <si>
    <t>1950,00</t>
  </si>
  <si>
    <t>Микрометр гладкий МК 250-275 / МК 275-300 Калибр</t>
  </si>
  <si>
    <t>Микрометр гладкий МК 300-400 / МК 400-500 Калибр</t>
  </si>
  <si>
    <t>Микрометр гладкий МК 500-600 Калибр</t>
  </si>
  <si>
    <t>Микрометр листовой МЛ 0-10 (0,01)</t>
  </si>
  <si>
    <t>Микрометр листовой МЛ 0-25 (0,01)</t>
  </si>
  <si>
    <t>Микрометр трубный МТ 0-25 (0,01)</t>
  </si>
  <si>
    <t>1770,00</t>
  </si>
  <si>
    <t>Микрометр МВМ 0-25 / МВМ 75-100</t>
  </si>
  <si>
    <t>Микрометр зубомерный МЗ-25 (0-25мм) кл. 2.</t>
  </si>
  <si>
    <t>Микрометр зубомерный инд-ный 0-25мм 2мкм (0,002мм), ГДР, CARL ZEISS</t>
  </si>
  <si>
    <t>2900,00</t>
  </si>
  <si>
    <t>Микрометр зубомерный МЗ-50 (25-50мм) кл. 2.</t>
  </si>
  <si>
    <t>1830,00</t>
  </si>
  <si>
    <t>Микрометр зубомерный МЗ-75 (50-75мм) кл. 2.</t>
  </si>
  <si>
    <t>Микрометр зубомерный МЗ-75 (75-100мм) кл. 2.</t>
  </si>
  <si>
    <t>2430,00</t>
  </si>
  <si>
    <t>Микрометр рычажный МР-25 (0,002) ЛИЗ / МР 0-25 VIS ПНР(0,002)</t>
  </si>
  <si>
    <t>Микрометр рычажный МР 0-25 (0,002) б/у</t>
  </si>
  <si>
    <t>Микрометр рычажный МР 0-25 VIS ПНР легкое б/у (0,002)</t>
  </si>
  <si>
    <t>Микрометр рычажный МР 25-50 VIS ПНР (0,002)</t>
  </si>
  <si>
    <t>Микрометр рычажный МР 25-50 (0,002) легкое бу</t>
  </si>
  <si>
    <t>1300,00</t>
  </si>
  <si>
    <t>Микрометр с рычажной головкой МРИ 50-75мм. ЛИЗ (0,005)</t>
  </si>
  <si>
    <t>1980,00</t>
  </si>
  <si>
    <t>Микрометр МРИ 100-125 / МРИ 125-150</t>
  </si>
  <si>
    <t>Микрометр МРИ 100-125 без вставки</t>
  </si>
  <si>
    <t>Микрометр МРИ 300-400</t>
  </si>
  <si>
    <t>Микрометр призматический МСИ 20-35мм (0.01мм) для контроля валиков</t>
  </si>
  <si>
    <t>Стенкомер С10А (0-10мм) / С10Б (0-10мм)</t>
  </si>
  <si>
    <t>Стенкомер С10А (0-10мм) б/у</t>
  </si>
  <si>
    <t>1400,00</t>
  </si>
  <si>
    <t>Толщиномер индик. ручной ТР 10-60 (0-10мм)</t>
  </si>
  <si>
    <t>Толщиномер индик. настольный ТН 10-60М (0-10мм)</t>
  </si>
  <si>
    <t>Толщиномер индик. ручной ТР 25-60Б (0-25мм)</t>
  </si>
  <si>
    <t>Толщиномер индик. ручной ТР 25-100Б (0-25мм)</t>
  </si>
  <si>
    <t>Толщиномер индик. ручной ТР 50-90 (0-50мм) с 4-я вставками 10, 20, 30, 40мм</t>
  </si>
  <si>
    <t>Толщиномер индик. ручной ТР 50-160Б (0-50мм)</t>
  </si>
  <si>
    <t>Нормалемер БВ 0-120мм (0,002)</t>
  </si>
  <si>
    <t>2500,00</t>
  </si>
  <si>
    <t>Скоба идикаторная СИ 50-3</t>
  </si>
  <si>
    <t>Скоба идикаторная СИ 100-200</t>
  </si>
  <si>
    <t>Скоба рычажная с отсчетным устройством СР-25 (0-25) 0,002 ЛИЗ</t>
  </si>
  <si>
    <t>Скоба рычажная с отсчетным устройством СР-25 (0-25) 0,002 ЛИЗ Б.у</t>
  </si>
  <si>
    <t>Скоба рычажная с отсчетным устройством СР-50 (25-50) 0,002 ЛИЗ</t>
  </si>
  <si>
    <t>1900,00</t>
  </si>
  <si>
    <t>Скоба рычажная с отсчетным устройством СР-50 (25-50) 0,002 ЛИЗ легкое бу</t>
  </si>
  <si>
    <t>Скоба рычажная с отсчетным устройством СР-50 (25-50) 0,002 ЛИЗ брак шкалы</t>
  </si>
  <si>
    <t>Скоба рычажная с отсчетным устройством СР-50 (25-50) 0,002 VIS ПНР легое бу</t>
  </si>
  <si>
    <t>1600,00</t>
  </si>
  <si>
    <t>Скоба рычажная с отсчетным устр. повыш. точности СРП-50 (25-50) 0,001 ЛИЗ</t>
  </si>
  <si>
    <t>5000,00</t>
  </si>
  <si>
    <t>Скоба рычажная с отсчетным устр. повыш. точности СРП-50 (25-50) 0,001 ЛИЗ Б.у.</t>
  </si>
  <si>
    <t>Скоба рычажная с отсчетным устройством СР-75 (50-75) 0,002</t>
  </si>
  <si>
    <t>Скоба рычажная с отсчетным устр. повыш. точности СРП-75 (50-75) 0,001 ЛИЗ</t>
  </si>
  <si>
    <t>Скоба рычажная с отсчетным устройством СР-100 (100-125) 0,005 ЛИЗ Легкое бу</t>
  </si>
  <si>
    <t>Скоба регулируемая 5-10, 10-15, 12-19, 15-20, 50-58</t>
  </si>
  <si>
    <t>по 1 шт</t>
  </si>
  <si>
    <t>Стойка-штатив L-200мм / L-300мм</t>
  </si>
  <si>
    <t>Стойка-штатив индик. С-III М8-50-1 с гол. ИЧ10 / С4-М-8-160х100</t>
  </si>
  <si>
    <t>Стойка для измерительных головок. Тип С-I</t>
  </si>
  <si>
    <t>5280,00</t>
  </si>
  <si>
    <t>Стойка для измерительных головок. Тип С-2</t>
  </si>
  <si>
    <t>Стойка-штатив индик. Тип С-4 (0-250)</t>
  </si>
  <si>
    <t>Штатив Ш-ИН-М-200мм</t>
  </si>
  <si>
    <t>Штатив индик. магнитная ШМ-III (200мм) c индикатором</t>
  </si>
  <si>
    <t>4000,00</t>
  </si>
  <si>
    <t>Штатив индик. магнитная ШМ-IIН (250мм) c индикатором</t>
  </si>
  <si>
    <t>Штатив Ш-1-8 250мм</t>
  </si>
  <si>
    <t>Стойка индик. магнитная гибкая МС-29 (без индикатора)</t>
  </si>
  <si>
    <t>Стойка универсальная мод. 15СТ (для микрометра итп)</t>
  </si>
  <si>
    <t>Прибор для контроля углов резцов, тип ПКР (0-90*)</t>
  </si>
  <si>
    <t>Прибор для контроля среднего диаметра 3х и 5ти канавоч. метчиков тип РМ0,4-5 ГДР</t>
  </si>
  <si>
    <t>Прибор для контроля среднего диаметра 3х и 5ти канавоч. метчиков 3-33мм тип РМ</t>
  </si>
  <si>
    <t>Прибор для проверки изделия на биение ПБМ-200мм ЧИЗ</t>
  </si>
  <si>
    <t>Центроискатель "Калибр" конус КМ5 с индикатором ИЧ10 (легкое б/у)</t>
  </si>
  <si>
    <t>Центроискатель ЦМ-1 конус ИСО 40 с индикатором ИЧ10 (легкое б/у)</t>
  </si>
  <si>
    <t>Центроискатель оптический ЦО-2</t>
  </si>
  <si>
    <t>Индикатор ИЧ 0-2мм</t>
  </si>
  <si>
    <t>Индикатор ИЧ 0-5мм</t>
  </si>
  <si>
    <t>Индикатор ИЧ 0-10мм (0,01)/ ИЧ 0-10мм с ушком (0,01)</t>
  </si>
  <si>
    <t>25 / 47</t>
  </si>
  <si>
    <t>Индикатор ИЧ 0-10мм ГДР (0,01)</t>
  </si>
  <si>
    <t>Индикатор ИЧ 0-10мм ГДР (0,01) б/у</t>
  </si>
  <si>
    <t>Индикатор ИЧ 0-10мм Швейцария (0,01) d100mm</t>
  </si>
  <si>
    <t>Индикатор ИЧ 0-25мм Кл.0</t>
  </si>
  <si>
    <t>1920,00</t>
  </si>
  <si>
    <t>Индикатор ИЧ 0-25мм Кл.1</t>
  </si>
  <si>
    <t>Индикатор 1ИЧС 0-5мм (0,1)</t>
  </si>
  <si>
    <t>Индикатор 2ИЧТ / 1ИЧТ</t>
  </si>
  <si>
    <t>Индикатор 1ИГ (0,05) / 2ИГ (0,02)</t>
  </si>
  <si>
    <t>990 / 1320</t>
  </si>
  <si>
    <t>Индикатор ИРБ 0,8 (0,01) / ИРТ 0,8 (0,01)</t>
  </si>
  <si>
    <t>7 / 0</t>
  </si>
  <si>
    <t>Индикатор многооборотный 1МИГ (1ИГМ)-(0,001)</t>
  </si>
  <si>
    <t>Индикатор многооборотный 2МИГ - (0,002)</t>
  </si>
  <si>
    <t>1350,00</t>
  </si>
  <si>
    <t>Миникатор</t>
  </si>
  <si>
    <t>Микатор 0,5 ИПМ +-25мкм (0,5мкм) ЛИЗ</t>
  </si>
  <si>
    <t>Микрокатор ГОЛОВКА ВИМІРЮВАЛЬНА 1ИГП-1мкм (-+30)</t>
  </si>
  <si>
    <t>Микрокатор ГОЛОВКА ВИМІРЮВАЛЬНА 2ИГП-2мкм (-+60)</t>
  </si>
  <si>
    <t>Микрокатор ГОЛОВКА ВИМІРЮВАЛЬНА 10ИГПА (-+300)</t>
  </si>
  <si>
    <t>Головка рычажно-зубчатая Тип 1ИГ 1мкр к нутромером</t>
  </si>
  <si>
    <t>Головка рычажно-зубчатая Тип 2ИГ 2мкр к нутромером</t>
  </si>
  <si>
    <t>Нутромер индикаторный НИ 6-10мм Кл.1 (0,002)</t>
  </si>
  <si>
    <t>Нутромер индикаторный НИ 10-18мм Кл.2 (0,01)</t>
  </si>
  <si>
    <t>Нутромер индикаторный НИ 10-18мм Кл.1 (0,002)</t>
  </si>
  <si>
    <t>Нутромер индикаторный НИ 10-18мм Кл.1 (0,002) бу, без вставки 10-12</t>
  </si>
  <si>
    <t>Нутромер индикаторный НИ 10-19мм ГДР Кл.1 (0,002)</t>
  </si>
  <si>
    <t>Нутромер индикаторный НИ 18-50мм Кл.2 (0,01)</t>
  </si>
  <si>
    <t>Нутромер индикаторный НИ 18-50мм Кл.1 (0,002) пов. Точности легкое б/у</t>
  </si>
  <si>
    <t>6700,00</t>
  </si>
  <si>
    <t>Нутромер индикаторный НИ 18-50мм Кл.2 б/у Китай</t>
  </si>
  <si>
    <t>Нутромер индикаторный НИ 35-50мм Кл.2 (0,01)</t>
  </si>
  <si>
    <t>Нутромер индикаторный НИ 35-60мм ГДР Кл.1 (0,002)</t>
  </si>
  <si>
    <t>Нутромер индикаторный НИ 50-100мм Кл.2 (0,01) б/у(без 50-60, 60-70)</t>
  </si>
  <si>
    <t>Нутромер индикаторный НИ 50-100мм Кл.2 (0,01)</t>
  </si>
  <si>
    <t>Нутромер индикаторный НИ 100-160мм Кл.2 (0,01)</t>
  </si>
  <si>
    <t>5970,00</t>
  </si>
  <si>
    <t>Нутромер индикаторный НИ 100-160мм Кл.1 (0,002)</t>
  </si>
  <si>
    <t>Нутромер индикаторный НИ 160-250мм Кл.2 (0,01)</t>
  </si>
  <si>
    <t>Нутромер индикаторный НИ 160-250мм Кл.1 (0,002)</t>
  </si>
  <si>
    <t>Нутромер индикаторный НИ 250-450мм Кл.2 (0,01)</t>
  </si>
  <si>
    <t>Нутромер индикаторный НИ 450-700мм Кл.2 (0,01)</t>
  </si>
  <si>
    <t>6900,00</t>
  </si>
  <si>
    <t>Нутромер микрометрич. НМ 6-10мм</t>
  </si>
  <si>
    <t>Нутромер микрометрич. НМ 50-75мм</t>
  </si>
  <si>
    <t>Нутромер микрометрич. НМ 175мм</t>
  </si>
  <si>
    <t>Нутромер микрометрич. НМ 75-575мм легкое б/у</t>
  </si>
  <si>
    <t>Нутромер микрометрич. НМ 75-575мм б/у</t>
  </si>
  <si>
    <t>Нутромер микрометрич. НМ 75-600мм</t>
  </si>
  <si>
    <t>Нутромер микрометрич. НМ 75-600мм легкое б/у</t>
  </si>
  <si>
    <t>Нутромер микрометрич. НМ 150-1200мм</t>
  </si>
  <si>
    <t>Нутромер микрометрич. НМ 150-1250мм легкое б/у</t>
  </si>
  <si>
    <t>Нутромер микрометрич. НМ 150-1250мм б/у</t>
  </si>
  <si>
    <t>Глубиномер микрометрический ГМ 0-25мм (0,01)</t>
  </si>
  <si>
    <t>Глубиномер микрометрический ГМ 0-50мм</t>
  </si>
  <si>
    <t>1140,00</t>
  </si>
  <si>
    <t>Глубиномер микрометрический ГМ 0-100мм Кл.1</t>
  </si>
  <si>
    <t>Глубиномер индикаторный ГИ 0-100мм</t>
  </si>
  <si>
    <t>3390,00</t>
  </si>
  <si>
    <t>Угломер с нониусом УН-127 - Семенова (0-360*)</t>
  </si>
  <si>
    <t>Угломер с нониусом УН-127 - Семенова (0-360*) легкое б/у</t>
  </si>
  <si>
    <t>Угломер с нониусом 2-УМ (0-180*) 2`</t>
  </si>
  <si>
    <t>Угломер с нониусом 5-УМ (0-180*) 5`</t>
  </si>
  <si>
    <t>Угломер универсальный с нониусом и лупой УН-0.05° (0-360*) VIS ПНР</t>
  </si>
  <si>
    <t>2940,00</t>
  </si>
  <si>
    <t>Угломер универсальный 2-УРИ</t>
  </si>
  <si>
    <t>Угломер оптический УО-2 (0-180*) 5`</t>
  </si>
  <si>
    <t>Квадрант с уровнем L300мм б/у</t>
  </si>
  <si>
    <t>2490,00</t>
  </si>
  <si>
    <t>Квадрант оптический КО-1</t>
  </si>
  <si>
    <t>Граммометр часового типа Г 10-50</t>
  </si>
  <si>
    <t>Набор плоскопар. конц. мер длины №1 (83 мер) Кл.2</t>
  </si>
  <si>
    <t>Набор плоскопар. конц. мер длины №1 (83 мер) Кл.1</t>
  </si>
  <si>
    <t>5200,00</t>
  </si>
  <si>
    <t>Набор плоскопар. конц. мер длины №1 (83 мер) Кл.0</t>
  </si>
  <si>
    <t>Набор плоскопар. конц. мер длины №2 (38 мер) Кл.1</t>
  </si>
  <si>
    <t>2800,00</t>
  </si>
  <si>
    <t>Набор плоскопар. конц. мер длины №2 (38 мер) Кл.2</t>
  </si>
  <si>
    <t>Набор плоскопар. конц. мер длины №3 (112 мер) Кл.1</t>
  </si>
  <si>
    <t>Набор плоскопар. конц. мер длины №7 (11 мер) Кл.1</t>
  </si>
  <si>
    <t>Набор плоскопар. конц. мер длины №9 (12 мер) Кл.1 б/у</t>
  </si>
  <si>
    <t>9900,00</t>
  </si>
  <si>
    <t>Образцовые плоскопар. меры 3 разряд (№№ 3, 10, 11, 16, 17, 20, 21 и ПИ60)</t>
  </si>
  <si>
    <t>договорная</t>
  </si>
  <si>
    <t>Набор образцовых колец для проверки нутромеров НИ 18-50 модель 929-4.</t>
  </si>
  <si>
    <t>10000,00</t>
  </si>
  <si>
    <t>Набор измерительный полный (принадлежности к мерам длины) ПК1</t>
  </si>
  <si>
    <t>Набор измерительный полный (принадлежности к мерам длины) ПК1 лекое бу</t>
  </si>
  <si>
    <t>Набор принадлежностей к мерам длины ПК2</t>
  </si>
  <si>
    <t>Набор принадлежностей к мерам длины ПК2 не комплектный шт</t>
  </si>
  <si>
    <t>Набор мер плоского угла МУ №1 Кл. 1 (93шт).</t>
  </si>
  <si>
    <t>Набор мер плоского угла МУ №1 Кл. 2 (93шт).</t>
  </si>
  <si>
    <t>Набор мер плоского угла МУ №1 Кл. 2 легкое б/у (93шт)</t>
  </si>
  <si>
    <t>Набор мер угловых призматические МУ №2 Кл.2 (33шт).</t>
  </si>
  <si>
    <t>Набор мер угловых призматические МУ №3 Кл.1</t>
  </si>
  <si>
    <t>Меры твердости образцовые МТР-1</t>
  </si>
  <si>
    <t>2750,00</t>
  </si>
  <si>
    <t>Меры твердости образцовые МТБ-1 / МТВ-1 / МТСР-1</t>
  </si>
  <si>
    <t>4 / 2 / 1</t>
  </si>
  <si>
    <t>Рулетка землемерная 20м</t>
  </si>
  <si>
    <t>Рулетка 50м Гост (надлом ручки)</t>
  </si>
  <si>
    <t>234,00</t>
  </si>
  <si>
    <t>Рулетка в обрезиненом корпусе с фиксатором, 10м/25мм</t>
  </si>
  <si>
    <t>Рулетка в обрезиненом корпусе с фиксатором, 8м/25мм</t>
  </si>
  <si>
    <t>Рулетка в обрезиненом корпусе с фиксатором, 5м/25мм</t>
  </si>
  <si>
    <t>Рулетка в обрезиненом корпусе с фиксатором, 3м/16мм</t>
  </si>
  <si>
    <t>122,50</t>
  </si>
  <si>
    <t>Линейка металлическая 1000мм ГОСТ</t>
  </si>
  <si>
    <t>Линейка металлическая 600мм Япония (милиметровой и дюймовой градуировкой)</t>
  </si>
  <si>
    <t>Линейка металлическая 500мм ГОСТ</t>
  </si>
  <si>
    <t>Линейка металлическая 300мм ГОСТ</t>
  </si>
  <si>
    <t>Линейка металлическая 300мм Япония (милиметровой и дюймовой градуировкой)</t>
  </si>
  <si>
    <t>Линейка металлическая 150мм ГОСТ</t>
  </si>
  <si>
    <t>Линейка поверочная лекальная ЛД-80 Кл. 0</t>
  </si>
  <si>
    <t>Линейка поверочная лекальная ЛД-125 Кл. 0 / Кл.1</t>
  </si>
  <si>
    <t>390,0/360,0</t>
  </si>
  <si>
    <t>Линейка поверочная лекальная ЛД-200 Кл. 0</t>
  </si>
  <si>
    <t>Линейка поверочная лекальная ЛД-320 Кл.0 /Кл.1</t>
  </si>
  <si>
    <t>900,0/840,0</t>
  </si>
  <si>
    <t>Линейка поверочная лекальная ШД-1600 Кл.2 (В180)</t>
  </si>
  <si>
    <t>12900,00</t>
  </si>
  <si>
    <t>Линейка поверочная лекальная ЛЧ-200 Кл.1 / Кл.0</t>
  </si>
  <si>
    <t>750,0 / 810,0</t>
  </si>
  <si>
    <t>Линейка поверочная лекальная ЛЧ-320 Кл.0 / Кл.1</t>
  </si>
  <si>
    <t>0 / 1</t>
  </si>
  <si>
    <t>990,0 / 950,0</t>
  </si>
  <si>
    <t>Линейка поверочная лекальная ЛT-175 Кл.0</t>
  </si>
  <si>
    <t>Линейка поверочная лекальная ЛT-200 Кл.0 / Кл.1</t>
  </si>
  <si>
    <t>780,0 / 750,0</t>
  </si>
  <si>
    <t>Линейка поверочная лекальная ЛT-320 Кл.0 / Кл.1</t>
  </si>
  <si>
    <t>Линейка поверочная УT-1000-60*Кл. 1 (В70)</t>
  </si>
  <si>
    <t>Метр складной дерявянный СССР</t>
  </si>
  <si>
    <t>Курвиметр. Дюймы и сантиметр. Без стекла</t>
  </si>
  <si>
    <t>Кронциркуль R-125</t>
  </si>
  <si>
    <t>Угольник поверочный слесарный метал. УП 60х40мм Кл.2</t>
  </si>
  <si>
    <t>Угольник поверочный слесарный метал. УШ 60х40мм Кл.2</t>
  </si>
  <si>
    <t>Угольник поверочный слесарный метал. УШ 80х50мм Кл.1</t>
  </si>
  <si>
    <t>Угольник поверочный слесарный метал. УЛП 100х60мм Кл.1</t>
  </si>
  <si>
    <t>Угольник поверочный слесарный метал. УШ 100х60мм Кл.2</t>
  </si>
  <si>
    <t>Угольник поверочный слесарный метал. УШ 100х60мм Кл.2 легкое б/у</t>
  </si>
  <si>
    <t>Угольник поверочный слесарный метал. УШ 160х100мм Кл.2</t>
  </si>
  <si>
    <t>Угольник поверочный слесарный метал. УШ 160х100мм Кл.2 б/у</t>
  </si>
  <si>
    <t>500,00</t>
  </si>
  <si>
    <t>Угольник поверочный слесарный метал. УП 160х100мм / Кл.1 легке б/у</t>
  </si>
  <si>
    <t>Угольник поверочный слесарный метал. УП 160х100мм Кл.2</t>
  </si>
  <si>
    <t>Угольник поверочный лекальный метал. УП 160х100мм Кл.1</t>
  </si>
  <si>
    <t>Угольник поверочный лекальный метал. УЛП 160х100мм Кл.1</t>
  </si>
  <si>
    <t>Угольник поверочный лекальный метал. УШ 200х130мм VIS ПНР</t>
  </si>
  <si>
    <t>Угольник поверочный лекальный метал. УШ 250х160мм Кл.2</t>
  </si>
  <si>
    <t>Угольник поверочный лекальный метал. УП 250х160мм Кл.2 / Кл.1</t>
  </si>
  <si>
    <t>Угольник поверочный лекальный метал. УП 250х160мм Кл.1 Б/у</t>
  </si>
  <si>
    <t>Угольник поверочный лекальный метал. УЛП 250х160мм Кл.0 легкое б/у</t>
  </si>
  <si>
    <t>Угольник поверочный лекальный метал. УЛП 250х160мм Кл.1</t>
  </si>
  <si>
    <t>Угольник поверочный слесарный метал. рамный УШ 300х240мм Легкое б/у</t>
  </si>
  <si>
    <t>Угольник поверочный слесарный метал. УШ 315х200мм б/у</t>
  </si>
  <si>
    <t>Угольник поверочный слесарный метал. УШ 400х250мм Кл.1 легке б/у</t>
  </si>
  <si>
    <t>Угольник поверочный слесарный метал. УШ 400х250мм Легкое б/у</t>
  </si>
  <si>
    <t>Угольник поверочный слесарный метал. УШ 500х300мм Кл.2</t>
  </si>
  <si>
    <t>Угольник поверочный слесарный метал. УШ 630х400мм Кл.2 коррозия</t>
  </si>
  <si>
    <t>Угольник поверочный слесарный метал. УШ 630х400мм Кл.2 б/у</t>
  </si>
  <si>
    <t>Угольник поверочный слесарный метал. УШ 1000х630мм Кл.2 б/у</t>
  </si>
  <si>
    <t>Плита поверочная и размет. метал. 250х250мм шабров./ гладкая</t>
  </si>
  <si>
    <t>3500,00</t>
  </si>
  <si>
    <t>Плита поверочная и размет. метал. 400х400мм (В70)</t>
  </si>
  <si>
    <t>Плита поверочная и размет. метал. 400х400мм Легкое б/у</t>
  </si>
  <si>
    <t>Плита поверочная и размет. метал. 630х400мм (В110)</t>
  </si>
  <si>
    <t>7500,00</t>
  </si>
  <si>
    <t>Призма поверочная и размет. П1-1-Кл.0 ЧИЗ</t>
  </si>
  <si>
    <t>Призма поверочная и размет. П1-1-Кл.1 ЧИЗ</t>
  </si>
  <si>
    <t>Призма поверочная и размет. П1-1-Кл.1 ЧИЗ легкое б/у</t>
  </si>
  <si>
    <t>Призма поверочная и размет. П1-1-Кл.1 ЧИЗ (без прижима, паспорт)</t>
  </si>
  <si>
    <t>Призма поверочная и размет. П1-2-Кл.1 ЧИЗ</t>
  </si>
  <si>
    <t>6990,00</t>
  </si>
  <si>
    <t>Призма поверочная и размет. П1-3-Кл.1 ЧИЗ</t>
  </si>
  <si>
    <t>8100,00</t>
  </si>
  <si>
    <t>Призма поверочная и размет. П1-4-Кл.2 ЧИЗ легкое б/у</t>
  </si>
  <si>
    <t>Призма поверочная и размет. П2-1-2 (100х60х90мм)</t>
  </si>
  <si>
    <t>Призма поверочная и размет. П2-2-2 (150х80х135мм) ГОСТ 5641-82</t>
  </si>
  <si>
    <t>Призма поверочная и размет. П2-2-1 / П2-2-2 (150х80х135мм)</t>
  </si>
  <si>
    <t>5850,00</t>
  </si>
  <si>
    <t>Призма поверочная и размет. П2-3-2 (200х100х180мм) ГОСТ 5641-82</t>
  </si>
  <si>
    <t>Призма поверочная и размет. УСП (9-28мм)</t>
  </si>
  <si>
    <t>Призма поверочная и размет. УСП (18-55мм)</t>
  </si>
  <si>
    <t>Уровень алюмин. 30см</t>
  </si>
  <si>
    <t>Уровень водяной 7м / 25м</t>
  </si>
  <si>
    <t>60,0/120,20</t>
  </si>
  <si>
    <t>Уровень рамный 200мм Калибр (0,1) с паспортом</t>
  </si>
  <si>
    <t>Уровень рамный 200мм Калибр (0,09) без паспорта</t>
  </si>
  <si>
    <t>Уровень рамный 200мм Калибр (0,05) б/у</t>
  </si>
  <si>
    <t>2570,00</t>
  </si>
  <si>
    <t>Уровень брусковый 200мм Калибр (0,08) с паспортом</t>
  </si>
  <si>
    <t>Отвес 400г</t>
  </si>
  <si>
    <t>Динамометр ДПУ - 0,1т (1kN)</t>
  </si>
  <si>
    <t>Динамометр ДПУ-5-2 (5т, 50kN)</t>
  </si>
  <si>
    <t>Шаблон-резьбомер (55 дюймовая) / (60 метрическая)</t>
  </si>
  <si>
    <t>128 / 84</t>
  </si>
  <si>
    <t>Шаблон-радиусомер №1 / №2 / №3 / R7-14,5</t>
  </si>
  <si>
    <t>25 / 22 / 2 / 1</t>
  </si>
  <si>
    <t>Шаблон для заточки резцов</t>
  </si>
  <si>
    <t>Щаблон-щуп ШС-2</t>
  </si>
  <si>
    <t>Щаблон-щуп ДТ-54 / С-80</t>
  </si>
  <si>
    <t>Шаблон универсальный КОР модель 00316</t>
  </si>
  <si>
    <t>Щуп зазор. №1 (0,02-0,1мм) / №2 (0,2-0,5мм)</t>
  </si>
  <si>
    <t>40 / 47</t>
  </si>
  <si>
    <t>Щуп зазор. №3 (0,55-1,0мм) / №4 (0,1-1,0мм)</t>
  </si>
  <si>
    <t>291 / 26</t>
  </si>
  <si>
    <t>Тахометр часовой ТЧ10-Р. Пределы изм. 50 -10000 об/мин</t>
  </si>
  <si>
    <t>Тахометр магнитоиндуктивный ТМ 05-01 (25-500об/мин)</t>
  </si>
  <si>
    <t>Тахометр ТМ (0-6000об/мин)</t>
  </si>
  <si>
    <t>Анемометр чашечный ЛУ-5 (МС-13)</t>
  </si>
  <si>
    <t>Секундомер "Слава" СДСпр-1-2</t>
  </si>
  <si>
    <t>Микроскоп отсчетный МПБ-2 (24-х кратн. (0,05))</t>
  </si>
  <si>
    <t>Микроскоп отсчетный МПБ-2 (24-х кратн. (0,05)) легкое бу</t>
  </si>
  <si>
    <t>Микроскоп МИР-1</t>
  </si>
  <si>
    <t>Линза глазная 5-ти крат. 25мм // 10-ти крат. 50мм</t>
  </si>
  <si>
    <t>Лупа ЛИ-3 (10-ти кратная)</t>
  </si>
  <si>
    <t>Плоскопаралельные стекляные пластины ПМ65</t>
  </si>
  <si>
    <t>Плоскопаралельные стекляные пластины ПМ90</t>
  </si>
  <si>
    <t>Пластина плоская стеклянная ПИ 100</t>
  </si>
  <si>
    <t>Пневматическая головка для проверки валов. Калибр.</t>
  </si>
  <si>
    <t>Фреза отрезная Р6М5 32х0,2 / 32х0,25мм</t>
  </si>
  <si>
    <t>Фреза отрезная Р6М5 32х0,4 / 32х0.5</t>
  </si>
  <si>
    <t>Фреза отрезная Р6М5 40х0,25 / 40х0,4 / 40х0,5</t>
  </si>
  <si>
    <t>6 / 13 / 0</t>
  </si>
  <si>
    <t>Фреза отрезная Р6М5 40х0.6 / 40х0,8 / 40х1,0 мм</t>
  </si>
  <si>
    <t>2 / 4 / 4</t>
  </si>
  <si>
    <t>Фреза отрезная Р6М5 40х1,2 / 40х1,6 мм</t>
  </si>
  <si>
    <t>Фреза отрезная Р6М5 50х0,25 / 50х0,3мм</t>
  </si>
  <si>
    <t>Фреза отрезная Р6М5 50х0,4 / 50х0,32-0,45мм</t>
  </si>
  <si>
    <t>11 / 23</t>
  </si>
  <si>
    <t>Фреза отрезная Р6М5 50х0,6 / 50х0,8 / 50х1,0 мм</t>
  </si>
  <si>
    <t>4 / 2 / 45</t>
  </si>
  <si>
    <t>Фреза отрезная Р6М5 50х1.2 / 50х2,0 мм</t>
  </si>
  <si>
    <t>23 / 65</t>
  </si>
  <si>
    <t>Фреза отрезная Р6М5 50х2,5 / 50х3.0мм</t>
  </si>
  <si>
    <t>6 / 16</t>
  </si>
  <si>
    <t>Фреза отрезная Р6М5 58х0,6 / 60х0,5 / 60х0,6</t>
  </si>
  <si>
    <t>Фреза отрезная Р6М5 63х0,5 / 63х0,6 / 63х0,8</t>
  </si>
  <si>
    <t>5 / 7 / 15</t>
  </si>
  <si>
    <t>Фреза отрезная Р6М5 63х1,0 / 63х1,2</t>
  </si>
  <si>
    <t>78 / 122</t>
  </si>
  <si>
    <t>Фреза отрезная Р6М5 60х1.6 / 63х1,6мм</t>
  </si>
  <si>
    <t>10 / 134</t>
  </si>
  <si>
    <t>Фреза отрезная Р6М5 63х2,0мм / 63х2.5мм</t>
  </si>
  <si>
    <t>43 / 25</t>
  </si>
  <si>
    <t>Фреза отрезная Р6М5 63х3,0мм</t>
  </si>
  <si>
    <t>Фреза отрезная Р6М5 70х1.0 / 75х1,0мм / 75х1.2мм</t>
  </si>
  <si>
    <t>49 / 1 / 1</t>
  </si>
  <si>
    <t>Фреза отрезная Р6М5 80х1,0мм</t>
  </si>
  <si>
    <t>Фреза отрезная Р6М5 80х1,2мм</t>
  </si>
  <si>
    <t>Фреза отрезная Р6М5 80х1,4 / 80х1,6мм</t>
  </si>
  <si>
    <t>3 / 342</t>
  </si>
  <si>
    <t>Фреза отрезная Р6М5 80х2,0мм</t>
  </si>
  <si>
    <t>Фреза отрезная Р6М5 80х2,5мм / 80х2.8мм</t>
  </si>
  <si>
    <t>124 / 4</t>
  </si>
  <si>
    <t>Фреза отрезная Р6М5 75х3.0мм / 80х3,0мм</t>
  </si>
  <si>
    <t>1 / 192</t>
  </si>
  <si>
    <t>Фреза отрезная Р6М5 80х3,5мм</t>
  </si>
  <si>
    <t>Фреза отрезная Р6М5 80х4.0мм</t>
  </si>
  <si>
    <t>Фреза отрезная Р6М5 100х1,0мм</t>
  </si>
  <si>
    <t>Фреза отрезная Р6М5 100х1,2мм / 100х1.4мм</t>
  </si>
  <si>
    <t>116 / 11</t>
  </si>
  <si>
    <t>Фреза отрезная Р6М5 100х1,6мм</t>
  </si>
  <si>
    <t>Фреза отрезная Р6М5 100х2,0мм</t>
  </si>
  <si>
    <t>Фреза отрезная Р6М5 100х2,5мм / 100х2.8мм</t>
  </si>
  <si>
    <t>67 / 1</t>
  </si>
  <si>
    <t>Фреза отрезная Р6М5 100х3,0мм / 100х3,5мм</t>
  </si>
  <si>
    <t>16 / 20</t>
  </si>
  <si>
    <t>Фреза отрезная Р6М5 100х4,0мм</t>
  </si>
  <si>
    <t>Фреза отрезная Р6М5 125х1,4мм тип 2</t>
  </si>
  <si>
    <t>Фреза отрезная Р6М5 125х1,6мм</t>
  </si>
  <si>
    <t>Фреза отрезная Р6М5 125х2,0мм / 125х2 тип 1</t>
  </si>
  <si>
    <t>Фреза отрезная Р6М5 125х2,5мм / 125х2,5 тип 3</t>
  </si>
  <si>
    <t>Фреза отрезная Р6М5 125х3,0мм Тип 1</t>
  </si>
  <si>
    <t>Фреза отрезная Р6М5 125х3,5мм</t>
  </si>
  <si>
    <t>Фреза отрезная Р6М5 125х4,0мм</t>
  </si>
  <si>
    <t>Фреза отрезная Р6М5 160х1,6мм</t>
  </si>
  <si>
    <t>Фреза отрезная Р6М5 160х2,0мм тип2 / 160х2,0мм тип3</t>
  </si>
  <si>
    <t>Фреза отрезная Р6М5 160х2,5мм</t>
  </si>
  <si>
    <t>Фреза отрезная Р6М5 160х3,0мм</t>
  </si>
  <si>
    <t>Фреза отрезная Р6М5 160х3,5мм</t>
  </si>
  <si>
    <t>Фреза отрезная Р6М5 160х4,0мм / 160х4,5мм</t>
  </si>
  <si>
    <t>Фреза отрезная Р6М5 200х2,0мм / 200х2,5мм</t>
  </si>
  <si>
    <t>0 / 6</t>
  </si>
  <si>
    <t>Фреза отрезная Р6М5 200х3,0мм</t>
  </si>
  <si>
    <t>Фреза отрезная Р6М5 200х3,5мм</t>
  </si>
  <si>
    <t>Фреза отрезная Р6М5 200х4,0мм</t>
  </si>
  <si>
    <t>Фреза отрезная Р6М5 200х4,5мм</t>
  </si>
  <si>
    <t>Фреза отрезная Р6М5 200х5,0мм / 200х5 б/у</t>
  </si>
  <si>
    <t>37 / 1</t>
  </si>
  <si>
    <t>990 / 510,0</t>
  </si>
  <si>
    <t>Фреза отрезная Р6М5 200х5,5мм</t>
  </si>
  <si>
    <t>Фреза отрезная Р6М5 200х6,0мм</t>
  </si>
  <si>
    <t>Фреза шпоночная М2 ц/хв</t>
  </si>
  <si>
    <t>Фреза шпоночная М3 ц/хв</t>
  </si>
  <si>
    <t>Фреза шпоночная М4 ц/хв</t>
  </si>
  <si>
    <t>Фреза шпоночная М5 ц/хв</t>
  </si>
  <si>
    <t>Фреза шпоночная М6 ц/хв / М6,6ц/хв</t>
  </si>
  <si>
    <t>612 / 20</t>
  </si>
  <si>
    <t>Фреза шпоночная М7 ц/хв / М8 ц/хв</t>
  </si>
  <si>
    <t>34 / 24</t>
  </si>
  <si>
    <t>Фреза шпоночная М10 ц/хв</t>
  </si>
  <si>
    <t>Фреза шпоночная М12 ц/хв / М13ц/хв</t>
  </si>
  <si>
    <t>17 / 1</t>
  </si>
  <si>
    <t>Фреза шпоночная М14 ц/хв</t>
  </si>
  <si>
    <t>Фреза шпоночная М16 ц/хв</t>
  </si>
  <si>
    <t>Фреза шпоночная М18 ц/хв</t>
  </si>
  <si>
    <t>Фреза шпоночная М20 ц/хв</t>
  </si>
  <si>
    <t>Фреза шпоночная М12 к/хв</t>
  </si>
  <si>
    <t>Фреза шпоночная М15 к/хв Р18</t>
  </si>
  <si>
    <t>Фреза шпоночная М16 к/хв</t>
  </si>
  <si>
    <t>Фреза шпоночная М18 к/хв</t>
  </si>
  <si>
    <t>Фреза шпоночная М20 к/хв</t>
  </si>
  <si>
    <t>Фреза шпоночная М22 к/хв</t>
  </si>
  <si>
    <t>Фреза шпоночная М24 к/хв Р18 / М24 к/хв</t>
  </si>
  <si>
    <t>Фреза шпоночная М25 к/хв</t>
  </si>
  <si>
    <t>Фреза шпоночная М28 к/хв</t>
  </si>
  <si>
    <t>Фреза шпоночная М30 (220х90)к/хв / М32 к/хв</t>
  </si>
  <si>
    <t>1 / 64</t>
  </si>
  <si>
    <t>Фреза шпоночная М36 к/хв</t>
  </si>
  <si>
    <t>486,00</t>
  </si>
  <si>
    <t>Фреза шпоночная М40 к/хв</t>
  </si>
  <si>
    <t>516,00</t>
  </si>
  <si>
    <t>Фреза шпоночная М50 ц/хв</t>
  </si>
  <si>
    <t>552,00</t>
  </si>
  <si>
    <t>Фреза червячная модуль М8,0 Р6М5К5 120х40 L130</t>
  </si>
  <si>
    <t>Фреза червячная модуль М7,0 Р6М5 120х40 L110 Р6М5</t>
  </si>
  <si>
    <t>Фреза червячная модуль М6,0</t>
  </si>
  <si>
    <t>Фреза червячная модуль М5,5</t>
  </si>
  <si>
    <t>Фреза червячная модуль М5,0 d32х100 L100 / d32х85 L120 / d40</t>
  </si>
  <si>
    <t>7 / 1 / 4</t>
  </si>
  <si>
    <t>Фреза червячная модуль М4,5</t>
  </si>
  <si>
    <t>Фреза червячная модуль М4,5 d отв.27 (82х85) Р18</t>
  </si>
  <si>
    <t>Фреза червячная модуль М4,25</t>
  </si>
  <si>
    <t>Фреза червячная модуль  М4,0 / М4,0 Р6М5 95х32 L85 / М4,0 Р6М5 90х32 L80</t>
  </si>
  <si>
    <t>5 / 1 / 3</t>
  </si>
  <si>
    <t>Фреза червячная модуль М3,75-3 2/3* / М3,75-20*</t>
  </si>
  <si>
    <t>Фреза червячная модуль М3,75 d отв.32 (90х80) Р18</t>
  </si>
  <si>
    <t>Фреза червячная модуль М3,5 / М3,975 / М3,5 (90Х80Х32) /…Р9</t>
  </si>
  <si>
    <t>7 / 3 / 2 / 1</t>
  </si>
  <si>
    <t>Фреза червячная модуль М3,5 d отв.27 (75х68) Р18</t>
  </si>
  <si>
    <t>Фреза червячная модуль М3,5 30* (80х70х32мм)</t>
  </si>
  <si>
    <t>Фреза червячная модуль М3,25 d отв.27 (72х65) Р18</t>
  </si>
  <si>
    <t>Фреза червячная модуль М3,0 / М3,0лев / М3,25</t>
  </si>
  <si>
    <t>Фреза червячная модуль М3,0 (90х120х32)</t>
  </si>
  <si>
    <t>Фреза червячная модуль  М2,75</t>
  </si>
  <si>
    <t>Фреза червячная модуль М2,5 (80х140х32)</t>
  </si>
  <si>
    <t>Фреза червячная модуль М2,5 (80х32 L70-Р6М5) / М2,5 (70х27 L62-Р6М5)</t>
  </si>
  <si>
    <t>Фреза червячная модуль М2,0 / М2,25</t>
  </si>
  <si>
    <t>Фреза червячная модуль М2,0 (50х22 L52) Р9</t>
  </si>
  <si>
    <t>Фреза червячная модуль М2,0 30* (64х27мм L50)</t>
  </si>
  <si>
    <t>Фреза червячная модуль М1,75 (60х47х27-Р18)</t>
  </si>
  <si>
    <t>Фреза червячная модуль М1,5 / М1,5 (53х22 L45-Р18)</t>
  </si>
  <si>
    <t>Фреза червячная модуль М1,25</t>
  </si>
  <si>
    <t>Фреза червячная модуль М1,0 -20*(48х22х32мм) Кл.А</t>
  </si>
  <si>
    <t>Фреза червячная модуль М1,0 -20*(48х22х32мм) Кл.В</t>
  </si>
  <si>
    <t>Фреза червячная модуль М1,0 -15* (110х16,5мм)</t>
  </si>
  <si>
    <t>Фреза червячная модуль  М1,0 -30*(48х22х32мм) Кл.В</t>
  </si>
  <si>
    <t>Фреза червячная модуль М0,7 (d29мм х dвн13мм) / М0,8</t>
  </si>
  <si>
    <t>Фреза червячная модуль М0,5 / М0,6 (30х20х13 Р18)</t>
  </si>
  <si>
    <t>Фреза червячная модуль М0,3 / М0,4 Р18 (32х16х10) / М0,4 Р6М5(32х16х13)</t>
  </si>
  <si>
    <t>10 / 1 / 1</t>
  </si>
  <si>
    <t>Фреза червячная модуль М0,3 (50мм)ВК6М / М0,4 (0мм)ВК6М</t>
  </si>
  <si>
    <t>Фреза червячная модуль М0,15 /М0,25</t>
  </si>
  <si>
    <t>Фреза червячная модуль цепь 12,75 (d. рол.7,75)</t>
  </si>
  <si>
    <t>Фреза червячная модуль цепь 15,875 (d. рол.10,16)</t>
  </si>
  <si>
    <t>Фреза червячная модуль цепь 19,05 (d. рол.11,9) (40x115x110mm)Р6М5</t>
  </si>
  <si>
    <t>Фреза червячная модуль цепь 25,4 (d. рол.15,88) 125х40 L125 Р6М5</t>
  </si>
  <si>
    <t>Фреза червячная модуль цепь 31,75 (d. рол.19,05) 140х40 L140 Р6М5</t>
  </si>
  <si>
    <t>Фреза червячная шлицевых валов 6,4х23,4х28,6 п6</t>
  </si>
  <si>
    <t>26. Ф Р Е З А К О Н Ц Е В А Я Р6М5</t>
  </si>
  <si>
    <t>Фреза концевая М3 / М3Р18двухстор.</t>
  </si>
  <si>
    <t>286 / 275</t>
  </si>
  <si>
    <t>27,0 / 33,00</t>
  </si>
  <si>
    <t>Фреза концевая М4</t>
  </si>
  <si>
    <t>Фреза концевая М5</t>
  </si>
  <si>
    <t>Фреза концевая М6</t>
  </si>
  <si>
    <t>Фреза концевая М8</t>
  </si>
  <si>
    <t>Фреза концевая М9</t>
  </si>
  <si>
    <t>Фреза концевая М10</t>
  </si>
  <si>
    <t>Фреза концевая М10удл</t>
  </si>
  <si>
    <t>Фреза концевая М10 (110х65) 4 пера удл</t>
  </si>
  <si>
    <t>Фреза концевая М12</t>
  </si>
  <si>
    <t>Фреза концевая М12х100(55) 4 пер</t>
  </si>
  <si>
    <t>Фреза концевая М14</t>
  </si>
  <si>
    <t>Фреза концевая М14 удл</t>
  </si>
  <si>
    <t>Фреза концевая М16</t>
  </si>
  <si>
    <t>Фреза концевая М16удл</t>
  </si>
  <si>
    <t>Фреза концевая М18</t>
  </si>
  <si>
    <t>138,60</t>
  </si>
  <si>
    <t>Фреза концевая М18 удл.</t>
  </si>
  <si>
    <t>Фреза концевая М20</t>
  </si>
  <si>
    <t>Фреза концевая М20 (145/60)удл.</t>
  </si>
  <si>
    <t>201,00</t>
  </si>
  <si>
    <t>Фреза концевая М14к/хв.</t>
  </si>
  <si>
    <t>Фреза концевая М14к/хв удл</t>
  </si>
  <si>
    <t>Фреза концевая М15к/хв.</t>
  </si>
  <si>
    <t>Фреза концевая М16к/хв</t>
  </si>
  <si>
    <t>Фреза концевая М16х55к/хв / М16х70к/хв удл</t>
  </si>
  <si>
    <t>1 / 12</t>
  </si>
  <si>
    <t>Фреза концевая М16 (раб 120) к/хв</t>
  </si>
  <si>
    <t>Фреза концевая М18к/хв / М18,5к/хв</t>
  </si>
  <si>
    <t>54 / 94</t>
  </si>
  <si>
    <t>Фреза концевая М18удл к/кв</t>
  </si>
  <si>
    <t>Фреза концевая М19,7 / М20к/хв / М20.9к/хв</t>
  </si>
  <si>
    <t>2 / 149 / 1</t>
  </si>
  <si>
    <t>Фреза концевая М20х70удл Z5 к/хв КМ2</t>
  </si>
  <si>
    <t>Фреза концевая М20х170(70) удл Z5 к/хв КМ3</t>
  </si>
  <si>
    <t>Фреза концевая М20х210(110) удл Z5 к/хв КМ3</t>
  </si>
  <si>
    <t>Фреза концевая М20удл к/хв / 20х100удл к/хв</t>
  </si>
  <si>
    <t>Фреза концевая М20х200(раб 40мм)удл к/хв</t>
  </si>
  <si>
    <t>Фреза концевая М21,3 / М22к/хв</t>
  </si>
  <si>
    <t>3 / 142</t>
  </si>
  <si>
    <t>Фреза концевая М22х60удл.к/хв / М22х90удл.</t>
  </si>
  <si>
    <t>37 / 40</t>
  </si>
  <si>
    <t>Фреза концевая М24к/хв 3х пер.</t>
  </si>
  <si>
    <t>Фреза концевая М25ц/хв</t>
  </si>
  <si>
    <t>Фреза концевая М25к/хв Z3 / Z5</t>
  </si>
  <si>
    <t>10 / 3</t>
  </si>
  <si>
    <t>Фреза концевая М25х50 Z5 КМ3 Р18 / М25х70 Z5 к/хв</t>
  </si>
  <si>
    <t>Фреза концевая М25х185(80) удл Z5 КМ3</t>
  </si>
  <si>
    <t>Фреза концевая М25х80 удл Z3 КМ3</t>
  </si>
  <si>
    <t>Фреза концевая М25х100 удл Z3 КМ3</t>
  </si>
  <si>
    <t>Фреза концевая М26к/хв</t>
  </si>
  <si>
    <t>Фреза концевая М26х240 (100) КМ4 удл</t>
  </si>
  <si>
    <t>Фреза концевая М26х260 (120) КМ4 удл Z5</t>
  </si>
  <si>
    <t>Фреза концевая М28к/хв</t>
  </si>
  <si>
    <t>Фреза концевая М28х70удл. к/хв / М28х90удл. КМ4 Z3</t>
  </si>
  <si>
    <t>681,00</t>
  </si>
  <si>
    <t>Фреза концевая М28х100удл. к/хв</t>
  </si>
  <si>
    <t>777,00</t>
  </si>
  <si>
    <t>Фреза концевая М28х280удл.Z4 КМ4</t>
  </si>
  <si>
    <t>Фреза концевая М30 Z4 КМ4 Р6М5 / М30 Z6 КМ4 Р18</t>
  </si>
  <si>
    <t>Фреза концевая М30х70 Z4 КМ4 удл</t>
  </si>
  <si>
    <t>Фреза концевая М30х130к/хв удл</t>
  </si>
  <si>
    <t>Фреза концевая М30х150к/хв удл</t>
  </si>
  <si>
    <t>Фреза концевая М30х200к/хв удл</t>
  </si>
  <si>
    <t>Фреза концевая М32к/хв / 32 ц/хв</t>
  </si>
  <si>
    <t>77 / 11</t>
  </si>
  <si>
    <t>Фреза концевая М32 Z6 КМ4</t>
  </si>
  <si>
    <t>Фреза концевая М32х160удл.</t>
  </si>
  <si>
    <t>Фреза концевая М34 КМ4 Z4</t>
  </si>
  <si>
    <t>Фреза концевая М35к/хв</t>
  </si>
  <si>
    <t>Фреза концевая М35удл. к/хв</t>
  </si>
  <si>
    <t>Фреза концевая М36к/хв.</t>
  </si>
  <si>
    <t>Фреза концевая М36удл. к/хв</t>
  </si>
  <si>
    <t>Фреза концевая М36х140удл. к/хв Z4</t>
  </si>
  <si>
    <t>Фреза концевая М36,8х100удл. к/хв</t>
  </si>
  <si>
    <t>Фреза концевая М38 (225х100)удл. к/хв</t>
  </si>
  <si>
    <t>Фреза концевая М40к/хв / М40ц/хв</t>
  </si>
  <si>
    <t>35 / 7</t>
  </si>
  <si>
    <t>Фреза концевая М40удл. к/хв / М40х100 к/хв</t>
  </si>
  <si>
    <t>50 / 4</t>
  </si>
  <si>
    <t>Фреза концевая М43удл к/хв / М45к/хв</t>
  </si>
  <si>
    <t>1 / 109</t>
  </si>
  <si>
    <t>660,0 / 720,0</t>
  </si>
  <si>
    <t>Фреза концевая М45х70 Z6 КМ4 Р18</t>
  </si>
  <si>
    <t>Фреза концевая М45удл. к/хв</t>
  </si>
  <si>
    <t>Фреза концевая М48к/хв</t>
  </si>
  <si>
    <t>Фреза концевая М50 Z6 КМ4 / КМ5</t>
  </si>
  <si>
    <t>Фреза концевая М50х80мм удл. КМ5</t>
  </si>
  <si>
    <t>Фреза концевая М50х200 удл. КМ5 / М50х300(90раб) удл. КМ5</t>
  </si>
  <si>
    <t>Фреза концевая М50х260(110раб) Z5 удл. КМ5</t>
  </si>
  <si>
    <t>Фреза концевая М50х360(200раб) Z8 удл. КМ4</t>
  </si>
  <si>
    <t>Фреза концевая М50х390(200раб) Z6 удл. КМ5</t>
  </si>
  <si>
    <t>Фреза концевая М55удл.к/хв</t>
  </si>
  <si>
    <t>Фреза концевая М55к/хв</t>
  </si>
  <si>
    <t>Фреза концевая М59х80удл Z8 КМ5</t>
  </si>
  <si>
    <t>1080,00</t>
  </si>
  <si>
    <t>Фреза концевая М60х70удл Z5 КМ5</t>
  </si>
  <si>
    <t>Фреза концевая М65 КМ5</t>
  </si>
  <si>
    <t>Фреза концевая М70удл.</t>
  </si>
  <si>
    <t>1389,00</t>
  </si>
  <si>
    <t>Фреза 3-х стор. 50х5 / 50х6</t>
  </si>
  <si>
    <t>18 / 28</t>
  </si>
  <si>
    <t>Фреза 3-х стор. 63х6 / 63х8</t>
  </si>
  <si>
    <t>31 / 155</t>
  </si>
  <si>
    <t>Фреза 3-х стор. 63х10 / 60х12 / 63х12</t>
  </si>
  <si>
    <t>71 / 1 / 105</t>
  </si>
  <si>
    <t>Фреза 3-х стор. 75х8 / 75х14</t>
  </si>
  <si>
    <t>Фреза 3-х стор. 80х3,5</t>
  </si>
  <si>
    <t>Фреза 3-х стор. 80х8 / 80х10</t>
  </si>
  <si>
    <t>70 / 43</t>
  </si>
  <si>
    <t>Фреза 3-х стор. 80х12 / 80х14</t>
  </si>
  <si>
    <t>81 / 14</t>
  </si>
  <si>
    <t>Фреза 3-х стор. 90х16 вст.ножи Р6М5 / 90х18 вст.ножи Р6М5</t>
  </si>
  <si>
    <t>Фреза 3-х стор. 90х22 вст.ножи Р6М5</t>
  </si>
  <si>
    <t>Фреза 2-х стор. 94х7</t>
  </si>
  <si>
    <t>Фреза 3-х стор. 100х10</t>
  </si>
  <si>
    <t>Фреза 3-х стор. 100х12 / 100х14</t>
  </si>
  <si>
    <t>5 / 24</t>
  </si>
  <si>
    <t>Фреза 3-х стор. 100х16 / 100х20</t>
  </si>
  <si>
    <t>89 / 2</t>
  </si>
  <si>
    <t>Фреза 3-х стор. 100х14вст.ножи Р6М5 / 100х15 вст.ножи Р6М5</t>
  </si>
  <si>
    <t>Фреза 3-х стор 100х18 вст.ножи Р6М5 / 100х28 вст.ножи Р6М5</t>
  </si>
  <si>
    <t>Фреза 3-х стор. 105х14</t>
  </si>
  <si>
    <t>Фреза 3-х стор. 110х12вст.ножи Р6М5</t>
  </si>
  <si>
    <t>Фреза 3-х стор. 110х14 / 110х16вст.ножи Р6М5</t>
  </si>
  <si>
    <t>Фреза 3-х стор. 120х8</t>
  </si>
  <si>
    <t>Фреза 3-х стор. 125х9монол. Р6М5 / 125х14 монол. Р6М5</t>
  </si>
  <si>
    <t>Фреза 3-х стор. 125х25 монол. Р6М5</t>
  </si>
  <si>
    <t>Фреза 3-х стор. 125х12 вст.ножи Р6М5</t>
  </si>
  <si>
    <t>Фреза 3-х стор. 125х16 вст.ножи Р6М5</t>
  </si>
  <si>
    <t>Фреза 3-х стор. 125х19 / 125х20 вст.ножи Р6М5</t>
  </si>
  <si>
    <t>Фреза 3-х стор. 130х20 вст.ножи Р18</t>
  </si>
  <si>
    <t>Фреза 3-х стор. 150х15 монол. Р6М5 / 150х20 монол. Р6М5</t>
  </si>
  <si>
    <t>Фреза 3-х стор. 150х16 вст.ножи Р6М5</t>
  </si>
  <si>
    <t>Фреза 3-х стор. 150х24вст.нож Р18</t>
  </si>
  <si>
    <t>Фреза 3-х стор. 160х18 вст.ножи Р6М5</t>
  </si>
  <si>
    <t>Фреза 3-х стор. 160х22х40 вст.ножи Р6М5</t>
  </si>
  <si>
    <t>Фреза 3-х стор. 160х28 вст.ножи Р6М5</t>
  </si>
  <si>
    <t>Фреза 3-х стор. 160х53 вст.ножи Р6М5</t>
  </si>
  <si>
    <t>Фреза 3-х стор. 200х16х50 вст.ножи Р6М5</t>
  </si>
  <si>
    <t>Фреза 3-х стор. 200х20х50 вст.ножи Р18</t>
  </si>
  <si>
    <t>Фреза 3-х стор. 200х32х50 вст.ножи Р6М5</t>
  </si>
  <si>
    <t>Фреза дисковая (наборная 8шт) М0,5 / М0,6 / М0,7</t>
  </si>
  <si>
    <t>0 / 0 / 1</t>
  </si>
  <si>
    <t>Фреза дисковая (наборная 8шт) М1 / М1,25</t>
  </si>
  <si>
    <t>Фреза дисковая (наборная 8шт) М1.5 / М1,75</t>
  </si>
  <si>
    <t>1650,00</t>
  </si>
  <si>
    <t>Фреза дисковая (наборная 8шт) М2,0</t>
  </si>
  <si>
    <t>Фреза дисковая (наборная 8шт) М2,25 / М2,5</t>
  </si>
  <si>
    <t>Фреза дисковая (наборная 8шт) М2.75</t>
  </si>
  <si>
    <t>Фреза дисковая (наборная 8шт) М3,0</t>
  </si>
  <si>
    <t>Фреза дисковая (наборная 8шт) М3,25</t>
  </si>
  <si>
    <t>Фреза дисковая (наборная 8шт) М3,5 / М3,75</t>
  </si>
  <si>
    <t>3 / 4</t>
  </si>
  <si>
    <t>Фреза дисковая (наборная 8шт) М4,0</t>
  </si>
  <si>
    <t>Фреза дисковая (наборная 8шт) М4,5</t>
  </si>
  <si>
    <t>Фреза дисковая (наборная 8шт) М5 / М5,5</t>
  </si>
  <si>
    <t>Фреза дисковая (наборная 8шт) М6 / М7</t>
  </si>
  <si>
    <t>Фреза дисковая (наборная 8шт) М8 (без №8)</t>
  </si>
  <si>
    <t>2610,00</t>
  </si>
  <si>
    <t>Фреза дисковая (наборная) разные модульные</t>
  </si>
  <si>
    <t>180-510,00</t>
  </si>
  <si>
    <t>Фреза дисковая радиусная выпуклая 40R1,6 / 50R1,5 / 50R1,6</t>
  </si>
  <si>
    <t>1 / 3 / 9</t>
  </si>
  <si>
    <t>Фреза дисковая радиусная выпуклая 50R2,0 / 50R2,5</t>
  </si>
  <si>
    <t>Фреза дисковая радиусная выпуклая 63R2,5 / 63R3 / 63R4</t>
  </si>
  <si>
    <t>2 / 6 / 18</t>
  </si>
  <si>
    <t>Фреза дисковая радиусная выпуклая 75R14</t>
  </si>
  <si>
    <t>Фреза дисковая радиусная выпуклая 80R4 / 80R5 / 80R6</t>
  </si>
  <si>
    <t>9 / 10 / 1</t>
  </si>
  <si>
    <t>Фреза дисковая радиусная выпуклая  80R8 / 80R9</t>
  </si>
  <si>
    <t>Фреза дисковая радиусная выпуклая 80(вн27) R14,5 Р18 / 90 R4</t>
  </si>
  <si>
    <t>Фреза дисковая радиусная выпуклая 90 R8 / 90 R10</t>
  </si>
  <si>
    <t>Фреза дисковая радиусная выпуклая 100R8  / 100R10</t>
  </si>
  <si>
    <t>Фреза дисковая радиусная выпуклая 100R12 / 110R12</t>
  </si>
  <si>
    <t>Фреза дисковая радиусная выпуклая  125R12 / 125R14 / 125R16</t>
  </si>
  <si>
    <t>0 / 0 / 0</t>
  </si>
  <si>
    <t>Фреза дисковая радиусная выпуклая 145х60</t>
  </si>
  <si>
    <t>Фреза дисковая радиусная вогнутая 30R1,6</t>
  </si>
  <si>
    <t>Фреза дисковая радиусная вогнутая 40R1,5 / 45R1,5 / 50R1,5</t>
  </si>
  <si>
    <t>6 / 1 / 12</t>
  </si>
  <si>
    <t>Фреза дисковая радиусная вогнутая 50R1,6 / 50R2,0 / 50R2,5</t>
  </si>
  <si>
    <t>19 / 11 / 3</t>
  </si>
  <si>
    <t>Фреза дисковая радиусная вогн. 55мм d24-25,5/60мм d30-32/60мм d36-38</t>
  </si>
  <si>
    <t>Фреза дисковая радиусная вогнутая 63R2,5 / 63R3 / 63R4</t>
  </si>
  <si>
    <t>5 / 6 / 9</t>
  </si>
  <si>
    <t>Фреза дисковая радиусная вогнутая 65R6</t>
  </si>
  <si>
    <t>Фреза дисковая радиусная вогнутая 75R8</t>
  </si>
  <si>
    <t>Фреза дисковая радиусная вогнутая 80R4 / 80R5</t>
  </si>
  <si>
    <t>Фреза дисковая радиусная вогнутая 80R6 / 80R8</t>
  </si>
  <si>
    <t>Фреза дисковая радиусная вогнутая 85R10 / 90х30R8 / 96R25,5</t>
  </si>
  <si>
    <t>Фреза дисковая радиусная вогнутая 100R8 / 100R9 / 100R10/ 100R12</t>
  </si>
  <si>
    <t>9 / 1 / 3 / 2</t>
  </si>
  <si>
    <t>Фреза дисковая радиусная вогнутая 112R18 Р18</t>
  </si>
  <si>
    <t>Фреза дисковая радиусная вогнутая 125R12 / 125R12,5</t>
  </si>
  <si>
    <t>Фреза дисковая радиусная вогнутая 125R14 / 125R16</t>
  </si>
  <si>
    <t>Фреза дисковая одноугловая 40х6х50* / 40х8х50* / 40х12х90*</t>
  </si>
  <si>
    <t>14 / 3 / 1</t>
  </si>
  <si>
    <t>Фреза дисковая одноугловая 45х13х75* / 45х13х80* / 45х13х85*</t>
  </si>
  <si>
    <t>1 / 2 / 1</t>
  </si>
  <si>
    <t>Фреза дисковая одноугловая 45х18х85* / 50х10х50*</t>
  </si>
  <si>
    <t>Фреза дисковая одноугловая 50х12х55* / 50х12х60* / 50х16х75*</t>
  </si>
  <si>
    <t>Фреза дисковая одноугловая 60х11х55* / 60х20х80*/ 60х20х85*</t>
  </si>
  <si>
    <t>2 / 2 / 1</t>
  </si>
  <si>
    <t>Фреза дисковая одноугловая 60х20х90* / 60х25х70*</t>
  </si>
  <si>
    <t>Фреза дисковая одноугловая 63х13х65*</t>
  </si>
  <si>
    <t>Фреза дисковая одноугловая 63х20х75* / 63х20х80*</t>
  </si>
  <si>
    <t>Фреза дисковая одноугловая 63х20х85*</t>
  </si>
  <si>
    <t>Фреза дисковая двухугловая 26х55* / 40х6х65*</t>
  </si>
  <si>
    <t>Фреза дисковая двухугловая 60х16х85*х15* / 60х16х90*х20*</t>
  </si>
  <si>
    <t>Фреза дисковая двухугловая 60х10х60*х15* / 60х13х75*х15*</t>
  </si>
  <si>
    <t>Фреза дисковая двухугловая 63х10х55*</t>
  </si>
  <si>
    <t>Фреза дисковая двухугловая 63х16х85*х15* / 63х16х80* / 63х12х75*</t>
  </si>
  <si>
    <t>2 / 1 / 2</t>
  </si>
  <si>
    <t>Фреза дисковая двухугловая 75х16х65*х15*/ 75х22х50* / 75х20х70*</t>
  </si>
  <si>
    <t>2 / 1 / 1</t>
  </si>
  <si>
    <t>Фреза дисковая двухугловая 80х22х16х60*х15*/ 80х16х75* / 80х20х65*</t>
  </si>
  <si>
    <t>Фреза дисковая двухугловая 80х20х85* / 80х25х70* / 90х30х75*х15*</t>
  </si>
  <si>
    <t>Фреза дисковая 20х50 ц/хв</t>
  </si>
  <si>
    <t>Фреза дисковая цилиндрическая d40х30мм /d45х25мм / d40х40мм</t>
  </si>
  <si>
    <t>1 / 7 / 4</t>
  </si>
  <si>
    <t>Фреза дисковая цилиндрическая d40х50мм / d40х60мм / d40х63мм</t>
  </si>
  <si>
    <t>8 / 2 / 6</t>
  </si>
  <si>
    <t>Фреза дисковая цилиндрическая d50х50ммZ12 / d50х80мм</t>
  </si>
  <si>
    <t>2 / 6</t>
  </si>
  <si>
    <t>Фреза дисковая цилиндрическая d60х50мм / d63х50мм / d63х63мм Z14</t>
  </si>
  <si>
    <t>1 / 6 / 6</t>
  </si>
  <si>
    <t>Фреза дисковая цилиндрическая d63х80мм Z14 / d63х100х27мм</t>
  </si>
  <si>
    <t>Фреза дисковая цилиндрическая d80х63мм / d80х80мм</t>
  </si>
  <si>
    <t>Фреза дисковая цилиндрическая d100х80х40мм Z16</t>
  </si>
  <si>
    <t>Фреза дисковая цилиндрическая d100х150мм</t>
  </si>
  <si>
    <t>Фреза торценасадная Р6М5 40х32мм / 40х40мм</t>
  </si>
  <si>
    <t>Фреза торценасадная Р6М5 45х30мм Р18</t>
  </si>
  <si>
    <t>Фреза торценасадная Р6М5 50х36мм</t>
  </si>
  <si>
    <t>Фреза торценасадная Р6М5 63х40мм</t>
  </si>
  <si>
    <t>Фреза торценасадная Р6М5 80х40мм / 80х45мм</t>
  </si>
  <si>
    <t>Фреза торценасадная Р6М5 90х35мм</t>
  </si>
  <si>
    <t>Фреза торценасадная Р6М5 100х45мм Z18 / 100х50мм</t>
  </si>
  <si>
    <t>Фреза торцовая (риф.нож Р6М5) 100мм / 125мм</t>
  </si>
  <si>
    <t>498,00</t>
  </si>
  <si>
    <t>Фреза торцовая (риф.нож Р6М5) 160мм</t>
  </si>
  <si>
    <t>Фреза резьбовая гребенчатая шаг 1,5 d55х30мм</t>
  </si>
  <si>
    <t>Фреза пазовая 12х12 / 40х7</t>
  </si>
  <si>
    <t>Фреза пазовая 50х3 /50х4</t>
  </si>
  <si>
    <t>17 / 17</t>
  </si>
  <si>
    <t>Фреза пазовая 50х6 / 60х6 / 60х8 / 63х5</t>
  </si>
  <si>
    <t>4 / 7 / 2 / 1</t>
  </si>
  <si>
    <t>Фреза пазовая 63х6 / 63х7 / 63х8</t>
  </si>
  <si>
    <t>32 / 3 / 118</t>
  </si>
  <si>
    <t>Фреза пазовая 80х8 / 80х10</t>
  </si>
  <si>
    <t>4 / 9</t>
  </si>
  <si>
    <t>Фреза пазовая 80х12 / 90х14 / 90х16</t>
  </si>
  <si>
    <t>20 / 1 / 1</t>
  </si>
  <si>
    <t>Фреза пазовая 100х10 / 100х12</t>
  </si>
  <si>
    <t>Фреза пазовая 100х14 / 100х16</t>
  </si>
  <si>
    <t>7 / 3</t>
  </si>
  <si>
    <t>Фреза шпоночная М6,5 ВК10 ц/хв</t>
  </si>
  <si>
    <t>Фреза шпоночная М12 ВК8 ц/хв</t>
  </si>
  <si>
    <t>207,00</t>
  </si>
  <si>
    <t>Фреза шпоночная М13 ВК8 ц/хв</t>
  </si>
  <si>
    <t>Фреза шпоночная М13 ВК8 к/хв</t>
  </si>
  <si>
    <t>Фреза шпоночная М14 ВК8 ц/хв</t>
  </si>
  <si>
    <t>Фреза шпоночная М14 ВК8 к/хв / М14,5 ВК8 к/хв</t>
  </si>
  <si>
    <t>Фреза шпоночная М16 ВК8 ц/хв</t>
  </si>
  <si>
    <t>Фреза шпоночная М16 ВК8 к/хв</t>
  </si>
  <si>
    <t>Фреза шпоночная М20 ВК8 ц/хв</t>
  </si>
  <si>
    <t>Фреза шпоночная М20 ВК8 к/хв / М20 Т5К10 к/хв / М20т/с к/хв</t>
  </si>
  <si>
    <t>4 / 9 / 2</t>
  </si>
  <si>
    <t>Фреза шпоночная М22 ВК8 к/хв</t>
  </si>
  <si>
    <t>Фреза шпоночная М25 Т5К10 к/хв / М25 BК8 к/хв</t>
  </si>
  <si>
    <t>Фреза шпоночная М28 ВК8 к/хв / М28 Т5К10 к/хв</t>
  </si>
  <si>
    <t>10 / 2</t>
  </si>
  <si>
    <t>Фреза шпоночная М32 ВК8 к/хв / М32 Т5К10 к/хв</t>
  </si>
  <si>
    <t>456,00</t>
  </si>
  <si>
    <t>Фреза шпоночная М36 ВК8 к/хв</t>
  </si>
  <si>
    <t>Фреза шпоночная М40 ВК8 к/хв / М40 Т5К10 к/хв</t>
  </si>
  <si>
    <t>522,00</t>
  </si>
  <si>
    <t>Фреза шпоночная монолитная ВК-8 М4</t>
  </si>
  <si>
    <t>Фреза концевая монолитная ВК-6 М3</t>
  </si>
  <si>
    <t>Фреза концевая монолитная ВК-6 М4</t>
  </si>
  <si>
    <t>Фреза концевая монолитная ВК-8 М5</t>
  </si>
  <si>
    <t>Фреза концевая монолитная ВК-8 М6</t>
  </si>
  <si>
    <t>Фреза концевая монолитная ВК6М М8 (5-ти пер)</t>
  </si>
  <si>
    <t>Фреза концевая монолитная ВК-8 М10</t>
  </si>
  <si>
    <t>Фреза концевая монолитная ВК-8 М12 КМ2 / КМ3</t>
  </si>
  <si>
    <t>Фреза концевая монолитная ВК-8 М14 КМ3</t>
  </si>
  <si>
    <t>Фреза концевая монолитная ВК-8 М16 КМ3</t>
  </si>
  <si>
    <t>Фреза концевая монолитная ВК-8 М18 КМ3</t>
  </si>
  <si>
    <t>Фреза концевая монолитная ВК-8 М20 КМ3</t>
  </si>
  <si>
    <t>Фреза концевая М16 ВК-8 к/хв</t>
  </si>
  <si>
    <t>Фреза концевая с мех. крепл. 3х гр. М16 ВК-8 к/хв</t>
  </si>
  <si>
    <t>Фреза концевая ВК-8 М18 к/хв</t>
  </si>
  <si>
    <t>Фреза концевая ВК-8 М20 к/хв / ц/хв</t>
  </si>
  <si>
    <t>61 / 1</t>
  </si>
  <si>
    <t>Фреза концевая ВК-8 М25 ц/хв</t>
  </si>
  <si>
    <t>396,00</t>
  </si>
  <si>
    <t>Фреза концевая ВК-8 М25 к/хв</t>
  </si>
  <si>
    <t>Фреза концевая ВК-8 М31,5 к/хв.</t>
  </si>
  <si>
    <t>Фреза концевая ВК-8 М32 к/хв.</t>
  </si>
  <si>
    <t>Фреза концевая ВК-8 М40 к/хв.</t>
  </si>
  <si>
    <t>Фреза концевая ВК-8 М42 к/хв.</t>
  </si>
  <si>
    <t>Фреза концевая ВК-8 М50 к/хв. / КМ5</t>
  </si>
  <si>
    <t>23 / 3</t>
  </si>
  <si>
    <t>Фреза концевая ВК-8 М60 к/хв</t>
  </si>
  <si>
    <t>Фреза концевая ВК-8 М70 к/хв</t>
  </si>
  <si>
    <t>Фреза концевая ВК-8 М120 к/хв</t>
  </si>
  <si>
    <t>Фреза концевая Т5К10 М16 к/хв.</t>
  </si>
  <si>
    <t>Фреза концевая Т5К10 М25 к/хв.</t>
  </si>
  <si>
    <t>Фреза концевая Т5К10 М31,5 к/хв.</t>
  </si>
  <si>
    <t>Фреза концевая Т5К10 М40 к/хв.</t>
  </si>
  <si>
    <t>Фреза концевая Т5К10 М50 КМ5</t>
  </si>
  <si>
    <t>Фреза концевая с мех. креплением 5-гр М40 Т5К10 к/хв. / ромб. М40 ВК-8 к/хв.</t>
  </si>
  <si>
    <t>32 / 1</t>
  </si>
  <si>
    <t>Фреза концевая с мех. креплением 5-гр М50 Т5К10 к/хв. .</t>
  </si>
  <si>
    <t>Фреза концевая с мех. креплением 4-гр М50 Т/с к/хв. (+10 пластин)</t>
  </si>
  <si>
    <t>Фреза концевая с мех. креплением 5-гр М63 к/хв / 4гр. М63 К40</t>
  </si>
  <si>
    <t>Фреза концевая с мех. креплением т/с круглые пласт. М63 КМ4 / КМ5</t>
  </si>
  <si>
    <t>Фреза торцовая с мех. креплением 5-гр т/с М100</t>
  </si>
  <si>
    <t>Фреза торцовая с мех. креплением 5-гр т/с М125</t>
  </si>
  <si>
    <t>Фреза торцовая с мех. креплением 5-гр т/с М160</t>
  </si>
  <si>
    <t>Фреза торцовая с мех. креплением 5-гр т/с М200</t>
  </si>
  <si>
    <t>Фреза торцовая с мех. креплением 4-гр т/с М125</t>
  </si>
  <si>
    <t>Фреза торцовая с мех. креплением 4-гр. М125 КНТ16</t>
  </si>
  <si>
    <t>Фреза торцовая с мех. креплением 4-гр М160 КНТ16</t>
  </si>
  <si>
    <t>Фреза торцовая с мех. креплением 4-гр М200 КНТ16</t>
  </si>
  <si>
    <t>Фреза торцовая с мех. креплением 4-гр-ромб М125 ТН20</t>
  </si>
  <si>
    <t>Фреза торцовая с мех. креплением 4-гр-ромб М125 ВОК71</t>
  </si>
  <si>
    <t>Фреза торцовая с мех. креплением 4-гр т/с М160 ВОК71</t>
  </si>
  <si>
    <t>Фреза торцовая с пластинами сверхтвердых ситетических материалов М125 ВОК71</t>
  </si>
  <si>
    <t>Фреза торцовая с мех. креплением 4-гр т/с М160 КИБ</t>
  </si>
  <si>
    <t>Фреза торцовая с мех. креплением скоростная (001) М100 ВК8</t>
  </si>
  <si>
    <t>Фреза торцовая с мех. креплением скоростная (003) М125 ВК8</t>
  </si>
  <si>
    <t>Фреза торцовая с мех. креплением скоростная (003) М160 Т5К10</t>
  </si>
  <si>
    <t>Фреза торцовая с мех. креплением скоростная (003) М160 ВК8</t>
  </si>
  <si>
    <t>Фреза торцовая с мех. креплением рифленая (0013) М90 ВК8</t>
  </si>
  <si>
    <t>Фреза торцовая с мех. креплением рифл. (0013) М100 Т5К10</t>
  </si>
  <si>
    <t>Фреза торцовая с мех. креплением (0013) М100 ВК-8 / Т5К10</t>
  </si>
  <si>
    <t>7 / 8</t>
  </si>
  <si>
    <t>873,00</t>
  </si>
  <si>
    <t>Фреза торцовая с мех. креплением (0013) М125 ВК-8 / Т5К10</t>
  </si>
  <si>
    <t>Фреза торцовая с мех. креплением (0015) М160 ВК-8</t>
  </si>
  <si>
    <t>Фреза торцовая с мех. креплением (0015) М200 ВК-8</t>
  </si>
  <si>
    <t>Фреза торцовая с мех. креплением (0017) М250 ВК-8</t>
  </si>
  <si>
    <t>Фреза торцовая с мех. креплением (0155) М100 ВК-8</t>
  </si>
  <si>
    <t>Фреза торцовая с мех. креплением М150 ВК-8</t>
  </si>
  <si>
    <t>Фреза торцовая с мех. креплением М80 эльбор</t>
  </si>
  <si>
    <t>Фреза торцовая с мех. креплением М100 эльбор</t>
  </si>
  <si>
    <t>Фреза торцовая с мех. креплением М125 эльбор / композит</t>
  </si>
  <si>
    <t>Фреза торцовая с мех. креплением М160 эльбор</t>
  </si>
  <si>
    <t>Фреза торцовая с мех. креплением М160 эльбор Б/у</t>
  </si>
  <si>
    <t>Фреза торцовая с мех. креплением М200 эльбор</t>
  </si>
  <si>
    <t>Фреза торцовая насадная М90 Т5К10</t>
  </si>
  <si>
    <t>582,00</t>
  </si>
  <si>
    <t>Фреза 3-х стор. 100х14 ВК-8</t>
  </si>
  <si>
    <t>Фреза 3-х стор. 100х18 ВК-8 / 100х22 ВК-8</t>
  </si>
  <si>
    <t>Фреза 3-х стор. 125х16 ВК-8 / 125х15 ВК8</t>
  </si>
  <si>
    <t>Фреза 3-х стор. 130х16 Т5К10</t>
  </si>
  <si>
    <t>Фреза 3-х стор. 150х24вст.ножи Т/С</t>
  </si>
  <si>
    <t>Фреза 3-х стор. 160х14 ВК8 / 160х18 ВК8</t>
  </si>
  <si>
    <t>Фреза 3-х стор. 200х16х50 ВК8</t>
  </si>
  <si>
    <t>Фреза прорезная ВК8 D50х0,410-0,413 / 50х0,411-0,414 / 50х0,410-0,412</t>
  </si>
  <si>
    <t>Фреза прорезная ВК8 D50х0,411-0,413 / 50х0,409-0,411 / 50х0,409-0,413</t>
  </si>
  <si>
    <t>Фреза прорезная ВК8 D50х0,401-0,407 / 50х0,406-0,408 / 50х0,406-0,412</t>
  </si>
  <si>
    <t>Фреза прорезная ВК8 D50х0,406-0,415 / 50х0,407-0,411 / 50х0,407-0,413</t>
  </si>
  <si>
    <t>Фреза прорезная ВК8 D50х0,326-0,328 / 50х0,325-0,333 / 50х0,326-0,330</t>
  </si>
  <si>
    <t>Фреза прорезная ВК8 D50х0,314-0,320 / 50х0,317-0,321 / 50х0,406-0,409</t>
  </si>
  <si>
    <t>Фреза дисковая 45х25х18 ВК-8</t>
  </si>
  <si>
    <t>Борфреза цилиндрическая 2х5х45мм</t>
  </si>
  <si>
    <t>Борфреза цилиндрическая 1.7х5х45мм / 1.7х5х22мм</t>
  </si>
  <si>
    <t>Борфреза цилиндрическая 6х15х55мм</t>
  </si>
  <si>
    <t>Борфреза цилиндрическая 8х22х60мм</t>
  </si>
  <si>
    <t>Борфреза цилиндрическая радиусная 6х15х50мм</t>
  </si>
  <si>
    <t>Борфреза коническая 6х20х55мм</t>
  </si>
  <si>
    <t>Борфреза коническая 8х6х10х60мм</t>
  </si>
  <si>
    <t>Борфреза шарообразная 8х50мм / 10х60мм</t>
  </si>
  <si>
    <t>1 / 10</t>
  </si>
  <si>
    <t>Борфреза радиусная 8х20х60мм</t>
  </si>
  <si>
    <t>Борфрезы Т-образная 8х2х60мм</t>
  </si>
  <si>
    <t>Борфреза КМ5 Р6М5</t>
  </si>
  <si>
    <t>Фреза Т-образная 10 мм (18х8х8) КМ1</t>
  </si>
  <si>
    <t>Фреза Т-образная 12 мм (21х10х9) КМ2</t>
  </si>
  <si>
    <t>Фреза Т-образная 14 мм (25х12х11) КМ2</t>
  </si>
  <si>
    <t>Фреза Т-образная 16 мм (30х20) КМ4</t>
  </si>
  <si>
    <t>Фреза Т-образная 18 мм (32х15х14) КМ2 / 18мм ВК8 (32х15х14) КМ2</t>
  </si>
  <si>
    <t>Фреза Т-образная 22 мм (38х19х18) Р18 КМ3</t>
  </si>
  <si>
    <t>Фреза Т-образная 22 мм (40х18х18) КМ3</t>
  </si>
  <si>
    <t>Фреза Т-образная 28 мм (50х25х22) КМ3</t>
  </si>
  <si>
    <t>Фреза Т-образная (30х20х16) КМ3</t>
  </si>
  <si>
    <t>Фреза шп. Сегм. Пазовая 13х1,5 / 13х3 / 13х4</t>
  </si>
  <si>
    <t>2 / 4 / 9</t>
  </si>
  <si>
    <t>Фреза шп. Сегм. Пазовая 16х3 / 16х4 / 16х5</t>
  </si>
  <si>
    <t>1 / 8 / 24</t>
  </si>
  <si>
    <t>Фреза шп. Сегм. Пазовая 19х4 / 19х5</t>
  </si>
  <si>
    <t>Фреза шп. Сегм. Пазовая 22х4 / 22х5 / 22х6</t>
  </si>
  <si>
    <t>2 / 1 / 25</t>
  </si>
  <si>
    <t>Фреза шп. Сегм. Пазовая 25х2 / 25х4 / 25х5 / 25х6</t>
  </si>
  <si>
    <t>0 / 0 / 1 / 0</t>
  </si>
  <si>
    <t>Фреза шп. Сегм. Пазовая 28х8 / 32х10</t>
  </si>
  <si>
    <t>42 / 7</t>
  </si>
  <si>
    <t>Фреза шп. Сегм. Пазовая 32х16Р18к/хв / 34х6 / 34х8</t>
  </si>
  <si>
    <t>Метчик М - 1 / 1,2 / 1.4</t>
  </si>
  <si>
    <t>комп.</t>
  </si>
  <si>
    <t>49 / 6 / 65</t>
  </si>
  <si>
    <t>Метчик М - 1.8 / 1.8х0.35</t>
  </si>
  <si>
    <t>49 / 3</t>
  </si>
  <si>
    <t>Метчик М - 2</t>
  </si>
  <si>
    <t>Метчик М - 1,0/ 1,6 / 2</t>
  </si>
  <si>
    <t>5 / 131 / 540</t>
  </si>
  <si>
    <t>16,20</t>
  </si>
  <si>
    <t>Метчик М - 2.2х0.45</t>
  </si>
  <si>
    <t>Метчик М - 2.5 / 2.5гаеч</t>
  </si>
  <si>
    <t>107 / 3</t>
  </si>
  <si>
    <t>Метчик М - 2.5 / 2.5х0.45</t>
  </si>
  <si>
    <t>976 / 590</t>
  </si>
  <si>
    <t>Метчик М - 2.6х0.45</t>
  </si>
  <si>
    <t>Метчик М - 3 / 3х0,35</t>
  </si>
  <si>
    <t>155 / 55</t>
  </si>
  <si>
    <t>Метчик М - 3 гаеч. / 3нурка</t>
  </si>
  <si>
    <t>452 / 16</t>
  </si>
  <si>
    <t>125 / 63</t>
  </si>
  <si>
    <t>Метчик М - 3,5 / 3,5х0,6</t>
  </si>
  <si>
    <t>130 / 100</t>
  </si>
  <si>
    <t>Метчик М - 4</t>
  </si>
  <si>
    <t>40,20</t>
  </si>
  <si>
    <t>Метчик М - 4гаеч. / 4гаеч. Нурка</t>
  </si>
  <si>
    <t>1568 / 25</t>
  </si>
  <si>
    <t>Метчик М - 4,5х0,5</t>
  </si>
  <si>
    <t>Метчик М - 5 / 5х0,5</t>
  </si>
  <si>
    <t>129 / 20</t>
  </si>
  <si>
    <t>Метчик М - 5гаеч. / 5гаеч. Нурка / 5х0,5гаеч</t>
  </si>
  <si>
    <t>58 / 43 / 17</t>
  </si>
  <si>
    <t>Метчик М - 5 лев.</t>
  </si>
  <si>
    <t>70 / 41</t>
  </si>
  <si>
    <t>Метчик М - 6</t>
  </si>
  <si>
    <t>Метчик М - 6лев</t>
  </si>
  <si>
    <t>Метчик М - 6 ВК8 мон</t>
  </si>
  <si>
    <t>Метчик М - 6гаеч. / 6гаеч. Нурка</t>
  </si>
  <si>
    <t>535 / 8</t>
  </si>
  <si>
    <t>Метчик М - 6гаеч. Р18</t>
  </si>
  <si>
    <t>Метчик М - 6х0,75 / 6х0,5гаеч.</t>
  </si>
  <si>
    <t>85 / 86</t>
  </si>
  <si>
    <t>Метчик М - 6 лев</t>
  </si>
  <si>
    <t>Метчик М - 6х0,5 / 6х0.75</t>
  </si>
  <si>
    <t>91 / 133</t>
  </si>
  <si>
    <t>Метчик М - 7 / М7гаеч</t>
  </si>
  <si>
    <t>Метчик М - 7</t>
  </si>
  <si>
    <t>Метчик М - 8 / 8х1</t>
  </si>
  <si>
    <t>32 / 53</t>
  </si>
  <si>
    <t>Метчик М - 8лев. / 8х1лев.</t>
  </si>
  <si>
    <t>Метчик М - 8лев. Р18</t>
  </si>
  <si>
    <t>Метчик М - 8</t>
  </si>
  <si>
    <t>Метчик М - 8х0,5 / 8х0,75 / 8х1</t>
  </si>
  <si>
    <t>4 / 6 / 31</t>
  </si>
  <si>
    <t>Метчик М - 8гаеч. / 8нурка / 8х0,75гаеч.</t>
  </si>
  <si>
    <t>12 / 9 / 70</t>
  </si>
  <si>
    <t>Метчик М - 8х1гаеч. / 8х1гаеч. нурка</t>
  </si>
  <si>
    <t>52 / 66</t>
  </si>
  <si>
    <t>Метчик М - 8х0,5маш. / 8х0.75маш</t>
  </si>
  <si>
    <t>18 / 5</t>
  </si>
  <si>
    <t>Метчик М - 9х0,5маш. гаечн.</t>
  </si>
  <si>
    <t>Метчик М - 9х1,25маш.</t>
  </si>
  <si>
    <t>Метчик М - 9маш/руч. / М - 9х1маш/руч</t>
  </si>
  <si>
    <t>Метчик М - 10 маш.</t>
  </si>
  <si>
    <t>Метчик М - 10 лев / 10х1лев</t>
  </si>
  <si>
    <t>7 / 1</t>
  </si>
  <si>
    <t>Метчик М - 10 маш./ руч.</t>
  </si>
  <si>
    <t>Метчик М - 10х1 маш/руч.</t>
  </si>
  <si>
    <t>Метчик М - 10х1,25 маш/руч.</t>
  </si>
  <si>
    <t>Метчик  М - 10 гаеч. / 10гаеч.нурка / 10х0.75гаеч</t>
  </si>
  <si>
    <t>27 / 12 / 1</t>
  </si>
  <si>
    <t>Метчик М - 10х1 гаеч / 10х1,25гаеч</t>
  </si>
  <si>
    <t>64 / 25</t>
  </si>
  <si>
    <t>Метчик М - 10х0.5Р18 / 10х0,75</t>
  </si>
  <si>
    <t>5 / 8</t>
  </si>
  <si>
    <t>Метчик М - 10х1 / 10х1,25</t>
  </si>
  <si>
    <t>16 / 221</t>
  </si>
  <si>
    <t>Метчик М - 10х0,5 / 10х0,75 м/р</t>
  </si>
  <si>
    <t>16 / 13</t>
  </si>
  <si>
    <t>Метчик М - 10х1 ВК8 монолит</t>
  </si>
  <si>
    <t>Метчик М - 11 / 11х1</t>
  </si>
  <si>
    <t>6 / 20</t>
  </si>
  <si>
    <t>Метчик М - 11х0,5гаеч. / 11х1 гаеч.</t>
  </si>
  <si>
    <t>5 / 20</t>
  </si>
  <si>
    <t>Метчик М - 12 / 12х0,5 / 12х0,75 / 12х1 маш.</t>
  </si>
  <si>
    <t>45 /1/10/136</t>
  </si>
  <si>
    <t>Метчик М - 12 гаеч. / 12 гаеч. Нурка</t>
  </si>
  <si>
    <t>35 / 58</t>
  </si>
  <si>
    <t>Метчик М - 12х1 гаеч. / 12х1 гаеч. Нурка</t>
  </si>
  <si>
    <t>61 / 2</t>
  </si>
  <si>
    <t>Метчик М - 12х1,25 гаеч./ 12х1,5 гаеч.</t>
  </si>
  <si>
    <t>73 / 12</t>
  </si>
  <si>
    <t>Метчик М - 12х1,25 / 12х1,5 маш.</t>
  </si>
  <si>
    <t>148 / 308</t>
  </si>
  <si>
    <t>Метчик М - 12х1,5ВК8 маш.</t>
  </si>
  <si>
    <t>Метчик М - 12 / 12х0.75 маш./руч.</t>
  </si>
  <si>
    <t>Метчик М - 12х1 / 12х1,25 / 12х1,5маш./руч.</t>
  </si>
  <si>
    <t>15 / 10 / 71</t>
  </si>
  <si>
    <t>Метчик М - 12лев / 12х1,25лев</t>
  </si>
  <si>
    <t>1 / 0</t>
  </si>
  <si>
    <t>Метчик М - 12 лев / 12х1,25лев / 12х1,5лев</t>
  </si>
  <si>
    <t>4 / 8 / 1</t>
  </si>
  <si>
    <t>Метчик М - 12х2 трапеция</t>
  </si>
  <si>
    <t>Метчик М - 14 маш.</t>
  </si>
  <si>
    <t>Метчик М - 14лев. / 14х1,5лев</t>
  </si>
  <si>
    <t>Метчик М - 14гаеч. / 14 гаеч.нурка</t>
  </si>
  <si>
    <t>145 / 2</t>
  </si>
  <si>
    <t>Метчик М - 14 маш./руч.</t>
  </si>
  <si>
    <t>Метчик М - 14х0,75 маш. / 14х1 маш.</t>
  </si>
  <si>
    <t>34 / 22</t>
  </si>
  <si>
    <t>Метчик М - 14х0,75 / 14х0,5 маш./руч.</t>
  </si>
  <si>
    <t>13 / 10</t>
  </si>
  <si>
    <t>Метчик М - 14лев.</t>
  </si>
  <si>
    <t>Метчик М - 14х1 / 14х1,25 маш./руч.</t>
  </si>
  <si>
    <t>Метчик М - 14х1,25 маш. / 14х1.5маш</t>
  </si>
  <si>
    <t>73 / 139</t>
  </si>
  <si>
    <t>Метчик М - 14х1 гаеч. / 14х1,5 гаеч.</t>
  </si>
  <si>
    <t>46 / 212</t>
  </si>
  <si>
    <t>Метчик М - 14х1,5 маш. / руч.</t>
  </si>
  <si>
    <t>Метчик М - 14х3 трапеция (б/у)</t>
  </si>
  <si>
    <t>Метчик М - 16 маш.</t>
  </si>
  <si>
    <t>Метчик М - 16 маш. винтовой</t>
  </si>
  <si>
    <t>Метчик М - 16</t>
  </si>
  <si>
    <t>Метчик М - 16 Р6М5</t>
  </si>
  <si>
    <t>Метчик М - 16х0,5 / 16х0.75 маш./руч.</t>
  </si>
  <si>
    <t>Метчик М - 16 гаеч. / 16 гаеч. нурка</t>
  </si>
  <si>
    <t>95 / 9</t>
  </si>
  <si>
    <t>Метчик М - 16х1гаеч. / 16х1,5гаеч.</t>
  </si>
  <si>
    <t>36 / 62</t>
  </si>
  <si>
    <t>Метчик М - 16х1 / 16х1,5 маш./руч.</t>
  </si>
  <si>
    <t>102 / 1</t>
  </si>
  <si>
    <t>Метчик М - 16лев / 16х1,5лев / 16х1,5лев.гаеч.</t>
  </si>
  <si>
    <t>0 / 3 / 1</t>
  </si>
  <si>
    <t>Метчик М - 16х0,75 / 16х1 / 16х1,5 маш.</t>
  </si>
  <si>
    <t>6 / 45 / 235</t>
  </si>
  <si>
    <t>Метчик М - 16х1ВК8 / 16х1,5 ВК8 маш./руч.</t>
  </si>
  <si>
    <t>Метчик М - 16,6х16ниток / 17,5х16ниток</t>
  </si>
  <si>
    <t>Метчик М - 18 маш.</t>
  </si>
  <si>
    <t>Метчик М - 18 гаеч./ 18х1 гаеч.</t>
  </si>
  <si>
    <t>116 / 25</t>
  </si>
  <si>
    <t>Метчик М - 18х1,5 гаеч. / 18х2 гаеч.</t>
  </si>
  <si>
    <t>107 / 43</t>
  </si>
  <si>
    <t>Метчик М - 18 маш.руч.</t>
  </si>
  <si>
    <t>Метчик М - 18х0,75 маш.руч. / 18х1 м/р.</t>
  </si>
  <si>
    <t>38 / 154</t>
  </si>
  <si>
    <t>336,00</t>
  </si>
  <si>
    <t>Метчик М - 18х1 / 18х1,25маш.</t>
  </si>
  <si>
    <t>31 / 5</t>
  </si>
  <si>
    <t>Метчик М - 18х1,5 маш.</t>
  </si>
  <si>
    <t>Метчик М - 18х1,5 м/р. / 18х2 м/р</t>
  </si>
  <si>
    <t>90 / 12</t>
  </si>
  <si>
    <t>Метчик М - 18лев. / 18х1,5 лев</t>
  </si>
  <si>
    <t>0/3</t>
  </si>
  <si>
    <t>Метчик М - 18х2 маш.</t>
  </si>
  <si>
    <t>Метчик М - 20 маш.руч.</t>
  </si>
  <si>
    <t>Метчик М - 20 гаеч. / 20 гаеч. Нурка</t>
  </si>
  <si>
    <t>70 / 11</t>
  </si>
  <si>
    <t>Метчик М - 20х1 гаеч. / 20х1,5 гаеч.</t>
  </si>
  <si>
    <t>16 / 133</t>
  </si>
  <si>
    <t>Метчик М - 20 маш. / руч. / 20х0.75</t>
  </si>
  <si>
    <t>86 / 9</t>
  </si>
  <si>
    <t>Метчик М - 20х0,5 / 20х1 маш.</t>
  </si>
  <si>
    <t>Метчик М - 20х2гаеч. / 20х2гаеч. Нурка</t>
  </si>
  <si>
    <t>21 / 3</t>
  </si>
  <si>
    <t>Метчик М - 20х1,5 / 20х2,0 маш</t>
  </si>
  <si>
    <t>137 / 74</t>
  </si>
  <si>
    <t>Метчик М - 20х1,5ВК8 / 20х2,0ВК8</t>
  </si>
  <si>
    <t>Метчик М - 20х1,0 / 20х1,5 / 20х2м/р</t>
  </si>
  <si>
    <t>6 / 114 / 62</t>
  </si>
  <si>
    <t>Метчик М - 20лев / 20х1,5лев.</t>
  </si>
  <si>
    <t>Метчик М - 20х1,5лев.</t>
  </si>
  <si>
    <t>Метчик М - 20х4 трапеция</t>
  </si>
  <si>
    <t>Метчик М - 20х4 трапеция (б/у)</t>
  </si>
  <si>
    <t>Метчик М - 22 / 22х1</t>
  </si>
  <si>
    <t>71 / 24</t>
  </si>
  <si>
    <t>Метчик М - 22х1гаеч. / 22х1,5 гаеч / 22гаеч.</t>
  </si>
  <si>
    <t>52 / 69 / 45</t>
  </si>
  <si>
    <t>Метчик М - 22лев</t>
  </si>
  <si>
    <t>Метчик М - 22</t>
  </si>
  <si>
    <t>Метчик М - 22х0,75 / 22х1 м/р.</t>
  </si>
  <si>
    <t>Метчик М - 22х1,5 м/р. / 22х2</t>
  </si>
  <si>
    <t>592,00</t>
  </si>
  <si>
    <t>Метчик М - 22х1,5 / 22х2</t>
  </si>
  <si>
    <t>103 / 24</t>
  </si>
  <si>
    <t>Метчик М - 22х1.5лев / М22лев</t>
  </si>
  <si>
    <t>597,00</t>
  </si>
  <si>
    <t>Метчик М - 22х3 трапеция</t>
  </si>
  <si>
    <t>Метчик М - 24 / 24х1,0 маш.</t>
  </si>
  <si>
    <t>46 / 35</t>
  </si>
  <si>
    <t>Метчик М - 24 винтовой маш. Р6М5</t>
  </si>
  <si>
    <t>Метчик М - 24х1,5 / 24х2маш.</t>
  </si>
  <si>
    <t>116 / 103</t>
  </si>
  <si>
    <t>Метчик М - 24лев / 24х1,5лев. / 24х2лев.</t>
  </si>
  <si>
    <t>Метчик М - 24х1,5лев. Р18</t>
  </si>
  <si>
    <t>Метчик М - 24 м/р Р6М5</t>
  </si>
  <si>
    <t>Метчик М - 24 м/р Р18</t>
  </si>
  <si>
    <t>Метчик М - 24 м/р Р6М5 (из 3х шт)</t>
  </si>
  <si>
    <t>Метчик М - 24 м/р лев</t>
  </si>
  <si>
    <t>Метчик М - 24х0,75 / 24х1 маш./руч.</t>
  </si>
  <si>
    <t>1 / 29</t>
  </si>
  <si>
    <t>Метчик М - 24х1,5 / 24х2маш./руч.</t>
  </si>
  <si>
    <t>53 / 57</t>
  </si>
  <si>
    <t>Метчик М - 24х1,5 Лев. / 24х1,5 (их 3х шт)Лев.</t>
  </si>
  <si>
    <t>Метчик М - 24гаеч. / 24гаеч. нурка</t>
  </si>
  <si>
    <t>17 / 9</t>
  </si>
  <si>
    <t>Метчик М - 24х1 гаеч. / 24х2 гаеч. / 24х1,5 гаеч.</t>
  </si>
  <si>
    <t>25 / 73 / 18</t>
  </si>
  <si>
    <t>Метчик М - 24х5 трапеция м/р Р6М5 глухой</t>
  </si>
  <si>
    <t>Метчик М - 25х1,5 м/р</t>
  </si>
  <si>
    <t>Метчик М - 26х2 маш.</t>
  </si>
  <si>
    <t>Метчик М - 27 / 27ВК8 / 27х1,0</t>
  </si>
  <si>
    <t>100 / 2 / 9</t>
  </si>
  <si>
    <t>Метчик М - 27 винтовой маш. Р18</t>
  </si>
  <si>
    <t>Метчик М - 27 гаеч.</t>
  </si>
  <si>
    <t>Метчик М - 27лев / 27х2 гаеч. лев.</t>
  </si>
  <si>
    <t>Метчик М - 27 / 27х0.75 маш./руч.</t>
  </si>
  <si>
    <t>192 / 2</t>
  </si>
  <si>
    <t>Метчик М - 27х1,0 / 27х1,5 маш./руч.</t>
  </si>
  <si>
    <t>8 / 16</t>
  </si>
  <si>
    <t>Метчик М - 27х1,5 / 27х2 маш.</t>
  </si>
  <si>
    <t>19 / 67</t>
  </si>
  <si>
    <t>Метчик М - 27х2 гаеч. / 27х1,5 гаеч.</t>
  </si>
  <si>
    <t>36 / 48</t>
  </si>
  <si>
    <t>Метчик М - 27х2 маш./руч.</t>
  </si>
  <si>
    <t>Метчик М - 28х1,5 для глух. отв.</t>
  </si>
  <si>
    <t>Метчик М - 28х5 трапеция (компл. 3шт)</t>
  </si>
  <si>
    <t>Метчик М - 30 маш./руч.Р6М5</t>
  </si>
  <si>
    <t>Метчик М - 30 винтовой Р6М5</t>
  </si>
  <si>
    <t>Метчик М - 30лев. / 30х1лев.</t>
  </si>
  <si>
    <t>Метчик М - 30 гаеч. / 30х1гаеч</t>
  </si>
  <si>
    <t>40 / 4</t>
  </si>
  <si>
    <t>Метчик М - 30х1,5гаеч / 30х2 гаеч.</t>
  </si>
  <si>
    <t>1 / 44</t>
  </si>
  <si>
    <t>Метчик М - 30х1 / 30х1,5 маш.</t>
  </si>
  <si>
    <t>18 / 20</t>
  </si>
  <si>
    <t>Метчик М - 30х2 / 30х3 маш.</t>
  </si>
  <si>
    <t>12 / 16 (7)</t>
  </si>
  <si>
    <t>Метчик М - 30 маш./руч.</t>
  </si>
  <si>
    <t>1068,00</t>
  </si>
  <si>
    <t>Метчик М - 30х1 / 30х1,5 маш./руч.</t>
  </si>
  <si>
    <t>11 / 8</t>
  </si>
  <si>
    <t>Метчик М - 30х2 / 30х3 маш./руч.</t>
  </si>
  <si>
    <t>Метчик М - 30х1,5 лев. маш./руч.</t>
  </si>
  <si>
    <t>Метчик М - 30лев.</t>
  </si>
  <si>
    <t>Метчик М - 32х3 маш./руч. (3шт)</t>
  </si>
  <si>
    <t>Метчик М - 32х3 трапеция</t>
  </si>
  <si>
    <t>Метчик М - 33 маш./руч.</t>
  </si>
  <si>
    <t>Метчик М - 33 маш./руч.(из 3-х шт)</t>
  </si>
  <si>
    <t>Метчик М - 33лев. / 33х1,5лев. маш./руч.</t>
  </si>
  <si>
    <t>12 / 2</t>
  </si>
  <si>
    <t>Метчик М - 33х1 / 33х1,5 маш./руч.</t>
  </si>
  <si>
    <t>2 / 34</t>
  </si>
  <si>
    <t>Метчик М - 33гаеч. / 33х2гаеч.</t>
  </si>
  <si>
    <t>Метчик М - 33х1,5 лев.</t>
  </si>
  <si>
    <t>Метчик М - 33 / 33х0,75 / 33х1маш.</t>
  </si>
  <si>
    <t>46 / 2 / 3</t>
  </si>
  <si>
    <t>Метчик М - 33х1,5 / 33х1,5ВК8 маш.</t>
  </si>
  <si>
    <t>0 / 12</t>
  </si>
  <si>
    <t>Метчик М - 33х2 / 33х2ВК8 / 33х3</t>
  </si>
  <si>
    <t>44 / 10 / 12</t>
  </si>
  <si>
    <t>Метчик М - 33х2 / 33х3 маш./руч.</t>
  </si>
  <si>
    <t>31 / 2</t>
  </si>
  <si>
    <t>Метчик М - 35х1,25</t>
  </si>
  <si>
    <t>Метчик М - 36х1 / 36х1,5 ВК8 / 36х1,5 маш.</t>
  </si>
  <si>
    <t>2 / 10 / 27</t>
  </si>
  <si>
    <t>648,00</t>
  </si>
  <si>
    <t>Метчик М - 36 маш./руч.</t>
  </si>
  <si>
    <t>Метчик М - 36 (из 3-х штук )</t>
  </si>
  <si>
    <t>Метчик М - 36 / 36 гаеч.</t>
  </si>
  <si>
    <t>19 / 2</t>
  </si>
  <si>
    <t>Метчик М - 36х2 / 36х2ВК8 / 36х3 маш.</t>
  </si>
  <si>
    <t>32 / 2 / 5</t>
  </si>
  <si>
    <t>Метчик М - 36х1 / 36х1,5 маш./руч.</t>
  </si>
  <si>
    <t>1 / 25</t>
  </si>
  <si>
    <t>Метчик М - 36х2 / 36х3 маш./руч.</t>
  </si>
  <si>
    <t>50 / 7</t>
  </si>
  <si>
    <t>Метчик М - 36 лев</t>
  </si>
  <si>
    <t>Метчик М - 39 маш.</t>
  </si>
  <si>
    <t>Метчик М - 39х1 / 39х1,5 / 39х2 / 39х3</t>
  </si>
  <si>
    <t>5 / 17 / 8 / 4</t>
  </si>
  <si>
    <t>Метчик М - 39х1.5гаеч.</t>
  </si>
  <si>
    <t>Метчик М - 39 / 39х1</t>
  </si>
  <si>
    <t>20 / 4</t>
  </si>
  <si>
    <t>Метчик М - 39 (из 3-х штук)</t>
  </si>
  <si>
    <t>Метчик М - 39х1,5 / 39х2 маш./руч</t>
  </si>
  <si>
    <t>Метчик М - 39х2 ВК8</t>
  </si>
  <si>
    <t>Метчик М - 39х3 / 39х4 маш./руч.</t>
  </si>
  <si>
    <t>25 / 10</t>
  </si>
  <si>
    <t>Метчик М - 39х4 (из 3-х штук)</t>
  </si>
  <si>
    <t>Метчик М - 39х3 маш./руч. (щербл.)</t>
  </si>
  <si>
    <t>Метчик М - 40х1,5 маш./руч.</t>
  </si>
  <si>
    <t>Метчик М - 42скв.</t>
  </si>
  <si>
    <t>Метчик М - 42лев / 42х2лев</t>
  </si>
  <si>
    <t>Метчик М - 42х2 / 42х1,5 / 42х3 маш./руч.</t>
  </si>
  <si>
    <t>38 / 13 / 3</t>
  </si>
  <si>
    <t>Метчик М - 42 / 42х1.5 маш./руч.</t>
  </si>
  <si>
    <t>Метчик М - 42 лев.(из 3-х штук)</t>
  </si>
  <si>
    <t>Метчик М - 42х2 / 42х3 маш./руч.</t>
  </si>
  <si>
    <t>21 / 5</t>
  </si>
  <si>
    <t>Метчик М - 45 / 45х1.5 маш./руч.</t>
  </si>
  <si>
    <t>Метчик М - 45 (из 3-х штук)</t>
  </si>
  <si>
    <t>Метчик М - 45х2 / 45х3 маш./руч.</t>
  </si>
  <si>
    <t>19 / 21</t>
  </si>
  <si>
    <t>Метчик М - 45 / 45х1,5 маш.</t>
  </si>
  <si>
    <t>9 / 8</t>
  </si>
  <si>
    <t>Метчик М - 45х2</t>
  </si>
  <si>
    <t>Метчик М - 48 маш. / 48х1,5 маш.</t>
  </si>
  <si>
    <t>Метчик М - 48х2 / 48х3</t>
  </si>
  <si>
    <t>19 / 11</t>
  </si>
  <si>
    <t>Метчик М - 48х2лев.</t>
  </si>
  <si>
    <t>Метчик М - 48х3лев.</t>
  </si>
  <si>
    <t>Метчик М - 48 / 48х1.5</t>
  </si>
  <si>
    <t>3 / 13</t>
  </si>
  <si>
    <t>Метчик М - 48х2.0 / 48х3.0</t>
  </si>
  <si>
    <t>Метчик М - 52 / 52х1,5 / 52х2 / 52х3</t>
  </si>
  <si>
    <t>10 / 5 / 5 /7</t>
  </si>
  <si>
    <t>972,00</t>
  </si>
  <si>
    <t>Метчик М - 52 / 52х1,5 маш./руч.</t>
  </si>
  <si>
    <t>Метчик М - 52х2 / 52х3 маш./руч.</t>
  </si>
  <si>
    <t>11 / 12</t>
  </si>
  <si>
    <t>Метчик М - 52 (из 3-х штук)</t>
  </si>
  <si>
    <t>Метчик М - 56х2 Р18</t>
  </si>
  <si>
    <t>Метчик М - 56х1,5 / 56х2</t>
  </si>
  <si>
    <t>Метчик М - 64х2</t>
  </si>
  <si>
    <t>Метчик Тр 1/8" маш./руч.</t>
  </si>
  <si>
    <t>Метчик Тр. 1/4"маш./руч.</t>
  </si>
  <si>
    <t>Метчик 9/16" WВитварта(12ниток)</t>
  </si>
  <si>
    <t>Метчик Тр. 3/8" маш./руч. / 3/8"Тр.К маш./руч.</t>
  </si>
  <si>
    <t>117 / 3</t>
  </si>
  <si>
    <t>Метчик 1/2"W маш./руч. (12 ниток)</t>
  </si>
  <si>
    <t>Метчик 3/8"W маш./руч.(16ниток) / 3/8"W</t>
  </si>
  <si>
    <t>Метчик 5/8"W маш./руч. из 2х шт(11ниток)</t>
  </si>
  <si>
    <t>Метчик 5/8"W маш./руч. из 3 шт (11 ниток)</t>
  </si>
  <si>
    <t>Метчик Тр. 5/8" маш./руч.</t>
  </si>
  <si>
    <t>Метчик ТР. 7/8" маш./руч. / 7/8"гаечн.</t>
  </si>
  <si>
    <t>63 / 2</t>
  </si>
  <si>
    <t>Метчик 7/8"W маш.руч. (9ниток)</t>
  </si>
  <si>
    <t>Метчик ТР. 1/2" маш./руч.</t>
  </si>
  <si>
    <t>Метчик ТР. 1/2" маш./руч. Р6М5</t>
  </si>
  <si>
    <t>Метчик Тр. 1/2" Р6М5</t>
  </si>
  <si>
    <t>Метчик К1/2" / Тр.К.1/2"</t>
  </si>
  <si>
    <t>116 / 119</t>
  </si>
  <si>
    <t>Метчик 1/2"Wгаечн. (12ниток) / 1/2"W (14 ниток)</t>
  </si>
  <si>
    <t>Метчик К1/4" / Тр. К. 1/4"</t>
  </si>
  <si>
    <t>163 / 89</t>
  </si>
  <si>
    <t>Метчик К1/8" / Тр. К. 1/8"</t>
  </si>
  <si>
    <t>59 / 97</t>
  </si>
  <si>
    <t>Метчик 3/4" W(10ниток) / 5/16" W(18ниток) / 5/16" W</t>
  </si>
  <si>
    <t>42 / 5 / 1</t>
  </si>
  <si>
    <t>Метчик 3/16" W(24нитки) / 1/4"W(20ниток)</t>
  </si>
  <si>
    <t>Метчик К3/4" / Тр. К. 3/4"</t>
  </si>
  <si>
    <t>83 / 109</t>
  </si>
  <si>
    <t>Метчик ТР. 3/4"</t>
  </si>
  <si>
    <t>Метчик ТР. 3/4" Р6М5</t>
  </si>
  <si>
    <t>Метчик Тр 3/4" ВК8</t>
  </si>
  <si>
    <t>Метчик W 3/4"(16ниток) гаечн. / W 3/4" (10ниток)гаечн.</t>
  </si>
  <si>
    <t>648 / 360</t>
  </si>
  <si>
    <t>Метчик 5/16"W(18ниток) / 7/8"W(14ниток)</t>
  </si>
  <si>
    <t>Метчик 1 1/8"W(16ниток)прав / 1 1/8"W(16ниток)лев</t>
  </si>
  <si>
    <t>Метчик 1 1/16"W(12ниток)</t>
  </si>
  <si>
    <t>Метчик 1"W (8ниток)/ 1 1/8" W (7ниток)</t>
  </si>
  <si>
    <t>Метчик 5/8" W(11 ниток) / 5/8" Wгаечн.(11ниток)</t>
  </si>
  <si>
    <t>Метчик К3/8" / Тр. К.3/8"</t>
  </si>
  <si>
    <t>42 / 50</t>
  </si>
  <si>
    <t>Метчик К Тр 1" маш. / К1"</t>
  </si>
  <si>
    <t>65 / 12</t>
  </si>
  <si>
    <t>Метчик К Газ 29 / К 27.8</t>
  </si>
  <si>
    <t>Метчик Тр 1" / Тр 1" ВК8</t>
  </si>
  <si>
    <t>48 / 1</t>
  </si>
  <si>
    <t>Метчик Тр 1"</t>
  </si>
  <si>
    <t>Метчик 1" W гаечн.(8ниток)</t>
  </si>
  <si>
    <t>Метчик 1" W (8ниток)</t>
  </si>
  <si>
    <t>Метчик 1" W гаеч. (8ниток)/ 1 3/8"W(6ниток) / 1 1/8"W(7ниток)</t>
  </si>
  <si>
    <t>16 / 1 / 2</t>
  </si>
  <si>
    <t>Метчик 1 3/8"W(6ниток) (из 3х шт) / 1 3/8"W(10ниток) (из 3х шт)</t>
  </si>
  <si>
    <t>Метчик Тр. К. 1 1/4" / К. 1 1/4" / Тр. 1 1/4"</t>
  </si>
  <si>
    <t>15 / 3 / 2</t>
  </si>
  <si>
    <t>Метчик К. 1 1/2" / Тр. К. 1 1/2"</t>
  </si>
  <si>
    <t>9 / 24</t>
  </si>
  <si>
    <t>Метчик К2" / Тр. К. 2"</t>
  </si>
  <si>
    <t>8 / 12</t>
  </si>
  <si>
    <t>Метчик Тр.1 1/2" маш. / Тр.1 3/8"</t>
  </si>
  <si>
    <t>19 / 4</t>
  </si>
  <si>
    <t>Метчик ТР. 2" маш.</t>
  </si>
  <si>
    <t>Метчик  Тр. 1 1/8" / 1 1/4" / 1 1/2" маш./руч.</t>
  </si>
  <si>
    <t>26 / 0 / 3</t>
  </si>
  <si>
    <t>Метчик Тр. 1 3/8" / Тр. 1 3/4"маш./руч.</t>
  </si>
  <si>
    <t>18 / 2</t>
  </si>
  <si>
    <t>Метчик Тр. 2" маш./руч. / Тр.К 2"</t>
  </si>
  <si>
    <t>Метчик Тр. К. 3"</t>
  </si>
  <si>
    <t>Патрон токарный трехкулачковый ПСС-70мм Гродно</t>
  </si>
  <si>
    <t>Патрон токарный трехкулачковый ПСС-80мм Польша</t>
  </si>
  <si>
    <t>Патрон токарный трехкулачковый ПСС-100мм Польша</t>
  </si>
  <si>
    <t>7800,00</t>
  </si>
  <si>
    <t>Патрон токарный трехкулачковый ПСС-100мм Гродно</t>
  </si>
  <si>
    <t>4980,00</t>
  </si>
  <si>
    <t>Патрон токарный трехкулачковый ПСС-125мм Гродно</t>
  </si>
  <si>
    <t>Патрон токарный трехкулачковый ПСС-125мм Польша</t>
  </si>
  <si>
    <t>Патрон токарный трехкулачковый ПСС-125мм Польша без кул</t>
  </si>
  <si>
    <t>Патрон токарный трехкулачковый ПСС-160мм ПНР СТ-160ПФ4</t>
  </si>
  <si>
    <t>24000,00</t>
  </si>
  <si>
    <t>Патрон токарный трехкулачковый ПСС-160мм ПНР Ф5 легкое б/у</t>
  </si>
  <si>
    <t>12000,00</t>
  </si>
  <si>
    <t>Патрон токарный трехкулачковый ПСС-160мм Гродно</t>
  </si>
  <si>
    <t>Патрон токарный трехкулачковый ПСС-160мм Псков</t>
  </si>
  <si>
    <t>6330,00</t>
  </si>
  <si>
    <t>Патрон токарный трёхкулачковый клиновой механизированный 160мм.</t>
  </si>
  <si>
    <t>Патрон токарный трехкулачковый ПСС-200мм Польша Ф6 (4 шпильки)</t>
  </si>
  <si>
    <t>Патрон токарный трехкулачковый ПСС-200мм Гродно Ф6</t>
  </si>
  <si>
    <t>Патрон токарный трехкулачковый ПСС-200мм Псков планшайба</t>
  </si>
  <si>
    <t>Патрон токарный трехкулачковый ПСС-250мм Псков на планшайбу</t>
  </si>
  <si>
    <t>Патрон токарный трехкулачковый ПСС-250мм Гродно Ф6 (4 шп) с хранен.</t>
  </si>
  <si>
    <t>32400,00</t>
  </si>
  <si>
    <t>Патрон токарный трехкулачковый ПСС-250мм Гродно Ф6 (4 шп) б/у</t>
  </si>
  <si>
    <t>14100,00</t>
  </si>
  <si>
    <t>Патрон токарный трехкулачковый ПСС-250П Ф6 ПНР</t>
  </si>
  <si>
    <t>39000,00</t>
  </si>
  <si>
    <t>Патрон токарный трехкулачковый ПСС-230 б/у (обр. кулачки) СЭВ</t>
  </si>
  <si>
    <t>Патрон токарный четырехкулачковый на планшайбу СТ-250 Борисоглебск</t>
  </si>
  <si>
    <t>Патрон токарный четырехкулачковый СТ-250 конус F6 Борисоглебск</t>
  </si>
  <si>
    <t>Патрон токарный четырехкулачковый ПСС-250 конус F6 легк. б/у импорт</t>
  </si>
  <si>
    <t>Патрон токарный трехкулачковый ПСС-315мм Гродно F8 (4 шп)</t>
  </si>
  <si>
    <t>25500,00</t>
  </si>
  <si>
    <t>Патрон токарный трехкулачковый ПСС-315мм Польша F8 (4 шп)</t>
  </si>
  <si>
    <t>Патрон токарный четырехкулачковый СТ-315мм F6 (4 шп)</t>
  </si>
  <si>
    <t>Патрон токарный четырехкулачковый СТ-400мм конус</t>
  </si>
  <si>
    <t>12300,00</t>
  </si>
  <si>
    <t>Патрон токарный четырехкулачковый СТ-500мм</t>
  </si>
  <si>
    <t>Кулачки прямые к патрону ток. 250мм Шаг 10</t>
  </si>
  <si>
    <t>Кулачки прямые к патрону ток. 250мм Шаг 10 (б/у)</t>
  </si>
  <si>
    <t>Кулачки обратные к патрону ток. 250мм Шаг 10</t>
  </si>
  <si>
    <t>Кулачки обратные к патрону ток. 250мм Шаг 10 ПНР</t>
  </si>
  <si>
    <t>Патроны цанговые набор кон. 7:24-К50 (6-20мм (ком. 12шт))</t>
  </si>
  <si>
    <t>Патроны цанговые набор кон. 7:24-К50, К45 (5-20мм (ком. 9шт))</t>
  </si>
  <si>
    <t>Патроны цанговые набор кон. 7:24-К50, К40 (5-20мм (ком. 12шт))</t>
  </si>
  <si>
    <t>Патроны цанговые набор кон. 7:24-К50(5; 6,5; 7; 8,5; 10; 10,5; 11; 12; 13; 14мм-10шт)</t>
  </si>
  <si>
    <t>Патроны цанговые набор кон. 7:24-К50 (5, 8, 8,5, 9, 10, 12, 14, 16мм - 8шт)</t>
  </si>
  <si>
    <t>Патроны цанговые набор кон. 7:24-К50 (5, 8, 10, 10,5, 12, 14мм - 6шт)</t>
  </si>
  <si>
    <t>Патроны цанговые набор кон. 7:24-К50 (5, 8, 10, 12, 14мм - 5шт)</t>
  </si>
  <si>
    <t>Патроны цанговые набор кон. 7:24-К50 (10, 12, 14, 18, 20мм - 5шт)</t>
  </si>
  <si>
    <t>Патроны цанговые набор кон. 7:24-К50 (4, 6, 8, 12, 16мм-5шт))</t>
  </si>
  <si>
    <t>Патроны цанговые набор кон. 7:24-К50 (20, 25, 32, 40мм-компл.4шт)</t>
  </si>
  <si>
    <t>Патроны цанговые набор кон. 7:24-К40 (20, 25, 32, 40мм-компл.4шт)</t>
  </si>
  <si>
    <t>Патроны цанговые набор кон. 7:24-К40 (20-2, 25-2, 32-2, 40-2-компл.8шт)</t>
  </si>
  <si>
    <t>Патроны цанговые набор кон. 7:24-К40 (5-20мм (ком. 15шт))</t>
  </si>
  <si>
    <t>Патроны цанговые набор кон. 7:24-К40 (5-20мм (ком. 11шт))</t>
  </si>
  <si>
    <t>Патроны цанговые набор кон. 7:24-К40 (5-20мм (ком. 10шт))</t>
  </si>
  <si>
    <t>Патроны цанговые набор кон. 7:24-К40 (20-40мм (ком. 8шт))</t>
  </si>
  <si>
    <t>Патроны цанговые набор кон. 7:24-К40 (4, 5, 6, 8, 10мм -5шт)</t>
  </si>
  <si>
    <t>Патроны цанговые набор кон. 7:24-К40 (10, 12, 14, 16, 18, 20мм -6шт)</t>
  </si>
  <si>
    <t>Патроны цанговые набор кон. 7:24-К40 (10, 12, 14, 18, 20мм -5шт)</t>
  </si>
  <si>
    <t>Патроны цанговые набор кон. КМ4, КМ5 (3-20мм (ком. 18шт))</t>
  </si>
  <si>
    <t>Патроны цанговые набор кон. КМ4, КМ5, КМ6 (3-20мм (ком. 18шт))</t>
  </si>
  <si>
    <t>Патрон цанговый с набором цанг кон. КМ4 (6-14мм; 6, 7, 8, 9, 10, 11, 12, 13, 14 (9шт)).</t>
  </si>
  <si>
    <t>Патроны цанговые набор кон. КМ4 (14, 16, 18, 20мм (ком. 4шт))</t>
  </si>
  <si>
    <t>Патроны цанговые набор кон. КМ4 (14, 16, 20мм (ком. 3шт))</t>
  </si>
  <si>
    <t>Патроны цанговые набор кон. КМ5 (10, 12, 14, 16, 18, 20мм (ком. 6шт))</t>
  </si>
  <si>
    <t>Патроны цанговые набор кон. КМ5 (4, 6, 9, 18, 20мм (ком. 5шт))</t>
  </si>
  <si>
    <t>Патрон цанговый М3 / М4 / М5 / ИСО40</t>
  </si>
  <si>
    <t>Делительная головка универсальная УДГ-Д-200А (патрон 125мм)</t>
  </si>
  <si>
    <t>Патрон сверлильный ПС 1-6мм СССР Конус В10</t>
  </si>
  <si>
    <t>Патрон сверлильный ПС 0,8-6мм самозажимной (конус) СССР</t>
  </si>
  <si>
    <t>Патрон сверлильный ПС 1-9мм СССР</t>
  </si>
  <si>
    <t>Патрон сверлильный ПС 1-10мм СССР / 2-10мм СССР Конус В12</t>
  </si>
  <si>
    <t>5 / 30</t>
  </si>
  <si>
    <t>Патрон сверлильный ПС 1-10мм самозажимной (конус) СССР</t>
  </si>
  <si>
    <t>Патрон сверлильный ПС 1,0 - 13мм 12х1,25 / 1,5-13мм В16</t>
  </si>
  <si>
    <t>Патрон для дрели с ключом 1,5 - 13мм резьба 1/2"-20</t>
  </si>
  <si>
    <t>Патрон сверлильный 3 - 16мм В16 / В18</t>
  </si>
  <si>
    <t>Патрон быстросьемный КМ2 / КМ3 / КМ4</t>
  </si>
  <si>
    <t>1 / 4 / 1</t>
  </si>
  <si>
    <t>Плашка М - 1.0 / 1.4</t>
  </si>
  <si>
    <t>8 / 6</t>
  </si>
  <si>
    <t>37,20</t>
  </si>
  <si>
    <t>Плашка М - 1.6 / 1.8</t>
  </si>
  <si>
    <t>20 /11</t>
  </si>
  <si>
    <t>Плашка М - 2.0 / 2х0,25 / 2.2 / 2.5</t>
  </si>
  <si>
    <t>3 / 5 / 9 / 10</t>
  </si>
  <si>
    <t>Плашка  М - 3.0 / 3.0лев / 3х0,35</t>
  </si>
  <si>
    <t>735 / 6 / 4</t>
  </si>
  <si>
    <t>Плашка М - 3,5</t>
  </si>
  <si>
    <t>Плашка М - 4 / 4,5</t>
  </si>
  <si>
    <t>242 / 5</t>
  </si>
  <si>
    <t>Плашка М - 4лев</t>
  </si>
  <si>
    <t>48,60</t>
  </si>
  <si>
    <t>Плашка М - 5 / 5х0,5</t>
  </si>
  <si>
    <t>114 / 5</t>
  </si>
  <si>
    <t>Плашка М - 5лев</t>
  </si>
  <si>
    <t>Плашка М - 6 / 6х0.5 / 6х0,75</t>
  </si>
  <si>
    <t>170 / 5 / 47</t>
  </si>
  <si>
    <t>Плашка М - 6 лев</t>
  </si>
  <si>
    <t>Плашка М - 7 / 7х0,5 / 7х0,75</t>
  </si>
  <si>
    <t>9 / 17 / 42</t>
  </si>
  <si>
    <t>Плашка М - 8 / 8х0.5</t>
  </si>
  <si>
    <t>104 / 87</t>
  </si>
  <si>
    <t>Плашка М - 8х0,75 / 8х1</t>
  </si>
  <si>
    <t>87 / 317</t>
  </si>
  <si>
    <t>Плашка М - 8лев. / 8х1лев</t>
  </si>
  <si>
    <t>16 / 30</t>
  </si>
  <si>
    <t>Плашка М - 9 / 9х0,5 / 9х1</t>
  </si>
  <si>
    <t>50 / 4 / 4</t>
  </si>
  <si>
    <t>Плашка М - 10</t>
  </si>
  <si>
    <t>Плашка М - 10х0,5 / 10х0,75</t>
  </si>
  <si>
    <t>54 / 124</t>
  </si>
  <si>
    <t>Плашка М - 10х1 / 10х1,25</t>
  </si>
  <si>
    <t>Плашка М - 10лев / 10х1лев / 10х1,25лев.</t>
  </si>
  <si>
    <t>6 / 3 / 20</t>
  </si>
  <si>
    <t>Плашка М - 11 / 11х0,75 / 11х1</t>
  </si>
  <si>
    <t>53 / 15 / 30</t>
  </si>
  <si>
    <t>Плашка М - 12 / 12х0,5</t>
  </si>
  <si>
    <t>22 / 43</t>
  </si>
  <si>
    <t>Плашка М - 12х0,75 / 12х1</t>
  </si>
  <si>
    <t>62 / 23</t>
  </si>
  <si>
    <t>Плашка М - 12х1,25 / 12х1,5</t>
  </si>
  <si>
    <t>53 / 160</t>
  </si>
  <si>
    <t>Плашка М - 12лев / 12х1.25лев</t>
  </si>
  <si>
    <t>6 / 41</t>
  </si>
  <si>
    <t>Плашка М - 14</t>
  </si>
  <si>
    <t>Плашка М - 14лев / 14х1.5лев</t>
  </si>
  <si>
    <t>Плашка М - 14х0,75 / 14х0.5</t>
  </si>
  <si>
    <t>Плашка М - 14х1 / 14х1,25</t>
  </si>
  <si>
    <t>105 / 172</t>
  </si>
  <si>
    <t>Плашка М - 14х1,5</t>
  </si>
  <si>
    <t>Плашка М - 16</t>
  </si>
  <si>
    <t>Плашка М - 16 лев. / 16х1лев. / 16х1.5лев</t>
  </si>
  <si>
    <t>Плашка М - 16х0.75 / 16х1 / 16х1.5</t>
  </si>
  <si>
    <t>14 / 10 / 31</t>
  </si>
  <si>
    <t>Плашка М - 18</t>
  </si>
  <si>
    <t>Плашка М - 18лев.</t>
  </si>
  <si>
    <t>Плашка М - 18х0.75 / 18х1,0</t>
  </si>
  <si>
    <t>10 / 6</t>
  </si>
  <si>
    <t>Плашка М - 18х1,5 / 18х2</t>
  </si>
  <si>
    <t>2 / 24</t>
  </si>
  <si>
    <t>Плашка М - 20 / 20х0.5</t>
  </si>
  <si>
    <t>Плашка М - 20х0,75 / 20х1</t>
  </si>
  <si>
    <t>5 / 25</t>
  </si>
  <si>
    <t>Плашка М - 20х1,5 / 20х2</t>
  </si>
  <si>
    <t>72 / 58</t>
  </si>
  <si>
    <t>Плашка М - 20лев / 20х1лев / 20х1,5лев.</t>
  </si>
  <si>
    <t>4 / 1 / 47</t>
  </si>
  <si>
    <t>Плашка М - 22</t>
  </si>
  <si>
    <t>Плашка М - 22лев. / 22х1,5лев</t>
  </si>
  <si>
    <t>Плашка М - 22х0,75 / 22х1</t>
  </si>
  <si>
    <t>59 / 26</t>
  </si>
  <si>
    <t>Плашка  М - 22х1,5 / 22х2</t>
  </si>
  <si>
    <t>Плашка М - 24 / 24х1,0</t>
  </si>
  <si>
    <t>0 / 44</t>
  </si>
  <si>
    <t>Плашка М - 24х1,5 / 24х2</t>
  </si>
  <si>
    <t>19 / 128</t>
  </si>
  <si>
    <t>Плашка М - 24лев. / 24х1,5лев.</t>
  </si>
  <si>
    <t>Плашка М - 26х1,5</t>
  </si>
  <si>
    <t>Плашка М - 27 / 27х1</t>
  </si>
  <si>
    <t>188 / 14</t>
  </si>
  <si>
    <t>Плашка М - 27х1,5 / 27х2</t>
  </si>
  <si>
    <t>25 / 108</t>
  </si>
  <si>
    <t>Плашка М - 27лев / 27х1,5 лев.</t>
  </si>
  <si>
    <t>Плашка М - 30 / 30х0,75</t>
  </si>
  <si>
    <t>83 / 4</t>
  </si>
  <si>
    <t>Плашка М - 30х1,0 / 30х1,5</t>
  </si>
  <si>
    <t>Плашка М - 30х2 / 30х3</t>
  </si>
  <si>
    <t>62 / 90</t>
  </si>
  <si>
    <t>Плашка М - 33 / 33х0,75 / 33х1</t>
  </si>
  <si>
    <t>112 / 2 / 15</t>
  </si>
  <si>
    <t>354,00</t>
  </si>
  <si>
    <t>Плашка М - 33х1,5 / 33х2 / 33х3</t>
  </si>
  <si>
    <t>12 / 52 / 12</t>
  </si>
  <si>
    <t>Плашка М - 36 / 36х1</t>
  </si>
  <si>
    <t>14 / 22</t>
  </si>
  <si>
    <t>Плашка М - 36лев</t>
  </si>
  <si>
    <t>Плашка М - 36х2</t>
  </si>
  <si>
    <t>Плашка М - 36х1,5 / 36х3</t>
  </si>
  <si>
    <t>39 / 38</t>
  </si>
  <si>
    <t>402,00</t>
  </si>
  <si>
    <t>Плашка М - 39 / 39х1 / 39х1,5</t>
  </si>
  <si>
    <t>29 / 1 / 37</t>
  </si>
  <si>
    <t>Плашка М - 39х2 / 39х3</t>
  </si>
  <si>
    <t>28 / 40</t>
  </si>
  <si>
    <t>Плашка М - 40</t>
  </si>
  <si>
    <t>Плашка М - 40х1,5</t>
  </si>
  <si>
    <t>Плашка М - 40х2 / 40х3</t>
  </si>
  <si>
    <t>Плашка М - 42 / 42х1,5</t>
  </si>
  <si>
    <t>17 / 24</t>
  </si>
  <si>
    <t>Плашка М - 42х2 / 42х3</t>
  </si>
  <si>
    <t>62 / 10</t>
  </si>
  <si>
    <t>Плашка М - 45 / 45х1,5</t>
  </si>
  <si>
    <t>22 / 10</t>
  </si>
  <si>
    <t>Плашка М - 45х1.5лев</t>
  </si>
  <si>
    <t>Плашка М - 45х2 / 45х3 / 45х4</t>
  </si>
  <si>
    <t>29 / 27 / 8</t>
  </si>
  <si>
    <t>Плашка М - 48 / 48х1 / 48х1,5</t>
  </si>
  <si>
    <t>28 / 17 / 26</t>
  </si>
  <si>
    <t>Плашка М - 48х2 / 48х3 / 48х4</t>
  </si>
  <si>
    <t>52 / 34 / 5</t>
  </si>
  <si>
    <t>Плашка М - 50х1,5 / 50х2 / 50х3</t>
  </si>
  <si>
    <t>1 / 6 / 8</t>
  </si>
  <si>
    <t>Плашка М - 52 / 52х1</t>
  </si>
  <si>
    <t>31 / 1</t>
  </si>
  <si>
    <t>Плашка М - 52х1,5 / 52х2</t>
  </si>
  <si>
    <t>Плашка М - 52х3 / 52х4</t>
  </si>
  <si>
    <t>30 / 1</t>
  </si>
  <si>
    <t>Плашка М - 64х3 / 68х1,5</t>
  </si>
  <si>
    <t>Плашка Тр. 1/4" / 1/8"</t>
  </si>
  <si>
    <t>18 / 66</t>
  </si>
  <si>
    <t>Плашка Тр. 1/2"</t>
  </si>
  <si>
    <t>Плашка Тр. 5/8" / 3/8"</t>
  </si>
  <si>
    <t>73 / 97</t>
  </si>
  <si>
    <t>Плашка Тр. 3/4"</t>
  </si>
  <si>
    <t>Плашка Тр. 1" / Тр. 7/8"</t>
  </si>
  <si>
    <t>Плашка Тр. 1 1/4" / Тр. К 1 1/4"</t>
  </si>
  <si>
    <t>6 / 0</t>
  </si>
  <si>
    <t>Плашка Тр. 1 1/8" / Тр. 1 3/8</t>
  </si>
  <si>
    <t>13 / 38</t>
  </si>
  <si>
    <t>Плашка Тр. 1 1/2" / Тр. К 1 1/2</t>
  </si>
  <si>
    <t>129 / 3</t>
  </si>
  <si>
    <t>Плашка Тр 2"</t>
  </si>
  <si>
    <t>906,00</t>
  </si>
  <si>
    <t>Плашка К 1/8" / Тр.К 1/8"</t>
  </si>
  <si>
    <t>10 / 10</t>
  </si>
  <si>
    <t>Плашка Тр.К 1/4" / К 1/4"</t>
  </si>
  <si>
    <t>26 / 16</t>
  </si>
  <si>
    <t>Плашка К1/2" / КТр 1/2"</t>
  </si>
  <si>
    <t>40 / 0</t>
  </si>
  <si>
    <t>Плашка Тр.К3/8" / К3/8"</t>
  </si>
  <si>
    <t>17 / 38</t>
  </si>
  <si>
    <t>Плашка К3/4" / Тр К 3/4"</t>
  </si>
  <si>
    <t>Плашка К 1" / КТр 1"</t>
  </si>
  <si>
    <t>14 / 4</t>
  </si>
  <si>
    <t>Плашка К 1 1/4" / К 1 1/2"</t>
  </si>
  <si>
    <t>15 / 28</t>
  </si>
  <si>
    <t>Плашка К2" / КТр2"</t>
  </si>
  <si>
    <t>15 / 2</t>
  </si>
  <si>
    <t>Плашка 1/4"WВитворта(20ниток) / 1/2"W(12ниток)</t>
  </si>
  <si>
    <t>6 / 15</t>
  </si>
  <si>
    <t>Плашка 7/16" W (14ниток)/ 9/16" W(12ниток)</t>
  </si>
  <si>
    <t>18 / 26</t>
  </si>
  <si>
    <t>Плашка 5/8" W (11ниток) / 3/8" W(16ниток)</t>
  </si>
  <si>
    <t>5 / 48</t>
  </si>
  <si>
    <t>Плашка 3/4" W(10ниток) / 3/4" W(10ниток)+лев.</t>
  </si>
  <si>
    <t>Плашка 7/8" W(9ниток) / 1" W (8ниток)</t>
  </si>
  <si>
    <t>17 / 26</t>
  </si>
  <si>
    <t>Плашка 1 1/8" W(7ниток) / 1 1/2" W(6ниток)</t>
  </si>
  <si>
    <t>Плашка 1 3/4" W(?ниток) / 1 3/8" W(6ниток)</t>
  </si>
  <si>
    <t>Плашка 1 7/8" W(?ниток) /1 5/8" W(5ниток)</t>
  </si>
  <si>
    <t>Плашка 2" W(4,5ниток)</t>
  </si>
  <si>
    <t>Клуп 1/2-2" с набором плашек (6 компл)</t>
  </si>
  <si>
    <t>Клуп 1/2-2" с набором плашек</t>
  </si>
  <si>
    <t>Гребенка к резьбонарезн. Головкам 1.75 d39,59 (4шт - 1 компл)</t>
  </si>
  <si>
    <t>Гребенка к резьбонарезн. Головкам 1.0 d23 (4шт - 1 компл)</t>
  </si>
  <si>
    <t>Гребенка плоская резьба шаг- 1,25 / 1,75 / 2,0 (к-кт 4шт) 9х20х100мм</t>
  </si>
  <si>
    <t>Гребенка плоская резьба шаг- 11 ниток (к-кт 4шт) 9х20х100мм</t>
  </si>
  <si>
    <t>Гребенка на клуп резьба шаг- 1" - 1 1/4"</t>
  </si>
  <si>
    <t>Гребенка на клуп резьба шаг- 1 1/2" - 2"</t>
  </si>
  <si>
    <t>Ролик резьбонакатной П4(4шт)-35 - 1,5 Фрезер</t>
  </si>
  <si>
    <t>Ролик резьбонарезной</t>
  </si>
  <si>
    <t>Плашкодержатель М1.2-2мм</t>
  </si>
  <si>
    <t>Плашкодержатель М2.5мм</t>
  </si>
  <si>
    <t>Плашкодержатель М3-4мм</t>
  </si>
  <si>
    <t>Плашкодержатель М5-6мм</t>
  </si>
  <si>
    <t>Плашкодержатель М3-10мм</t>
  </si>
  <si>
    <t>Плашкодержатель М3-14мм</t>
  </si>
  <si>
    <t>Плашкодержатель М10-20мм</t>
  </si>
  <si>
    <t>Плашкодержатель №1</t>
  </si>
  <si>
    <t>Плашкодержатель №2</t>
  </si>
  <si>
    <t>Плашкодержатель №3</t>
  </si>
  <si>
    <t>Плашкодержатель №4</t>
  </si>
  <si>
    <t>Плашкодержатель №5</t>
  </si>
  <si>
    <t>Плашкодержатель №6</t>
  </si>
  <si>
    <t>Плашкодержатель №7</t>
  </si>
  <si>
    <t>Плашкодержатель №8</t>
  </si>
  <si>
    <t>Плашкодержатель №9</t>
  </si>
  <si>
    <t>339,00</t>
  </si>
  <si>
    <t>Плашкодержатель d45мм</t>
  </si>
  <si>
    <t>Плашкодержатель d55мм</t>
  </si>
  <si>
    <t>Плашкодержатель d90мм</t>
  </si>
  <si>
    <t>Вороток (Метчикодержатель) 3-8мм / 3-10мм</t>
  </si>
  <si>
    <t>Вороток (Метчикодержатель) 3-14мм / 5-14мм</t>
  </si>
  <si>
    <t>Вороток (Метчикодержатель) 5-16мм</t>
  </si>
  <si>
    <t>Вороток (Метчикодержатель) 8-20мм</t>
  </si>
  <si>
    <t>Вороток (Метчикодержатель) 10-27мм</t>
  </si>
  <si>
    <t>Вороток (Метчикодержатель) 12-36мм</t>
  </si>
  <si>
    <t>Метчикодержатель №3</t>
  </si>
  <si>
    <t>Метчикодержатель №4</t>
  </si>
  <si>
    <t>Метчикодержатель универсальный регул. №5</t>
  </si>
  <si>
    <t>Метчикодержатель №5</t>
  </si>
  <si>
    <t>Патрон резьбонарезной быстросъемный (КМ3+Цил. Хв.36мм) для метчиков М6-М16 (6шт)</t>
  </si>
  <si>
    <t>Патрон резьбонарезной быстросъемный (цил. хв.36мм) для метчиков М6-М16 (6шт)</t>
  </si>
  <si>
    <t>Патрон резьбонарезной быстросъемный (цил. хв.36мм) для метчиков М8-М16 (5шт)</t>
  </si>
  <si>
    <t>Патрон-Трещетка для метчиков КМ2-КМ4</t>
  </si>
  <si>
    <t>Вентиль лат. 25мм</t>
  </si>
  <si>
    <t>Вентиль лат. 50мм - 2"РУ16</t>
  </si>
  <si>
    <t>Вентиль чуг. 50мм - 2"</t>
  </si>
  <si>
    <t>Вентиль чуг. 65мм</t>
  </si>
  <si>
    <t>Вентиль чуг.фланц.ел.магн. СВМ 25мм РУ16</t>
  </si>
  <si>
    <t>Вентиль чуг.фланц. 32мм РУ16</t>
  </si>
  <si>
    <t>Вентиль чуг.фланц. 40мм РУ16</t>
  </si>
  <si>
    <t>Вентиль чуг.фланц. 40мм РУ25</t>
  </si>
  <si>
    <t>Вентиль чуг.фланц. 50мм РУ16</t>
  </si>
  <si>
    <t>Вентиль футерованый фланц. 15Ч75П1- 50мм РУ10</t>
  </si>
  <si>
    <t>Вентиль нержавейка фланц. 25мм РУ16</t>
  </si>
  <si>
    <t>Вентиль нержавейка фланц. 32мм РУ16</t>
  </si>
  <si>
    <t>Вентиль нержавейка фланц. 40мм РУ16</t>
  </si>
  <si>
    <t>Кран шаровий 15мм - 1/2" (в.в.)</t>
  </si>
  <si>
    <t>Кран шаровий 20мм - 3/4" (в.в.)</t>
  </si>
  <si>
    <t>Кран шаровий 25мм - 1" (в.в.)</t>
  </si>
  <si>
    <t>Кран шаровий 32мм - 1 1/4" (в.н.)</t>
  </si>
  <si>
    <t>Кран шаровий фланцевый нержавейка 40мм РУ 40</t>
  </si>
  <si>
    <t>Кран шаровий 65мм - 2 1/2" (в.в.)</t>
  </si>
  <si>
    <t>Кран маевского автом. 15мм</t>
  </si>
  <si>
    <t>33,6</t>
  </si>
  <si>
    <t>Кран пробковый бр. фланц. 40мм</t>
  </si>
  <si>
    <t>201,0</t>
  </si>
  <si>
    <t>Кран поплавковый 15мм (нижнее)</t>
  </si>
  <si>
    <t>Кран лат. пробковый 3х ходовой 15мм / 20мм</t>
  </si>
  <si>
    <t>67,2</t>
  </si>
  <si>
    <t>Кран лат. 3х ходовой манометрический 15мм</t>
  </si>
  <si>
    <t>Задвижка - клинкет бронз. муфт. РУ 16 100мм</t>
  </si>
  <si>
    <t>Задвижка чуг. фл. 30ч6бр-РУ 10 50мм</t>
  </si>
  <si>
    <t>Задвижка броз.муфт. 100мм</t>
  </si>
  <si>
    <t>Фланец ДУ80</t>
  </si>
  <si>
    <t>Фланец ДУ125</t>
  </si>
  <si>
    <t>Фильтр сетчатый бр. 20мм - 3/4"</t>
  </si>
  <si>
    <t>37,8</t>
  </si>
  <si>
    <t>Фильтр сетчатый бр. 25мм - 1"</t>
  </si>
  <si>
    <t>Конденсатоотводчик чугун 32мм</t>
  </si>
  <si>
    <t>Конденсатоотводчик чугун 40мм</t>
  </si>
  <si>
    <t>Шланг подводки нерж. М10х1,2" н.в. 400мм</t>
  </si>
  <si>
    <t>Шланг подводки нерж. М10х1,2" н.в. 800мм</t>
  </si>
  <si>
    <t>39,9</t>
  </si>
  <si>
    <t>Шланг подводки нерж. 1,2"х1,2" н.в. 400мм / 500мм</t>
  </si>
  <si>
    <t>Шланг подводки нерж. 1,2"х1,2" н.в. 600мм</t>
  </si>
  <si>
    <t>46,2</t>
  </si>
  <si>
    <t>Шланг подводки нерж. 1,2"х1,2" в.в. 400мм</t>
  </si>
  <si>
    <t>Шланг подводки нерж. 1,2"х1,2" в.в. 1000мм</t>
  </si>
  <si>
    <t>54,6</t>
  </si>
  <si>
    <t>Сгон в сборе 1/2"</t>
  </si>
  <si>
    <t>Контрогайка ст. 2"</t>
  </si>
  <si>
    <t>6,9</t>
  </si>
  <si>
    <t>Бочонок 1/2"</t>
  </si>
  <si>
    <t>5,4</t>
  </si>
  <si>
    <t>Американка прямая 1 1/4"</t>
  </si>
  <si>
    <t>109,2</t>
  </si>
  <si>
    <t>Американка прямая 1 1/2"</t>
  </si>
  <si>
    <t>Резьба короткая 1/2"</t>
  </si>
  <si>
    <t>3,9</t>
  </si>
  <si>
    <t>Уголок лат. 1/2" в.в. / 1/2" в.н.</t>
  </si>
  <si>
    <t>18 / 10</t>
  </si>
  <si>
    <t>Уголок лат. ник. 3/4" в.в. / 3/4" в.н.</t>
  </si>
  <si>
    <t>10,5</t>
  </si>
  <si>
    <t>Уголок лат. 3/4" в.в.</t>
  </si>
  <si>
    <t>9,3</t>
  </si>
  <si>
    <t>Уголок лат. 1" в.в. / в.н.</t>
  </si>
  <si>
    <t>Уголок 2" (в.в.)</t>
  </si>
  <si>
    <t>9,6</t>
  </si>
  <si>
    <t>Контргайка 1/2" бр.</t>
  </si>
  <si>
    <t>Контргайка 3/4" бр. / 3/4" ст.</t>
  </si>
  <si>
    <t>7 / 13</t>
  </si>
  <si>
    <t>3,30 / 2,70</t>
  </si>
  <si>
    <t>Тройник лат. 1/2" (15)в.в.в. / 1/2" (15)в.н.в. / 1/2" (15)н.н.н.</t>
  </si>
  <si>
    <t>5 / 2 / 2</t>
  </si>
  <si>
    <t>Тройник лат. 3/4" (20х20х20)в.в.в.</t>
  </si>
  <si>
    <t>Тройник бр. 1" в.в.в.</t>
  </si>
  <si>
    <t>16,2</t>
  </si>
  <si>
    <t>Муфта ТК 16 (1/2") с вн.рез. / нар.рез.</t>
  </si>
  <si>
    <t>10,2</t>
  </si>
  <si>
    <t>Муфта ТК 20х3/4"вн.р. ТК 20х3/4" нар.р.</t>
  </si>
  <si>
    <t>13,8</t>
  </si>
  <si>
    <t>Муфта ТК 26х1"вн. / 26х3/4"вн. / 26х3/4"нар.</t>
  </si>
  <si>
    <t>26,1</t>
  </si>
  <si>
    <t>Тройник пром. ТК 16</t>
  </si>
  <si>
    <t>Тройник пром. ПП 20</t>
  </si>
  <si>
    <t>2,1</t>
  </si>
  <si>
    <t>Крестовина ТК 16</t>
  </si>
  <si>
    <t>27,6</t>
  </si>
  <si>
    <t>Уголок муфта ТК 16</t>
  </si>
  <si>
    <t>20,1</t>
  </si>
  <si>
    <t>Уголок муфта с крепл. ТК 16х1/2"</t>
  </si>
  <si>
    <t>14,7</t>
  </si>
  <si>
    <t>Уголок муфта ТК 20</t>
  </si>
  <si>
    <t>19,8</t>
  </si>
  <si>
    <t>Муфта переходная бр. 1"х3/4" / 1"х1/2"</t>
  </si>
  <si>
    <t>Муфта бр. 15мм</t>
  </si>
  <si>
    <t>Муфта бр. 20мм</t>
  </si>
  <si>
    <t>Муфта 25мм</t>
  </si>
  <si>
    <t>Пробка 1/2вн. / 1/2нар.</t>
  </si>
  <si>
    <t>105 / 10</t>
  </si>
  <si>
    <t>Пробка бронза 1/2вн. / 1/2нар.</t>
  </si>
  <si>
    <t>3/ 5</t>
  </si>
  <si>
    <t>3,6</t>
  </si>
  <si>
    <t>Пробка радиаторная (футорка глухая) пр. / лев.</t>
  </si>
  <si>
    <t>7,5</t>
  </si>
  <si>
    <t>Нипель радиаторный 32мм</t>
  </si>
  <si>
    <t>5,1</t>
  </si>
  <si>
    <t>Отвод 15мм кован.</t>
  </si>
  <si>
    <t>Переход стальн. 108х89 / 135х108</t>
  </si>
  <si>
    <t>45,60 / 84.00</t>
  </si>
  <si>
    <t>Клапан муфт. бр. 3/4"</t>
  </si>
  <si>
    <t>Клапан муфт. бр. 1" / 1 1/2"</t>
  </si>
  <si>
    <t>42,00 / 50,40</t>
  </si>
  <si>
    <t>Клапан муфт. бр. подъемный 40мм 1 1/2"</t>
  </si>
  <si>
    <t>Клапан флан. чуг. подъемный 32мм РУ25 / 40мм РУ25</t>
  </si>
  <si>
    <t>Клапан флан. чуг. подъемный 40мм РУ16 / 50мм 2" РУ16</t>
  </si>
  <si>
    <t>Клапан флан. чуг. подъемный 50мм 2" РУ40</t>
  </si>
  <si>
    <t>Труба PPR 20х3,4 (dy-15)</t>
  </si>
  <si>
    <t>9,9</t>
  </si>
  <si>
    <t>Колено РР 110х90" / 110х45"</t>
  </si>
  <si>
    <t>Колено РР 50х90" / 50х45"</t>
  </si>
  <si>
    <t>3,3</t>
  </si>
  <si>
    <t>Редукции (чуг./пл.) 124х110 резина</t>
  </si>
  <si>
    <t>Тройник РР 110х110х90</t>
  </si>
  <si>
    <t>20,4</t>
  </si>
  <si>
    <t>Тройник РР 110х50х90</t>
  </si>
  <si>
    <t>Тройник РР 110х110х45</t>
  </si>
  <si>
    <t>Тройник РР 50х50х90 / 50х50х45</t>
  </si>
  <si>
    <t>Крестовина 50х50х90</t>
  </si>
  <si>
    <t>Крестовина РР 110х110х90</t>
  </si>
  <si>
    <t>33,9</t>
  </si>
  <si>
    <t>Заглушка РР 110мм / 50мм</t>
  </si>
  <si>
    <t>5,7 / 3,0</t>
  </si>
  <si>
    <t>Крепеж для умывальника / унитаза</t>
  </si>
  <si>
    <t>16 / 19</t>
  </si>
  <si>
    <t>7,50 / 3,30</t>
  </si>
  <si>
    <t>Крепеж для труб ПХВ 110мм (компл.) / 50мм (компл.)</t>
  </si>
  <si>
    <t>5,7 / 3,9</t>
  </si>
  <si>
    <t>Крепеж труб метал. 110 (компл.) / 50мм (компл.)</t>
  </si>
  <si>
    <t>17,70 / 8,40</t>
  </si>
  <si>
    <t>Штуцер бр. 3/4 (20мм) н./вн.</t>
  </si>
  <si>
    <t>8,1</t>
  </si>
  <si>
    <t>Штуцер бр. 1/2 (20мм) н.</t>
  </si>
  <si>
    <t>Штуцер бр. 1/2 (16мм) н.</t>
  </si>
  <si>
    <t>4,8</t>
  </si>
  <si>
    <t>Штуцер бр. 1/2 (12мм) н. / внутр. Р.</t>
  </si>
  <si>
    <t>Штуцер бр. 1/2 (10мм) нар. Резьба. / внутр.</t>
  </si>
  <si>
    <t>Штуцер бр. 1/2 (8мм) нар. Резьба. / внутр.</t>
  </si>
  <si>
    <t>Замок навесной 50мм</t>
  </si>
  <si>
    <t>Замок навесной 70мм</t>
  </si>
  <si>
    <t>Замок гаражный</t>
  </si>
  <si>
    <t>Шпингалет врезной дверной</t>
  </si>
  <si>
    <t>Петля окон. 85мм лев./прав.</t>
  </si>
  <si>
    <t>20 / 19</t>
  </si>
  <si>
    <t>Петля дверная 100мм прав./лев.</t>
  </si>
  <si>
    <t>Петля дверная 110мм прав.оц. / лев.оц.</t>
  </si>
  <si>
    <t>37 / 74</t>
  </si>
  <si>
    <t>Петля дверная 110мм прав./лев.</t>
  </si>
  <si>
    <t>8 / 24</t>
  </si>
  <si>
    <t>Петля дверная 110мм обмедненная прав.</t>
  </si>
  <si>
    <t>Петля дверная 110мм обмедненная лев.</t>
  </si>
  <si>
    <t>Петля дверная 140мм прав. оцинк.</t>
  </si>
  <si>
    <t>Петля дверная 140мм прав./лев.</t>
  </si>
  <si>
    <t>68 / 90</t>
  </si>
  <si>
    <t>Ручка дверная большая (металл+ПХВ)</t>
  </si>
  <si>
    <t>Ручка дверная малая (металл)</t>
  </si>
  <si>
    <t>Изолента ПХВ 20м</t>
  </si>
  <si>
    <t>Изолента ПХВ имп</t>
  </si>
  <si>
    <t>Знак аварийной остановки в футляре</t>
  </si>
  <si>
    <t>Метла дереза</t>
  </si>
  <si>
    <t>28,75</t>
  </si>
  <si>
    <t>Веник сорго широкий</t>
  </si>
  <si>
    <t>Ганчір'я трикотаж б/п / (Білизна бавовна)</t>
  </si>
  <si>
    <t>Скотч 45мм (300м) прозрачный</t>
  </si>
  <si>
    <t>97,30</t>
  </si>
  <si>
    <t>Стретч пленка 500мм (300м) черный</t>
  </si>
  <si>
    <t>Шпагат капроновый (1,6кг)</t>
  </si>
  <si>
    <t>Канат сезалевый 23мм</t>
  </si>
  <si>
    <t>21,30</t>
  </si>
  <si>
    <t>Клей "88" 100мл</t>
  </si>
  <si>
    <t>Клей Момент 125мл</t>
  </si>
  <si>
    <t>Клей Момент 30мл</t>
  </si>
  <si>
    <t>Клей Супер момент</t>
  </si>
  <si>
    <t>Герметик термостойкий (красный) туб-125мл</t>
  </si>
  <si>
    <t>99,60</t>
  </si>
  <si>
    <t>Силикон проз.</t>
  </si>
  <si>
    <t>Лента "ФУМ" 19мм х 15м х 0,2мм</t>
  </si>
  <si>
    <t>моток</t>
  </si>
  <si>
    <t>Відро будівельне 12л.</t>
  </si>
  <si>
    <t>Відро будівельне 16л.</t>
  </si>
  <si>
    <t>Мешок п/п</t>
  </si>
  <si>
    <t>9,20</t>
  </si>
  <si>
    <t>Вантус</t>
  </si>
  <si>
    <t>30,90</t>
  </si>
  <si>
    <t>Сетка-фильтр латунная</t>
  </si>
  <si>
    <t>м.кв.</t>
  </si>
  <si>
    <t>1,2</t>
  </si>
  <si>
    <t>Рукав напорный резин. металлокорд МБС d=6х16мм(2,2х2шт+3,7х3шт)</t>
  </si>
  <si>
    <t>15,5</t>
  </si>
  <si>
    <t>РУКАВ ПНЕВМАТИЧИЙ ПН-18-1,5 (16А)</t>
  </si>
  <si>
    <t>Рукав напорно-всас. резиновый МБС d=38мм (20м+х10м )</t>
  </si>
  <si>
    <t>Трубка поливинилхлоридная прозр. 6х1</t>
  </si>
  <si>
    <t>Паронит ПОН - 0,8мм</t>
  </si>
  <si>
    <t>1,1</t>
  </si>
  <si>
    <t>Паронит ПОН - 5мм (1,77х2,2м)</t>
  </si>
  <si>
    <t>Паронит ПМБ - 0,5-0,6мм</t>
  </si>
  <si>
    <t>Паронит ПМБ - 2,0мм (6лх2,7кг)</t>
  </si>
  <si>
    <t>152,00</t>
  </si>
  <si>
    <t>Паронит ПМБ - 2,5мм (4л х около 3,5кг)</t>
  </si>
  <si>
    <t>Резина (техпластина) МБС 3мм / 4мм</t>
  </si>
  <si>
    <t>Резина (техпластина) ИРП 1,5мм (300х300мм-9шт)</t>
  </si>
  <si>
    <t>1,45</t>
  </si>
  <si>
    <t>Резина (техпластина) ТМКЩ 2мм / 3мм / 4мм</t>
  </si>
  <si>
    <t>Резина (техпластина) ИРП 20мм (250х250)</t>
  </si>
  <si>
    <t>5,3</t>
  </si>
  <si>
    <t>Резина (техпластина) ТМКЩ 20мм (0,9х0,58м)</t>
  </si>
  <si>
    <t>12,5</t>
  </si>
  <si>
    <t>Резина губчатая 5мм</t>
  </si>
  <si>
    <t>0,4</t>
  </si>
  <si>
    <t>Фторопласт кругляк d=10мм</t>
  </si>
  <si>
    <t>0,62</t>
  </si>
  <si>
    <t>470,00</t>
  </si>
  <si>
    <t>Фторопласт кругляк d=13мм L=140мм х2шт</t>
  </si>
  <si>
    <t>0,16</t>
  </si>
  <si>
    <t>Фторопласт кругляк d=24мм</t>
  </si>
  <si>
    <t>459,00</t>
  </si>
  <si>
    <t>Фторопласт кругляк d=25мм</t>
  </si>
  <si>
    <t>Фторопласт кругляк d=32мм L=140мм</t>
  </si>
  <si>
    <t>0,2</t>
  </si>
  <si>
    <t>Фторопласт кругляк d=36мм L=345мм</t>
  </si>
  <si>
    <t>0,77</t>
  </si>
  <si>
    <t>Фторопласт кругляк d=37мм L=100мм</t>
  </si>
  <si>
    <t>0,3 / 0,2</t>
  </si>
  <si>
    <t>Фторопласт кругляк d=41мм L=330мм</t>
  </si>
  <si>
    <t>0,9</t>
  </si>
  <si>
    <t>Фторопласт кругляк d=42мм L=330мм</t>
  </si>
  <si>
    <t>Фторопласт кругляк d=71мм L=30мм</t>
  </si>
  <si>
    <t>0,25</t>
  </si>
  <si>
    <t>Фторопласт кругляк d=200мм L=52мм (2штх3.75кг)</t>
  </si>
  <si>
    <t>Фторопластовое втулка d=59х36мм L=122мм</t>
  </si>
  <si>
    <t>0,8</t>
  </si>
  <si>
    <t>Фторопластовое втулка d=73х37мм L=105мм (1штх0,7кг)</t>
  </si>
  <si>
    <t>0,7</t>
  </si>
  <si>
    <t>Фторопластовое втулка d=90х60мм L=57мм (1шт)</t>
  </si>
  <si>
    <t>0,36</t>
  </si>
  <si>
    <t>Фторопластовое втулка d=95х75мм L=50мм / d=95х75мм L=74мм</t>
  </si>
  <si>
    <t>0,3 / 0,75</t>
  </si>
  <si>
    <t>Фторопластовый квадрат 6х6мм</t>
  </si>
  <si>
    <t>3,4</t>
  </si>
  <si>
    <t>Фторопласт листовой 2,0мм 380х330мм (1лх0,6кг)</t>
  </si>
  <si>
    <t>0,6</t>
  </si>
  <si>
    <t>280,00</t>
  </si>
  <si>
    <t>Фторопласт листовой 2,5мм 250х180мм (1лх0,2кг)</t>
  </si>
  <si>
    <t>Фторопласт листовой 2,5мм 250х250мм (1лх0.25кг)</t>
  </si>
  <si>
    <t>Фторопласт листовой 3,0мм 240х160мм (1лх0.25кг)</t>
  </si>
  <si>
    <t>Фторопласт листовой 8,0мм 280х290мм (1лх1,4кг)</t>
  </si>
  <si>
    <t>1,4</t>
  </si>
  <si>
    <t>Фторопластовая лента Ф4 марка ПН 0,4х90мм (2 рул по 6,5кг)</t>
  </si>
  <si>
    <t>Фторопласт с графитом (черный)квадрат 52х52 L150 / L240</t>
  </si>
  <si>
    <t>0,8 / 1,25</t>
  </si>
  <si>
    <t>Фторопластовые прокладки (кольца)</t>
  </si>
  <si>
    <t>1,3</t>
  </si>
  <si>
    <t>Фторопластовые круги разные 2мм (d100-140мм)</t>
  </si>
  <si>
    <t>Капролон кругляк d=32мм L=72мм (10штх0,07кг)</t>
  </si>
  <si>
    <t>0,70</t>
  </si>
  <si>
    <t>Текстолит кругляк d=57мм L=270мм</t>
  </si>
  <si>
    <t>1,0</t>
  </si>
  <si>
    <t>Текстолит кругляк d=60мм L=80мм / d=60мм L=125мм</t>
  </si>
  <si>
    <t>0,3 / 0,5</t>
  </si>
  <si>
    <t>Стеклоткань тонкая (ширина 0,9м)</t>
  </si>
  <si>
    <t>Стеклоткань плотная (ширина 0,9м)</t>
  </si>
  <si>
    <t>Окись хрома</t>
  </si>
  <si>
    <t>Смазка графитовая (банка 0,8кг)</t>
  </si>
  <si>
    <t>банка</t>
  </si>
  <si>
    <t>Смазка ЛИТОЛ 24 (банка 0,8кг)</t>
  </si>
  <si>
    <t>Смазка ЦИАТИМ 201 / 203 (банка 0,8кг)</t>
  </si>
  <si>
    <t>Смазка ЦИАТИМ 221 (банка 0,8кг)</t>
  </si>
  <si>
    <t>Смазка СОЛИДОЛ-Ж (банка 0,8кг)</t>
  </si>
  <si>
    <t>130,00</t>
  </si>
  <si>
    <t>ВД-40 (банка 200мл)</t>
  </si>
  <si>
    <t>ВД-40 (банка 400мл)</t>
  </si>
  <si>
    <t>МИЛО ГОСПОДАРСЬКЕ Любиме 200г</t>
  </si>
  <si>
    <t>Мыло хозяйственное белое 72% 200гр. (1ящ х120шт)</t>
  </si>
  <si>
    <t>25,60</t>
  </si>
  <si>
    <t>Мыло туалетное</t>
  </si>
  <si>
    <t>15,50</t>
  </si>
  <si>
    <t>Helper засіб для миття посуду 495мл</t>
  </si>
  <si>
    <t>36,30</t>
  </si>
  <si>
    <t>Средство моющее "Доместос" 0,5л</t>
  </si>
  <si>
    <t>48,90</t>
  </si>
  <si>
    <t>Гель для унитазов ЕЖ 800мл</t>
  </si>
  <si>
    <t>Паста для мытья рук "Автомастер" 550г</t>
  </si>
  <si>
    <t>27,50</t>
  </si>
  <si>
    <t>Белизна 1л.</t>
  </si>
  <si>
    <t>19,50</t>
  </si>
  <si>
    <t>Пакет для мусора 35л</t>
  </si>
  <si>
    <t>17,50</t>
  </si>
  <si>
    <t>Пакет для мусора 60л</t>
  </si>
  <si>
    <t>Бумага туалетная Обухов (48)</t>
  </si>
  <si>
    <t>Освежитель воздуха</t>
  </si>
  <si>
    <t>64,75</t>
  </si>
  <si>
    <t>Каска стр.-монт.</t>
  </si>
  <si>
    <t>Рукавицы брезентовые</t>
  </si>
  <si>
    <t>пара</t>
  </si>
  <si>
    <t>Рукавицы брезентовые 2-й наладонник</t>
  </si>
  <si>
    <t>дог</t>
  </si>
  <si>
    <t>Перчатки рабочие трикотаж з ПВХ-крапкою (оранжевые)(арт.132) 47гр.</t>
  </si>
  <si>
    <t>18,30 з пдв</t>
  </si>
  <si>
    <t>Рукавицы для сварщика кожа "Краги"</t>
  </si>
  <si>
    <t>Перчатки резиновые хоз.</t>
  </si>
  <si>
    <t>Перчатки резиновые синие</t>
  </si>
  <si>
    <t>Перчатки масло-бензостойкие МБС (красные)</t>
  </si>
  <si>
    <t>Перчатки резиновые с внутр. напылением, тип "Латекс" ХL (синие)</t>
  </si>
  <si>
    <t>Перчатки спилка</t>
  </si>
  <si>
    <t>Перчатки рабочие кожа желтые</t>
  </si>
  <si>
    <t>Респиратор с клапаном паралон У-2К (полумаска-защита от пыли и аэрозолей)</t>
  </si>
  <si>
    <t>Респиратор лепесток</t>
  </si>
  <si>
    <t>Респиратор угольный РУ-60М</t>
  </si>
  <si>
    <t>Очки защитные закрытые силикон.</t>
  </si>
  <si>
    <t>28,80</t>
  </si>
  <si>
    <t>Очки защитные открытые стекло</t>
  </si>
  <si>
    <t>39,0</t>
  </si>
  <si>
    <t>Противогаз Ф313, Ф528</t>
  </si>
  <si>
    <t>МТП - 1М 0 - 2,5 кг/см2</t>
  </si>
  <si>
    <t>МТП - 1М 0 - 6 кг/см2</t>
  </si>
  <si>
    <t>МТП - 1М 0 - 10 кг/см2</t>
  </si>
  <si>
    <t>МТП - 1М 0 - 16 кг/см2</t>
  </si>
  <si>
    <t>МТП - 1М 0 - 40 кг/см2</t>
  </si>
  <si>
    <t>МТП - 1М 0 - 60 кг/см2</t>
  </si>
  <si>
    <t>МТП - 1М (МТ) 0 - 100 кг/см2</t>
  </si>
  <si>
    <t>МТП - 1М 0 - 160 кг/см2</t>
  </si>
  <si>
    <t>МТП - 100 0 - 1 кг/см2</t>
  </si>
  <si>
    <t>ОБМ 1 - 100 0 - 1,6 кг/см2 / 0-6кг/см2</t>
  </si>
  <si>
    <t>МТП - 100 0 - 2,5 кг/см2</t>
  </si>
  <si>
    <t>МТП - 100 0 - 4 кг/см2</t>
  </si>
  <si>
    <t>ДМ - 100 0 - 16 кг/см2 (1,6МРа)</t>
  </si>
  <si>
    <t>МТП - 160 0 - 2,5 кг/см2 / МТИ 160 0 - 2,5 кг/см2</t>
  </si>
  <si>
    <t>8 / 3</t>
  </si>
  <si>
    <t>KFM - 160 0 - 4кг/см2</t>
  </si>
  <si>
    <t>МП4-У - 160 0 - 6кг/см2 / ОБМ1 - 160Б 0 - 6кг/см2</t>
  </si>
  <si>
    <t>TGL - 160 0 - 10кг/см2 (1,0МРа)</t>
  </si>
  <si>
    <t>KFM - 160 0 - 40кг/см2</t>
  </si>
  <si>
    <t>МТП / МП4У - 160 0 - 100 кг/см2 (10МРа)</t>
  </si>
  <si>
    <t>Манометр МП5-250мм 0 - 10кг/см2</t>
  </si>
  <si>
    <t>Манометр М-250мм 0 - 40кг/см2</t>
  </si>
  <si>
    <t>ЕКМ - 1У 0 - 100кг/см2</t>
  </si>
  <si>
    <t>ЕКМ - 1У 0 - 250кг/см2 = 25МРа</t>
  </si>
  <si>
    <t>Мановакумметр МВТПСд - 100 - ОМ2 R12 (-1-15кг/см2)</t>
  </si>
  <si>
    <t>Термометр ртутн. технический -20 - +20*</t>
  </si>
  <si>
    <t>Термометр ртутн. лабор. 0 - +50*</t>
  </si>
  <si>
    <t>Термометр ртутн. лабор. 0 - +55*</t>
  </si>
  <si>
    <t>Термометр ртутн. лабор. 0 - +100*</t>
  </si>
  <si>
    <t>Термометр ртутн. лабор. 50 - +100*</t>
  </si>
  <si>
    <t>Термометр ртутн. лабор. 0 - +360*</t>
  </si>
  <si>
    <t>Ареометр для спирта АСП-1 (Диапазон измер. 0-105%) Общая длина 350 мм</t>
  </si>
  <si>
    <t>Цепь приводная ролик. ПР - 15,875 шир. 17мм (1,65м.х18шт)</t>
  </si>
  <si>
    <t>29,7</t>
  </si>
  <si>
    <t>Цепь приводная ролик. ПР - 19,05-2500 (4,5м)</t>
  </si>
  <si>
    <t>4,5</t>
  </si>
  <si>
    <t>Цепь приводная ролик. ПР - 19,05-2500 (5,0м)</t>
  </si>
  <si>
    <t>Цепь приводная ролик. ПР - 25,4 (рамер валика 16х16мм)(4шт по 1,75м)</t>
  </si>
  <si>
    <t>3,5</t>
  </si>
  <si>
    <t>Цепь приводная ролик. ПР - 35,0-5000 (5,0м)</t>
  </si>
  <si>
    <t>Замок цепи в ком-те 15.875</t>
  </si>
  <si>
    <t>Замок цепи в ком-те 25.4</t>
  </si>
  <si>
    <t>Замок цепи в ком-те 44.45</t>
  </si>
  <si>
    <t>Набивка сальниковая плетенная графитовая АП - 31 4х4мм</t>
  </si>
  <si>
    <t>Набивка сальниковая плетенная графитовая АП - 31 5х5мм</t>
  </si>
  <si>
    <t>Набивка сальниковая плетенная графитовая АП - 31 32х32мм</t>
  </si>
  <si>
    <t>Набивка сальниковая плетенная графитовая АП - 31 35х35мм</t>
  </si>
  <si>
    <t>Набивка сальниковая плетенная графитовая АП - 31 43х43мм</t>
  </si>
  <si>
    <t>Набивка сальниковая плетенная графитовая ХБП 10х10мм</t>
  </si>
  <si>
    <t>Набивка сальниковая плетенная графитовая ХБП 12х12мм</t>
  </si>
  <si>
    <t>Набивка сальниковая плетенная графитовая ХБП 28х28мм</t>
  </si>
  <si>
    <t>Набивка сальниковая плетенная графитовая ХБП 50х50мм</t>
  </si>
  <si>
    <t>Набивка сальниковая плетенная графитовая ЛП 32х32мм</t>
  </si>
  <si>
    <t>Набивка сальниковая плетенная графитовая ЛП 34х34мм</t>
  </si>
  <si>
    <t>Шнур асбестовый 2мм (бухта около 2,5кг)</t>
  </si>
  <si>
    <t>Шнур асбестовый 4мм (бухта 2,3кг) / 5мм (бухта 2,8кг)</t>
  </si>
  <si>
    <t>2,3 / 2,8</t>
  </si>
  <si>
    <t>Сальник 16х30</t>
  </si>
  <si>
    <t>Сальник 20х40</t>
  </si>
  <si>
    <t>9,30</t>
  </si>
  <si>
    <t>Сальник 28х47</t>
  </si>
  <si>
    <t>Сальник 30х52</t>
  </si>
  <si>
    <t>Сальник 30х50</t>
  </si>
  <si>
    <t>Сальник 32х47х10</t>
  </si>
  <si>
    <t>Сальник 35х55х10</t>
  </si>
  <si>
    <t>11,10</t>
  </si>
  <si>
    <t>Сальник 38х58х10</t>
  </si>
  <si>
    <t>Сальник 45х65х10</t>
  </si>
  <si>
    <t>15,90</t>
  </si>
  <si>
    <t>Сальник 50х70х10 +</t>
  </si>
  <si>
    <t>Сальник 60х85х10</t>
  </si>
  <si>
    <t>Сальник 65х80х10</t>
  </si>
  <si>
    <t>Сальник 65х90х10</t>
  </si>
  <si>
    <t>Сальник 75х100</t>
  </si>
  <si>
    <t>Сальник 80х105</t>
  </si>
  <si>
    <t>Сальник 85х110</t>
  </si>
  <si>
    <t>Сальник 90х120</t>
  </si>
  <si>
    <t>Сальник 100х125</t>
  </si>
  <si>
    <t>Сальник 110х135</t>
  </si>
  <si>
    <t>Кольцо резин. 18х14х2 / 16х10х3 / 27х20х3,5</t>
  </si>
  <si>
    <t>40 / 1 / 1</t>
  </si>
  <si>
    <t>Кольцо резин. 34х24х5 / 37х30х3,5 / 43х38х2,5</t>
  </si>
  <si>
    <t>7,50</t>
  </si>
  <si>
    <t>Кольцо резин. 59х45х7 / 74х62х6 / 82х72х5</t>
  </si>
  <si>
    <t>1 / 96 / 1</t>
  </si>
  <si>
    <t>Кольцо резин. 127х120х3,5 / 139х130х4,5</t>
  </si>
  <si>
    <t>Кольцо графитовое 65х51х6</t>
  </si>
  <si>
    <t>Лом изогнутый 1200мм</t>
  </si>
  <si>
    <t>Ствол пожарный ПС-Б 50мм</t>
  </si>
  <si>
    <t>Ствол пожарный ПС-А 70мм</t>
  </si>
  <si>
    <t>Головка муфтовая ГМ - 50мм вн.резьба</t>
  </si>
  <si>
    <t>Головка рукавная ГР - 50 / ГР - 70мм (Богданова)</t>
  </si>
  <si>
    <t>2 / 25</t>
  </si>
  <si>
    <t>Ключ рожковый (безискровой) 9х11</t>
  </si>
  <si>
    <t>Ключ рожковый (безискровой) 17х19</t>
  </si>
  <si>
    <t>Ключ рожковый (безискровой) 32х36</t>
  </si>
  <si>
    <t>Ключ рожковый (безискровой) 41х46</t>
  </si>
  <si>
    <t>Ключ рожковый (безискровой) 46х50</t>
  </si>
  <si>
    <t>Хомут 10 - 16мм оц</t>
  </si>
  <si>
    <t>12 - 20мм оц</t>
  </si>
  <si>
    <t>16 - 27мм оц</t>
  </si>
  <si>
    <t>20 - 32мм нерж</t>
  </si>
  <si>
    <t>23 - 35мм оц</t>
  </si>
  <si>
    <t>25 - 40мм оц / нерж</t>
  </si>
  <si>
    <t>28 - 48мм оц</t>
  </si>
  <si>
    <t>32 - 50мм нерж</t>
  </si>
  <si>
    <t>38 - 58мм оц</t>
  </si>
  <si>
    <t>44 - 64мм оц</t>
  </si>
  <si>
    <t>50 - 70мм нерж</t>
  </si>
  <si>
    <t>Ремень клиновой О (Z) - 500</t>
  </si>
  <si>
    <t>Ремень клиновой О (Z) - 530</t>
  </si>
  <si>
    <t>Ремень клиновой О (Z) - 560</t>
  </si>
  <si>
    <t>Ремень клиновой О (Z) - 630</t>
  </si>
  <si>
    <t>Ремень клиновой О (Z) - 900</t>
  </si>
  <si>
    <t>Ремень клиновой О (Z) - 950</t>
  </si>
  <si>
    <t>Ремень клиновой О (Z) - 1018</t>
  </si>
  <si>
    <t>Ремень клиновой О (Z) - 1120</t>
  </si>
  <si>
    <t>Ремень клиновой О (Z) - 1280</t>
  </si>
  <si>
    <t>Ремень клиновой О (Z) - 1600</t>
  </si>
  <si>
    <t>Ремень клиновой О (Z) - 2120</t>
  </si>
  <si>
    <t>Ремень клиновой А - 710</t>
  </si>
  <si>
    <t>Ремень клиновой А - 850</t>
  </si>
  <si>
    <t>Ремень клиновой А - 1500</t>
  </si>
  <si>
    <t>Ремень клиновой А - 1750</t>
  </si>
  <si>
    <t>Ремень клиновой А - 1900</t>
  </si>
  <si>
    <t>Ремень клиновой А - 2500</t>
  </si>
  <si>
    <t>Ремень клиновой А - 2550</t>
  </si>
  <si>
    <t>Ремень клиновой А - 2800</t>
  </si>
  <si>
    <t>Ремень клиновой А - 2850</t>
  </si>
  <si>
    <t>Ремень клиновой Б(В) - 710</t>
  </si>
  <si>
    <t>Ремень клиновой Б(В) - 750</t>
  </si>
  <si>
    <t>Ремень клиновой Б(В) - 900</t>
  </si>
  <si>
    <t>Ремень клиновой Б(В) - 937</t>
  </si>
  <si>
    <t>Ремень клиновой Б(В) - 1120</t>
  </si>
  <si>
    <t>Ремень клиновой Б(В) - 1180</t>
  </si>
  <si>
    <t>Ремень клиновой Б(В) - 1320</t>
  </si>
  <si>
    <t>Ремень клиновой Б(В) - 1900</t>
  </si>
  <si>
    <t>Ремень клиновой Б(В) - 2120</t>
  </si>
  <si>
    <t>Ремень клиновой Б(В) - 2360</t>
  </si>
  <si>
    <t>Ремень клиновой Б(В) (SPB) - 4000</t>
  </si>
  <si>
    <t>Ремень клиновой В(С) - 710</t>
  </si>
  <si>
    <t>Ремень клиновой В(С) - 800</t>
  </si>
  <si>
    <t>Ремень клиновой В(С) - 950</t>
  </si>
  <si>
    <t>Ремень клиновой В(С) - 1000</t>
  </si>
  <si>
    <t>Ремень клиновой В(С) - 1800</t>
  </si>
  <si>
    <t>Ремень клиновой В(С) - 2120</t>
  </si>
  <si>
    <t>Ремень клиновой В(С) - 2360</t>
  </si>
  <si>
    <t>Ремень клиновой В(С) - 2600</t>
  </si>
  <si>
    <t>Ремень клиновой В(С) - 2650</t>
  </si>
  <si>
    <t>Ремень клиновой В(С) - 2900</t>
  </si>
  <si>
    <t>Ремень клиновой В(С) - 3150</t>
  </si>
  <si>
    <t>Ремень клиновой В(С) - 3350</t>
  </si>
  <si>
    <t>Ремень клиновой В(С) - 3585</t>
  </si>
  <si>
    <t>Ремень клиновой В(С) - 4350</t>
  </si>
  <si>
    <t>Ремень клиновой В(С) - 4500</t>
  </si>
  <si>
    <t>Ремень клиновой В(С) - 5000</t>
  </si>
  <si>
    <t>Ремень клиновой В(С) - 5300</t>
  </si>
  <si>
    <t>Ремень клиновой В(С) - 5600</t>
  </si>
  <si>
    <t>Ремень клиновой Г(D) - 3150</t>
  </si>
  <si>
    <t>Ремень клиновой Г(D) - 3475</t>
  </si>
  <si>
    <t>Гвоздь 20мм (3кгх4шт)</t>
  </si>
  <si>
    <t>Гвоздь 25мм (3х3+(10кгх3шт)+8+9кг)</t>
  </si>
  <si>
    <t>Гвоздь 32мм (3кгх4шт+13+2кг)</t>
  </si>
  <si>
    <t>Гвоздь 40мм (20кгх3шт+10кгх2+3кгх5)</t>
  </si>
  <si>
    <t>Гвоздь 50мм</t>
  </si>
  <si>
    <t>Гвоздь 60мм (3х3)</t>
  </si>
  <si>
    <t>Гайка 4</t>
  </si>
  <si>
    <t>Гайка 5</t>
  </si>
  <si>
    <t>6,2</t>
  </si>
  <si>
    <t>Гайка 6оц</t>
  </si>
  <si>
    <t>Гайка 8</t>
  </si>
  <si>
    <t>Гайка 10</t>
  </si>
  <si>
    <t>Гайка 12</t>
  </si>
  <si>
    <t>Гайка 12оц.</t>
  </si>
  <si>
    <t>Гайка 14</t>
  </si>
  <si>
    <t>Гайка 16</t>
  </si>
  <si>
    <t>Гайка 16оц.</t>
  </si>
  <si>
    <t>Гайка 18</t>
  </si>
  <si>
    <t>Гайка 20</t>
  </si>
  <si>
    <t>Гайка 22 / 24</t>
  </si>
  <si>
    <t>8,5 / 36,5</t>
  </si>
  <si>
    <t>Гайка 24х1,5оц</t>
  </si>
  <si>
    <t>Гайка 27оц. / 30оц.</t>
  </si>
  <si>
    <t>Гайка 30</t>
  </si>
  <si>
    <t>Гайка 36оц.</t>
  </si>
  <si>
    <t>Гайка 42</t>
  </si>
  <si>
    <t>Шайба гровер 4оц</t>
  </si>
  <si>
    <t>Шайба гровер 5</t>
  </si>
  <si>
    <t>Шайба гровер 6</t>
  </si>
  <si>
    <t>Шайба гровер 8</t>
  </si>
  <si>
    <t>Шайба гровер 12</t>
  </si>
  <si>
    <t>Шайба гровер 16</t>
  </si>
  <si>
    <t>Шайба гровер 16оц.</t>
  </si>
  <si>
    <t>13,5</t>
  </si>
  <si>
    <t>Шайба гровер 18 / 20</t>
  </si>
  <si>
    <t>69,7 / 35,5</t>
  </si>
  <si>
    <t>Шайба гровер 20оц.</t>
  </si>
  <si>
    <t>Шайба гровер 24оц.</t>
  </si>
  <si>
    <t>17,5</t>
  </si>
  <si>
    <t>Шайба гровер 27</t>
  </si>
  <si>
    <t>11,5</t>
  </si>
  <si>
    <t>Шайба плоская 5</t>
  </si>
  <si>
    <t>Шайба плоская 6</t>
  </si>
  <si>
    <t>Шайба плоская 8</t>
  </si>
  <si>
    <t>Шайба плоская 10</t>
  </si>
  <si>
    <t>Шайба плоская 12</t>
  </si>
  <si>
    <t>Шайба плоская 12оц.</t>
  </si>
  <si>
    <t>Шайба плоская бронзовая 12</t>
  </si>
  <si>
    <t>0,5</t>
  </si>
  <si>
    <t>Шайба плоская 14</t>
  </si>
  <si>
    <t>Шайба плоская 16</t>
  </si>
  <si>
    <t>Шайба плоская 18 / 20</t>
  </si>
  <si>
    <t>17 / 7</t>
  </si>
  <si>
    <t>Шайба плоская 22 / 24</t>
  </si>
  <si>
    <t>3,2 / 28</t>
  </si>
  <si>
    <t>Шайба плоская 30</t>
  </si>
  <si>
    <t>60,5</t>
  </si>
  <si>
    <t>Шайба плоская 30оц / 36оц</t>
  </si>
  <si>
    <t>1 / 14</t>
  </si>
  <si>
    <t>Шайба стопорная многолапчатая 12, 16, 24, 30, 42мм</t>
  </si>
  <si>
    <t>Болт 5х35 / 6х25</t>
  </si>
  <si>
    <t>7,5 / 21,5</t>
  </si>
  <si>
    <t>Болт 6х35 (20)</t>
  </si>
  <si>
    <t>Болт 6х35(20)оц. / 6х40оц</t>
  </si>
  <si>
    <t>8,5 / 0,5</t>
  </si>
  <si>
    <t>Болт 6х45 (20)</t>
  </si>
  <si>
    <t>51,5</t>
  </si>
  <si>
    <t>Болт 8х16 / 8х45</t>
  </si>
  <si>
    <t>91 / 1</t>
  </si>
  <si>
    <t>Болт 8х16 оц. (5,8)</t>
  </si>
  <si>
    <t>Болт 8х50(25)оц.</t>
  </si>
  <si>
    <t>Болт 8х60 (30)</t>
  </si>
  <si>
    <t>Болт 8х120 (20)</t>
  </si>
  <si>
    <t>43,50</t>
  </si>
  <si>
    <t>Болт 10х20</t>
  </si>
  <si>
    <t>Болт 10х20оц (5,8)</t>
  </si>
  <si>
    <t>Болт 10х25</t>
  </si>
  <si>
    <t>Болт 10х30</t>
  </si>
  <si>
    <t>Болт 10х30 оц.</t>
  </si>
  <si>
    <t>Болт 10х35</t>
  </si>
  <si>
    <t>Болт 10х40оц.</t>
  </si>
  <si>
    <t>6,5</t>
  </si>
  <si>
    <t>Болт 10х35 нарийный (квадрат)</t>
  </si>
  <si>
    <t>Болт 10х40 (25)</t>
  </si>
  <si>
    <t>Болт 10х45 (30)</t>
  </si>
  <si>
    <t>Болт 10х50 (25) / 10х55(45)</t>
  </si>
  <si>
    <t>51,5 / 133</t>
  </si>
  <si>
    <t>Болт 10х45оц. / 10х50(30)оц (5,8)/ 10х60 (30) оц.</t>
  </si>
  <si>
    <t>1 / 3,5 / 27</t>
  </si>
  <si>
    <t>Болт 10х60 (30) / 10х70(35)</t>
  </si>
  <si>
    <t>214,5 / 94</t>
  </si>
  <si>
    <t>Болт 10х80 (30) / 10х90 (30)</t>
  </si>
  <si>
    <t>51,5 / 54</t>
  </si>
  <si>
    <t>Болт 10х80(30)оц</t>
  </si>
  <si>
    <t>Болт 10х100 (30)</t>
  </si>
  <si>
    <t>Болт 12х25оц.</t>
  </si>
  <si>
    <t>168,5</t>
  </si>
  <si>
    <t>Болт 12х25</t>
  </si>
  <si>
    <t>Болт 12х30</t>
  </si>
  <si>
    <t>Болт 12х30 оц (т5,8)</t>
  </si>
  <si>
    <t>Болт 12х35</t>
  </si>
  <si>
    <t>Болт 12х40</t>
  </si>
  <si>
    <t>Болт 12х45 / 12х45 (30)</t>
  </si>
  <si>
    <t>24 / 75,5</t>
  </si>
  <si>
    <t>Болт 12х40оц (т5,8) / 12х45 (25) оц. (т5,8)</t>
  </si>
  <si>
    <t>9 / 129</t>
  </si>
  <si>
    <t>Болт 12х50 (30) / 12х50 с гайкой</t>
  </si>
  <si>
    <t>354 / 41</t>
  </si>
  <si>
    <t>Болт 12х50 (35)оц. / 12х50 (25)оц. / 12х55 (25)оц.</t>
  </si>
  <si>
    <t>550 / 1,4 / 1,2</t>
  </si>
  <si>
    <t>Болт 12х55</t>
  </si>
  <si>
    <t>Болт 12х55 (30)</t>
  </si>
  <si>
    <t>Болт 12х60</t>
  </si>
  <si>
    <t>127,5</t>
  </si>
  <si>
    <t>Болт 12х60(30)оц (т5,8)</t>
  </si>
  <si>
    <t>Болт 12х80 (30)</t>
  </si>
  <si>
    <t>Болт 12х80(35)оц (т5,8) / 12х90(30)оц (т5,8)</t>
  </si>
  <si>
    <t>5 / 5,5</t>
  </si>
  <si>
    <t>Болт 12х90 (35) / 12х110</t>
  </si>
  <si>
    <t>61 / 4</t>
  </si>
  <si>
    <t>Болт 14х45 (35)</t>
  </si>
  <si>
    <t>154,5</t>
  </si>
  <si>
    <t>Болт 14х50 (35)</t>
  </si>
  <si>
    <t>Болт 14х50оц.</t>
  </si>
  <si>
    <t>Болт 14х55</t>
  </si>
  <si>
    <t>Болт 14х70(40) / 14х75</t>
  </si>
  <si>
    <t>0,5 / 30</t>
  </si>
  <si>
    <t>Болт 14х90(50)</t>
  </si>
  <si>
    <t>Болт 16х35</t>
  </si>
  <si>
    <t>Болт 16х40 / 16х45</t>
  </si>
  <si>
    <t>3 / 116</t>
  </si>
  <si>
    <t>Болт 16х40оц. / 16х50оц. (т5,8)</t>
  </si>
  <si>
    <t>13 / 2,2</t>
  </si>
  <si>
    <t>Болт 16х50(40)оц.</t>
  </si>
  <si>
    <t>Болт 16х60 (40мм)</t>
  </si>
  <si>
    <t>Болт 16х60оц. / 16х70 (40)оц.</t>
  </si>
  <si>
    <t>0,5 / 174</t>
  </si>
  <si>
    <t>Болт 16х65 (35)</t>
  </si>
  <si>
    <t>Болт 16х70 (35) (т8,8) / 16х70 оц 8,8 / 16х80 оц. (т8,8)</t>
  </si>
  <si>
    <t>24 / 2,2 / 0,5</t>
  </si>
  <si>
    <t>Болт 16х70 (35)оц / 16х70 (45)оц (т5,8)</t>
  </si>
  <si>
    <t>48 / 13</t>
  </si>
  <si>
    <t>Болт 16х80 (40)оц. (т5,8)</t>
  </si>
  <si>
    <t>Болт 16х85 (40)оц. / 16х90 (45)оц.</t>
  </si>
  <si>
    <t>2,4 / 7,6</t>
  </si>
  <si>
    <t>Болт 16х120 (40)оц. (т8,8) / 16х130 (45)оц. (т8,8)</t>
  </si>
  <si>
    <t>12 / 10</t>
  </si>
  <si>
    <t>Болт 18х60</t>
  </si>
  <si>
    <t>Болт 18х60 оц (т8,8)</t>
  </si>
  <si>
    <t>Болт 20х45оц / 20х60(40)оц.</t>
  </si>
  <si>
    <t>1,7 / 77</t>
  </si>
  <si>
    <t>Болт 20х70 оц (т8,8)</t>
  </si>
  <si>
    <t>2,3</t>
  </si>
  <si>
    <t>Болт 20х70(45)оц.</t>
  </si>
  <si>
    <t>Болт 20х90(45-70)</t>
  </si>
  <si>
    <t>Болт 20х75(40) оц / 20х90(45)оц</t>
  </si>
  <si>
    <t>3,4 / 1,7</t>
  </si>
  <si>
    <t>Болт 20х100 (50)</t>
  </si>
  <si>
    <t>Болт 20х100оц</t>
  </si>
  <si>
    <t>Болт 20х100(50)оц (т8,8)</t>
  </si>
  <si>
    <t>Болт 20х110(70)оц / 20х120 (55)оц</t>
  </si>
  <si>
    <t>39 / 5</t>
  </si>
  <si>
    <t>Болт 20х150 (60)оц</t>
  </si>
  <si>
    <t>Болт 20х160 (60)</t>
  </si>
  <si>
    <t>Болт 20х210 (70)оц (т8,8)</t>
  </si>
  <si>
    <t>Болт 22х70</t>
  </si>
  <si>
    <t>Болт 22х90 (55) / 22х100 (50)</t>
  </si>
  <si>
    <t>14 / 2,5</t>
  </si>
  <si>
    <t>Болт 22х140 (60)</t>
  </si>
  <si>
    <t>Болт 22х160 (60)оц (т8,8)</t>
  </si>
  <si>
    <t>9,5</t>
  </si>
  <si>
    <t>Болт 24х60(60) / 24х65(45)</t>
  </si>
  <si>
    <t>Болт 24х65 оц</t>
  </si>
  <si>
    <t>1,5</t>
  </si>
  <si>
    <t>Болт 24х75 (гайка+шайбы)оц / 24х85 (гайка+шайбы)оц</t>
  </si>
  <si>
    <t>Болт 24х80 (60)</t>
  </si>
  <si>
    <t>Болт 24х100оц (т8,8)</t>
  </si>
  <si>
    <t>Болт 24х120 (50)</t>
  </si>
  <si>
    <t>Болт 24х130 (65) / 24х150 (60)</t>
  </si>
  <si>
    <t>18 / 60</t>
  </si>
  <si>
    <t>Болт 24х160 (60) / 24х180 (60)</t>
  </si>
  <si>
    <t>7 / 67</t>
  </si>
  <si>
    <t>Болт 27х60</t>
  </si>
  <si>
    <t>Болт 27х70</t>
  </si>
  <si>
    <t>Болт 30х80 (гайка+шайбы)оц / 30х90 (гайка+шайбы)оц</t>
  </si>
  <si>
    <t>Болт 30х90 (60)=80шт</t>
  </si>
  <si>
    <t>Винт внутр. шестигранник 6х16мм / 6х50мм</t>
  </si>
  <si>
    <t>6,5 / 3,5</t>
  </si>
  <si>
    <t>Винт внутр. шестигранник 8х30мм</t>
  </si>
  <si>
    <t>Винт внутр. шестигранник 8х35мм</t>
  </si>
  <si>
    <t>Винт внутр. шестигранник 8х35мм оц</t>
  </si>
  <si>
    <t>17,3</t>
  </si>
  <si>
    <t>Винт внутр. шестигранник 8х45мм</t>
  </si>
  <si>
    <t>Винт внутр. шестигранник 8х50мм (30) / 8х70мм (25)</t>
  </si>
  <si>
    <t>41 / 28</t>
  </si>
  <si>
    <t>Винт внутр. шестигранник 8х80мм / 8х90мм</t>
  </si>
  <si>
    <t>18,5 / 7</t>
  </si>
  <si>
    <t>Винт внутр. шестигранник 10х16мм</t>
  </si>
  <si>
    <t>Винт внутр. шестигранник 10х20мм / 10х35оц</t>
  </si>
  <si>
    <t>43 / 1,2</t>
  </si>
  <si>
    <t>Винт внутр. шестигранник 10х45мм (35)</t>
  </si>
  <si>
    <t>Винт внутр. шестигранник 10х60мм (30)</t>
  </si>
  <si>
    <t>Винт внутр. шестигранник 10х80мм</t>
  </si>
  <si>
    <t>19,5</t>
  </si>
  <si>
    <t>Винт внутр. шестигранник 12х20мм / 12х25мм</t>
  </si>
  <si>
    <t>39 / 22</t>
  </si>
  <si>
    <t>Винт внутр. шестигранник 12х30мм / 12х40мм</t>
  </si>
  <si>
    <t>25 / 36,5</t>
  </si>
  <si>
    <t>Винт внутр. шестигранник 12х50мм / 12х55мм</t>
  </si>
  <si>
    <t>1 / 34</t>
  </si>
  <si>
    <t>Винт внутр. шестигранник 12х60мм / 12х65мм</t>
  </si>
  <si>
    <t>3,6 / 29</t>
  </si>
  <si>
    <t>Винт внутр. шестигранник 12х80мм</t>
  </si>
  <si>
    <t>Винт внутр. шестигранник 16х35мм / 16х40мм</t>
  </si>
  <si>
    <t>Винт внутр. шестигранник 16х45мм / 16х50мм</t>
  </si>
  <si>
    <t>19 / 33</t>
  </si>
  <si>
    <t>Винт внутр. шестигранник 16х60мм / 16х70мм</t>
  </si>
  <si>
    <t>32 / 48</t>
  </si>
  <si>
    <t>Винт внутр. шестигранник 16х80мм / 16х90мм</t>
  </si>
  <si>
    <t>6 / 47</t>
  </si>
  <si>
    <t>Винт внутр. шестигранник 16х100мм / 16х110 (с гол.120)мм</t>
  </si>
  <si>
    <t>33 / 8</t>
  </si>
  <si>
    <t>Винт внутр. шестигранник 20х50мм / 20х60мм</t>
  </si>
  <si>
    <t>44 / 47</t>
  </si>
  <si>
    <t>Винт внутр. шестигранник 20х70мм / 20х85мм</t>
  </si>
  <si>
    <t>Винт внутр. шестигранник 20х90мм / 20х130мм</t>
  </si>
  <si>
    <t>16,3 / 59</t>
  </si>
  <si>
    <t>Винт внутр. шестигранник 20х140мм</t>
  </si>
  <si>
    <t>Винт внутр. шестигранник 24х50мм / 24х70мм</t>
  </si>
  <si>
    <t>8,5 / 64</t>
  </si>
  <si>
    <t>Винт внутр. шестигранник 24х100мм / 24х130мм</t>
  </si>
  <si>
    <t>Винт 3х8оц. гол.п/круглая</t>
  </si>
  <si>
    <t>8,5</t>
  </si>
  <si>
    <t>Винт 4х20 (гол.потай)</t>
  </si>
  <si>
    <t>5,7</t>
  </si>
  <si>
    <t>Винт 4х8оц. / 4х12оц. (гол.п/круглая)</t>
  </si>
  <si>
    <t>20,9 / 46</t>
  </si>
  <si>
    <t>Винт 4х10 / 4х12 (гол.п/круглая)</t>
  </si>
  <si>
    <t>11 / 2,8</t>
  </si>
  <si>
    <t>Винт 4х25 (гол.п/круглая)</t>
  </si>
  <si>
    <t>Винт 5х12оц. (потай)</t>
  </si>
  <si>
    <t>52,0</t>
  </si>
  <si>
    <t>Винт 5х8 / 5х10 (гол.п/круглая)</t>
  </si>
  <si>
    <t>45 / 22</t>
  </si>
  <si>
    <t>Винт 5х30(15) оц.(гол.п/круглая)</t>
  </si>
  <si>
    <t>Винт 5х30 (15) / 5х35 / 5х40 (гол.п/круглая)</t>
  </si>
  <si>
    <t>4,5 / 2 / 6</t>
  </si>
  <si>
    <t>Винт 6х10 / 6х16оц (гол.п/круглая)</t>
  </si>
  <si>
    <t>1 / 15,8</t>
  </si>
  <si>
    <t>Винт 6х20 / 6х30 (20) (гол.п/круглая)</t>
  </si>
  <si>
    <t>3,3 / 20</t>
  </si>
  <si>
    <t>Винт 6х16 / 6х35 / 6х45 (гол.потай)</t>
  </si>
  <si>
    <t>4 / 3,6 / 4,5</t>
  </si>
  <si>
    <t>Винт 8х40 (гол.п/круглая)</t>
  </si>
  <si>
    <t>Винт 8х25 / 8х30 / 10х25 (потай)</t>
  </si>
  <si>
    <t>9 / 1,5 / 3</t>
  </si>
  <si>
    <t>РИМ болт оц. М10 / М12 / М16</t>
  </si>
  <si>
    <t>Шпилька оц. (стержень метричний) 6х1000</t>
  </si>
  <si>
    <t>Шпилька оц. (стержень метричний) 8х1000</t>
  </si>
  <si>
    <t>Шпилька оц. (стержень метричний) 10х1000</t>
  </si>
  <si>
    <t>Шпилька оц. 10х90</t>
  </si>
  <si>
    <t>Шпилька оц. (стержень метричний) 12х1000</t>
  </si>
  <si>
    <t>Шпилька бронзовая 12х100</t>
  </si>
  <si>
    <t>Шпилька оц. (стержень метричний) 22х1000</t>
  </si>
  <si>
    <t>Шпилька чорн. 24х110 / 36х200=7шт</t>
  </si>
  <si>
    <t>28 / 10</t>
  </si>
  <si>
    <t>Шплинт 1,6х16</t>
  </si>
  <si>
    <t>Шплинт 2х20оц</t>
  </si>
  <si>
    <t>0,12</t>
  </si>
  <si>
    <t>Шплинт 3х25</t>
  </si>
  <si>
    <t>1,7</t>
  </si>
  <si>
    <t>Шплинты в ассортименте</t>
  </si>
  <si>
    <t>Шпоночный квадрат 4х4мм</t>
  </si>
  <si>
    <t>Шпоночный квадрат 5х5мм</t>
  </si>
  <si>
    <t>Шпоночный квадрат 6х6мм</t>
  </si>
  <si>
    <t>43,4</t>
  </si>
  <si>
    <t>Шпоночный квадрат 8х8мм</t>
  </si>
  <si>
    <t>24,2</t>
  </si>
  <si>
    <t>Шпоночний маткріал 10х8, ст. 45</t>
  </si>
  <si>
    <t>Шпоночний маткріал 12х10, ст. 45</t>
  </si>
  <si>
    <t>190,00</t>
  </si>
  <si>
    <t>Шпоночний маткріал 14х9, ст. 45</t>
  </si>
  <si>
    <t>0,65</t>
  </si>
  <si>
    <t>Заклепка алюм. потай 4х15мм</t>
  </si>
  <si>
    <t>0,3</t>
  </si>
  <si>
    <t>Заклепка оц. 5х45мм</t>
  </si>
  <si>
    <t>Скоба такелажная 4т (20мм)</t>
  </si>
  <si>
    <t>Скоба такелажная 8,5т (25мм)</t>
  </si>
  <si>
    <t>Зажим троса 14мм</t>
  </si>
  <si>
    <t>Наконечник к маслонагнетателю</t>
  </si>
  <si>
    <t>Пресс-масленка колпачковая большая М14х1,5</t>
  </si>
  <si>
    <t>Пресс-масленка колпачковая средняя М14х1,5</t>
  </si>
  <si>
    <t>Пресс-масленка колпачковая малая М14х1,5</t>
  </si>
  <si>
    <t>Пресс-масленка М6х1прямая / М6х1 угловая 45*</t>
  </si>
  <si>
    <t>Пресс-масленка М8х1прямая / М8х1 угловая 90*</t>
  </si>
  <si>
    <t>Пресс-масленка М10х1прямая</t>
  </si>
  <si>
    <t>Пресс-масленка М10х1 угловая 90* / М10х1 угловая 45*</t>
  </si>
  <si>
    <t>256 / 50</t>
  </si>
  <si>
    <t>Автоматический вык-ль 1 фазн. Аско 32А</t>
  </si>
  <si>
    <t>Автоматический вык-ль 3 фазн. АЕ-2056 1,25А</t>
  </si>
  <si>
    <t>Автоматический вык-ль 3 фазн. АК63 3,2А</t>
  </si>
  <si>
    <t>Автоматический вык-ль 3 фазн. АЕ-2046 16А</t>
  </si>
  <si>
    <t>Автоматический вык-ль 3 фазн. АЕ-2066 16А</t>
  </si>
  <si>
    <t>Автоматический вык-ль 3 фазн. АЕ-2046 20А</t>
  </si>
  <si>
    <t>378,00</t>
  </si>
  <si>
    <t>Автоматический вык-ль 3 фазн. АЕ-2056 63А</t>
  </si>
  <si>
    <t>Автоматический вык-ль 3 фазн. А-3716 63А</t>
  </si>
  <si>
    <t>931,00</t>
  </si>
  <si>
    <t>Автоматический вык-ль 3 фазн. А-3716 80А</t>
  </si>
  <si>
    <t>Автоматический вык-ль 3 фазн. АЕ-2056 100А</t>
  </si>
  <si>
    <t>Автоматический вык-ль 3 фазн. А-3716 125А</t>
  </si>
  <si>
    <t>Автоматический вык-ль 3 фазн. ВА-51-33 125А</t>
  </si>
  <si>
    <t>Автоматический вык-ль 3 фазн. АВ-3003-200А</t>
  </si>
  <si>
    <t>Пускатель магнитный ПМЕ - 071 (кат.220В)</t>
  </si>
  <si>
    <t>Пускатель магнитный ПМА-012 (кат.380)</t>
  </si>
  <si>
    <t>Пускатель магнитный ПМЛ - 1100 (кат.110В / 220В)</t>
  </si>
  <si>
    <t>Пускатель магнитный ПМЛ - 1100 (кат.220В) с тепл. реле РТЛ</t>
  </si>
  <si>
    <t>Пускатель магнитный ПМЕ - 111-10А (кат. 380В )</t>
  </si>
  <si>
    <t>Пускатель магнитный П 6-111-10А (кат.220В)</t>
  </si>
  <si>
    <t>Пускатель магнитный с защитным устройством ПМЛ-1631</t>
  </si>
  <si>
    <t>Пускатель магнитный П6 - 121 -10А (закрытый) (кат.220В / кат.380В)</t>
  </si>
  <si>
    <t>16 / 11</t>
  </si>
  <si>
    <t>Пускатель магнитный ПМЕ -122-10А в мет. Корпусе (кат.220В / кат.380В)</t>
  </si>
  <si>
    <t>Пускатель магнитный ПМЕ -112-10А с тепл. реле. (кат. 36В)</t>
  </si>
  <si>
    <t>Пускатель магнитный ПМЕ -132 в мет. Корпусе (кат.380В)</t>
  </si>
  <si>
    <t>Пускатель магнитный ПМЕ - 211-25А (кат. 380В)</t>
  </si>
  <si>
    <t>Пускатель магнитный ПАЛ - 2100</t>
  </si>
  <si>
    <t>Пускатель магнитный ПМЛ - 2100-25А (220В)</t>
  </si>
  <si>
    <t>Пускатель магнитный ПМА - 310-40А (кат. 380В)</t>
  </si>
  <si>
    <t>Пускатель магнитный ПАЕ - 312-40А (кат. 220В)</t>
  </si>
  <si>
    <t>Пускатель магнитный ПАЕ - 311 (кат. 220В)</t>
  </si>
  <si>
    <t>Пускатель магнитный ПАЕ - 300 (кат. 380В)</t>
  </si>
  <si>
    <t>Пускатель магнитный ПМЛ - 4100 - 63А (кат. 220В)</t>
  </si>
  <si>
    <t>Пускатель магнитный КМИ - 48512 - 63А (кат. 220В)</t>
  </si>
  <si>
    <t>Пускатель магнитный ПМ4 - 65А (кат. 220В)</t>
  </si>
  <si>
    <t>Пускатель магнитный ПМА - 4100 - 63А (кат. 220В / кат. 380В)</t>
  </si>
  <si>
    <t>Пускатель магнитный BST - 5LS -80A -5велич. (кат. 380В) в мет. корпусе</t>
  </si>
  <si>
    <t>Рубильник разрывной ВР 32-31 (100А) 220В</t>
  </si>
  <si>
    <t>Реле тепловое ТРН - 10 (0,32А / 0.5А / 1.5А / 2.5А / 4А )</t>
  </si>
  <si>
    <t>3 / 1/1 / 2 / 2</t>
  </si>
  <si>
    <t>Реле тепловое РТЛ - 1004 / 1005</t>
  </si>
  <si>
    <t>Реле тепловое РТЛ - 2053</t>
  </si>
  <si>
    <t>Катушка ПМЕ 200 - 110В</t>
  </si>
  <si>
    <t>Реле поплавковое РМ-51</t>
  </si>
  <si>
    <t>Реле промежуточное РП 23-25</t>
  </si>
  <si>
    <t>Реле времени пневматическое РВП 72М-3221 660В 16А кат.36В / 220в</t>
  </si>
  <si>
    <t>Реле указательное в разьеме РУ-21-УХЛЗ 24В / РУ-21-УХЛЗ 36В</t>
  </si>
  <si>
    <t>Устройство пусковое защитно-отключающее 380В 4.5кВт 25А (30ПУ-25)</t>
  </si>
  <si>
    <t>Концевой выключатель ВПК 2110 БУ2</t>
  </si>
  <si>
    <t>Концевой выключатель ВП 15Д21Б (211) 54У2,3</t>
  </si>
  <si>
    <t>Концевой выключатель ВП 16П123 Б23 16А</t>
  </si>
  <si>
    <t>Концевой выключатель ВП 19М21 5411-67У2 10А</t>
  </si>
  <si>
    <t>Концевой выключатель ВПВ-4</t>
  </si>
  <si>
    <t>Концевой выключатель ВК 200Г</t>
  </si>
  <si>
    <t>Концевой выключатель ВК 300Г</t>
  </si>
  <si>
    <t>Концевой выключатель МП 1305-ЛУ2-10А / МП3 380В 3А / МП1303-2ЛУ2</t>
  </si>
  <si>
    <t>3 / 2 / 4</t>
  </si>
  <si>
    <t>Концевой выключатель МП 1306-ЛУ2-исп1 / МП 2303-ЛУ2-исп91</t>
  </si>
  <si>
    <t>5 / 41</t>
  </si>
  <si>
    <t>Концевой выключатель МП 120 -3ухл3</t>
  </si>
  <si>
    <t>Концевой выключатель КУ-123-13 (380В)</t>
  </si>
  <si>
    <t>Концевой выключатель КУ-701</t>
  </si>
  <si>
    <t>Концевой микропереключатель МП 1105 ПУХЛ3-10А</t>
  </si>
  <si>
    <t>Концевой микропереключатель МП 1107 ПУХЛ3-10А</t>
  </si>
  <si>
    <t>Концевой микропереключатель МП 2102 У4-10А</t>
  </si>
  <si>
    <t>Кнопка КЕ 121 (синяя)</t>
  </si>
  <si>
    <t>Кнопка ВК 1421 (красная)</t>
  </si>
  <si>
    <t>Кнопка КЕ 201 (красная) (грибок)</t>
  </si>
  <si>
    <t>Кнопка КЕ 021 УЗ 10А внутр (красная) грибок / (черная)грибок</t>
  </si>
  <si>
    <t>21 / 13</t>
  </si>
  <si>
    <t>Кнопка КЕ 181 У2 10А (красная, черная)</t>
  </si>
  <si>
    <t>Кнопка КЕ 181 У2 10А (желтая, зеленая)</t>
  </si>
  <si>
    <t>Кнопка КЕ 011 6А (желтая / красная)</t>
  </si>
  <si>
    <t>Кнопка КМЕ 4101 10А (черная / красная) / КМЕ 4211</t>
  </si>
  <si>
    <t>6 / 6 / 2</t>
  </si>
  <si>
    <t>Кнопка ПКЕ 112-2У3 (пуск-стоп) внутр. .</t>
  </si>
  <si>
    <t>Кнопка ПКЕ 121-1У2 (пуск-стоп) внутр.</t>
  </si>
  <si>
    <t>Кнопка ПКЕ 612-2У3 (пуск-стоп) внут. / КМ3-2мет. Нар.</t>
  </si>
  <si>
    <t>Кнопка ПКЕ 212-1У3 нар. в карбол. корпусе</t>
  </si>
  <si>
    <t>66,90</t>
  </si>
  <si>
    <t>Кнопка ПКЕ 222-1У2 (черная) / (красная)закр.нар.</t>
  </si>
  <si>
    <t>11 / 9</t>
  </si>
  <si>
    <t>Кнопка ПКЕ 222-3У2 (стоп / 2пуск) закр.нар. в карб. Корпусе</t>
  </si>
  <si>
    <t>Кнопка ПКЕ 212-3У2 (стоп / 2пуск) закр.нар. в карб. корпусе</t>
  </si>
  <si>
    <t>Кнопка ПКЕ 112-17 (стоп / 2пуск) откр.</t>
  </si>
  <si>
    <t>Кнопка КУ 122-3У2 (пуск-2 / стоп) внутр</t>
  </si>
  <si>
    <t>Кнопка КУ 122-383 (пуск / стоп) нар. в мет. корпусе</t>
  </si>
  <si>
    <t>Кнопка КУ 121-1М( стоп)</t>
  </si>
  <si>
    <t>Кнопка КМ3-2-У3</t>
  </si>
  <si>
    <t>Пульт кнопочный ПКТ 40-У2 (4 кнопок)</t>
  </si>
  <si>
    <t>Трансформатор ОСМ-1 0.4кВт 380/12В</t>
  </si>
  <si>
    <t>Трансформатор ТАН-60 220/50В</t>
  </si>
  <si>
    <t>Трансформатор ОСОВ-0.25кВт 380/36В</t>
  </si>
  <si>
    <t>Трансформатор ОСМ-1 0.25кВт 380/82В</t>
  </si>
  <si>
    <t>Трансформатор ТБСЗ-1 0.063кВт 220/5/24В</t>
  </si>
  <si>
    <t>Дроссель для ламп ДРЛ - 250 (закр.+откр)</t>
  </si>
  <si>
    <t>Дроссель для ламп ДРЛ - 400 (закр)</t>
  </si>
  <si>
    <t>Светильник РСП-05-700</t>
  </si>
  <si>
    <t>Светильник Н4БН-150</t>
  </si>
  <si>
    <t>Светильник НББ-64-100</t>
  </si>
  <si>
    <t>Светильник Селена-32-100Вт</t>
  </si>
  <si>
    <t>Светильник Ватра</t>
  </si>
  <si>
    <t>Светильник станочный влагозащищенный НКПО4-60 (24В/ 60Вт)</t>
  </si>
  <si>
    <t>Светильник 4х36</t>
  </si>
  <si>
    <t>Электропаяльник 220В 65Вт / 80Вт</t>
  </si>
  <si>
    <t>Электропаяльник ЭМП 220В 100Вт "топорик"</t>
  </si>
  <si>
    <t>Включатель внутренний</t>
  </si>
  <si>
    <t>Включатель внутренний 2-х кл.</t>
  </si>
  <si>
    <t>Включатель наружный 1 кл.</t>
  </si>
  <si>
    <t>Доза внутренняя</t>
  </si>
  <si>
    <t>2,10</t>
  </si>
  <si>
    <t>Патрон керамический Е40</t>
  </si>
  <si>
    <t>Патрон керамический Е27</t>
  </si>
  <si>
    <t>Патрон подвесной Е27</t>
  </si>
  <si>
    <t>Вилка 220В с заземлением</t>
  </si>
  <si>
    <t>Розетка внутренняя с заземлением</t>
  </si>
  <si>
    <t>Розетка 220 в наружная с заз.</t>
  </si>
  <si>
    <t>Разьем кабельний ШГП 10А 250В</t>
  </si>
  <si>
    <t>Разьем кабельний КАТЕК 16А 380В</t>
  </si>
  <si>
    <t>Разьем кабельный с заземлением ШРЭ-16Б 250 / 380В 16А наружной установки</t>
  </si>
  <si>
    <t>Разьем кабельный с заземлением ШРЭ-16 250 /380В 16А внутренней устан.</t>
  </si>
  <si>
    <t>Розетка с вилкой В40-40А 250 В</t>
  </si>
  <si>
    <t>Переключатель ПЕ 011 / ПК 13-2113</t>
  </si>
  <si>
    <t>2 / 21</t>
  </si>
  <si>
    <t>Переключатель ПВ 3-10-10А</t>
  </si>
  <si>
    <t>Переключатель ПВ 3-16-16А</t>
  </si>
  <si>
    <t>Переключатель ПВ 3-25-25А</t>
  </si>
  <si>
    <t>Переключатель ПВП 14-27-380/25А или 220/40А</t>
  </si>
  <si>
    <t>Переключатель ПВ 3-60-60А</t>
  </si>
  <si>
    <t>Переключатель ПВ 3-100-100А</t>
  </si>
  <si>
    <t>Тумблер 2ПН-20 20А 27В</t>
  </si>
  <si>
    <t>Тумблер 2ПП-45 20А 27В</t>
  </si>
  <si>
    <t>Тумблер АЗС-15 К21 15А 27В</t>
  </si>
  <si>
    <t>Тумблер АЗС-30 30А 27В</t>
  </si>
  <si>
    <t>Тумблер</t>
  </si>
  <si>
    <t>Ваттметр Д360-100кВт / Ц301 - 12кВт</t>
  </si>
  <si>
    <t>Вольтметр Э8032 500В / 750В (80х80х50)</t>
  </si>
  <si>
    <t>Вольтметр М381ПЕР 500В / ПОСТ</t>
  </si>
  <si>
    <t>Амперметр Э 378 -40А пер</t>
  </si>
  <si>
    <t>Амперметр Э8032-М1 100А пост / пер</t>
  </si>
  <si>
    <t>Амперметр М151 150А / 300А</t>
  </si>
  <si>
    <t>Амперметр 600А</t>
  </si>
  <si>
    <t>Электросекундомер ПВ53Щ 110/220В</t>
  </si>
  <si>
    <t>Сирена влагозащищенная ВСС-3 (220В)</t>
  </si>
  <si>
    <t>Ревун РВФ24 -24В</t>
  </si>
  <si>
    <t>Щетки графитовые</t>
  </si>
  <si>
    <t>Мегоометр</t>
  </si>
  <si>
    <t>Тестер Ц-4313 / Ц-435</t>
  </si>
  <si>
    <t>Мультиметр цифровой DT700C, 8 функций+зумер</t>
  </si>
  <si>
    <t>327,00</t>
  </si>
  <si>
    <t>Клещи электроизмерительные Ц-90</t>
  </si>
  <si>
    <t>Громкоговоритель НТ-220-101 100-120В 20Вт</t>
  </si>
  <si>
    <t>Наконечник алюм. 35мм/кв</t>
  </si>
  <si>
    <t>Наконечник алюм. 50мм/кв</t>
  </si>
  <si>
    <t>Наконечник алюм. 75мм/кв</t>
  </si>
  <si>
    <t>Наконечник алюм. 95мм/кв</t>
  </si>
  <si>
    <t>Наконечник медный 200мм/кв</t>
  </si>
  <si>
    <t>Наконечник медный 280мм/кв</t>
  </si>
  <si>
    <t>Кабель АВВГ 3х4 + 1х2,5</t>
  </si>
  <si>
    <t>Кабель КВВГЭ 5х1,0 (многожил.)</t>
  </si>
  <si>
    <t>50. Э Л Е К Т Р О И Н Т Р У М Е Н Т</t>
  </si>
  <si>
    <t>Шліфмашина кутова VAG10, 1050Вт, 125мм</t>
  </si>
  <si>
    <t>Насос на станине К8/18) без ел.двиг.</t>
  </si>
  <si>
    <t>Насос масляный Г12-32 (68Мпа)</t>
  </si>
  <si>
    <t>Насос ручной БКФ-4</t>
  </si>
  <si>
    <t>999,00</t>
  </si>
  <si>
    <t>Лампа ЛБ - 18</t>
  </si>
  <si>
    <t>Лампа ЛД - 30</t>
  </si>
  <si>
    <t>Лампа ЛБ - 80</t>
  </si>
  <si>
    <t>Лампа ДРЛ - 250 Е40</t>
  </si>
  <si>
    <t>Лампа МО 12В 40Вт</t>
  </si>
  <si>
    <t>Тигель алундовый 50х100</t>
  </si>
  <si>
    <t>Тигель алундовый 65х125</t>
  </si>
  <si>
    <t>Тигель алундовый 68х135</t>
  </si>
  <si>
    <t>Лист нержав. пищевой 2мм (2.5х1.5м)</t>
  </si>
  <si>
    <t>лист</t>
  </si>
  <si>
    <t>Лист нержав. пищевой 3.5мм</t>
  </si>
  <si>
    <t>Лист медный 1мм</t>
  </si>
  <si>
    <t>3,55</t>
  </si>
  <si>
    <t>Круг нержав. пищевой d30мм</t>
  </si>
  <si>
    <t>Круг бронзовый d10мм</t>
  </si>
  <si>
    <t>Круг бронзовый d14мм (1,5м)</t>
  </si>
  <si>
    <t>Прут 6-ти гранный бронзовый 10мм (108см) / (105см) / (23см)</t>
  </si>
  <si>
    <t>0,95/0,93/0,15</t>
  </si>
  <si>
    <t>Прут 6-ти гранный бронзовый 27мм (80мм)</t>
  </si>
  <si>
    <t>Круг дюралеалюминиевый Д16Т d50мм</t>
  </si>
  <si>
    <t>0,75</t>
  </si>
  <si>
    <t>Круг дюралеалюминиевый Д16Т d60мм (L370мм)</t>
  </si>
  <si>
    <t>2,75</t>
  </si>
  <si>
    <t>Круг алюминиевый d25мм</t>
  </si>
  <si>
    <t>1,95</t>
  </si>
  <si>
    <t>Круг алюминиевый d38мм</t>
  </si>
  <si>
    <t>Труба алюминиевая 18х2,7 тверд. (2,8м)</t>
  </si>
  <si>
    <t>Труба алюминиевая 50х3,0 тверд. (1,28м)</t>
  </si>
  <si>
    <t>НАЙМЕНУВАННЯ</t>
  </si>
  <si>
    <t>Одиниця виміру</t>
  </si>
  <si>
    <t>Кіль-ть</t>
  </si>
  <si>
    <t>Ціна без ПДВ</t>
  </si>
  <si>
    <t>1. МАЛА МЕХАНІЗАЦІЯ</t>
  </si>
  <si>
    <t>3. СВАРОЧНЕ ОБЛАДНАННЯ</t>
  </si>
  <si>
    <t>19. НОЖІ І ПЛАСТИНИ ДО ФРЕЗ/РІЗЦІВ</t>
  </si>
  <si>
    <t>20. РОЗВЕРТКИ, ЗЕНКЕРА, ЗЕНКОВКИ,ЦЕКОВИКИ</t>
  </si>
  <si>
    <t>21. ОПРАВКИ ГОЛОВКИ РОЗТОЧНІ, ВТУЛКИ ЦЕНТРА</t>
  </si>
  <si>
    <t>22. ВИМІРЮВАЛЬНИЙ ІНСТРУМЕНТ</t>
  </si>
  <si>
    <t>23. ФРЕЗИ ВІДРІЗНІ ДИСКОВІ Р6М5</t>
  </si>
  <si>
    <t>24. ФРЕЗИ ШПОНОЧНІ (2-Х ПЕРІ) Р6М5</t>
  </si>
  <si>
    <t>25. ФРЕЗА ЧЕРВ'ЯЧНА, ШЛІЦЕВІ Р6М5</t>
  </si>
  <si>
    <t>26. ФРЕЗА КІНЦЕВА Р6М5</t>
  </si>
  <si>
    <t>27. ФРЕЗА ДИСКОВА 3-Х СТОРОН Р6М5</t>
  </si>
  <si>
    <t>28. ФРЕЗА ДИСКОВА, ПАЗОВА, ТОРЦЕНАСАДНА</t>
  </si>
  <si>
    <t>29. ФРЕЗА ТВЕРДОСПЛАВНА</t>
  </si>
  <si>
    <t>30. БОРФРЕЗА. ФРЕЗА Т-ОБРАЗНА, СЕГМЕН, ПАЗОВА</t>
  </si>
  <si>
    <t>31. МІТЧИКИ</t>
  </si>
  <si>
    <t>32. ПАТРОНИ ТОКАРНІ, СВЕРДЛИЛЬНІ, ЦАНГИ, РОЗД ГОЛОВКИ</t>
  </si>
  <si>
    <t>33. ПЛАШКИ, КЛУПИ, РОЛИКИ, ГРЕБІНКИ</t>
  </si>
  <si>
    <t>34. ВОРОТКИ, ПЛАШКОТРИМАЧІ, ПАТРОНИ РІЗЬБОНАРІЗНІ</t>
  </si>
  <si>
    <t>35. САНТЕХНІКА</t>
  </si>
  <si>
    <t>36. ХОЗТОВАРИ</t>
  </si>
  <si>
    <t>38. ХІМТОВАРИ</t>
  </si>
  <si>
    <t>39. ПОБУТОВА ХІМІЯ</t>
  </si>
  <si>
    <t>40. СПЕЦОДЯГ</t>
  </si>
  <si>
    <t>41. МАНОМЕТРИ, ТЕРМОМЕТРИ, АРЕОМЕТРИ</t>
  </si>
  <si>
    <t>42. ЛАНЦЮГИ ПРИВОДНІ</t>
  </si>
  <si>
    <t>43. НАБИВКА</t>
  </si>
  <si>
    <t>44. САЛЬНИКИ, КІЛЬЦЯ НАРІЗНІ</t>
  </si>
  <si>
    <t>46. ХОМУТИ</t>
  </si>
  <si>
    <t>47. РЕМЕНІ КЛИНОВІ (ТЕХСТРОПИ) І ЛАНЦЮГИ</t>
  </si>
  <si>
    <t>48. ЦВЯХИ</t>
  </si>
  <si>
    <t>49. МЕТИЗИ, ШПОНКА, ШПЛІНТ СКОБИ</t>
  </si>
  <si>
    <t>50. ЕЛЕКТРОТОВАРИ, ЕЛЕКТРООБЛАДНАННЯ</t>
  </si>
  <si>
    <t>51. ЕЛЕКТРОІНСТРУСМЕНТ</t>
  </si>
  <si>
    <t>52. НАСОСИ, КОМПРЕСОРИ</t>
  </si>
  <si>
    <t>53. ЛАМПИ</t>
  </si>
  <si>
    <t>54. ТИГЕЛЯ</t>
  </si>
  <si>
    <t>55. КОЛЬОРОВИЙ МЕТАЛ</t>
  </si>
  <si>
    <t>Купуємо неліквіди - 777-2325, 738-55-40, 067-4830014</t>
  </si>
  <si>
    <t>45. ПОЖЕЖНИЙ ІНВЕНТАР</t>
  </si>
  <si>
    <t>Расточная оправка конус ИСО45 d55-90мм. Резец 16х16</t>
  </si>
  <si>
    <t>1</t>
  </si>
  <si>
    <t>Расточная оправка конус ИСО45 d65-120мм. Резец 16х16</t>
  </si>
  <si>
    <t>Расточная оправка конус ИСО45 d200-400мм. Резец 12х12</t>
  </si>
  <si>
    <t>Прилад для регулиіровки зазорів "Жигулі"</t>
  </si>
  <si>
    <t>8</t>
  </si>
  <si>
    <t>4</t>
  </si>
  <si>
    <t>Расточная оправка конус ИСО50 d82-100мм. Резец пластина т/с ромб</t>
  </si>
  <si>
    <t>Расточная оправка с микроподачей резца, ИСО50 d45-60мм. L240. Резец  10х10мм</t>
  </si>
  <si>
    <t>Расточная оправка с микроподачей резца ИСО50 d90-125мм. L140. Резец  16х16мм</t>
  </si>
  <si>
    <t>Расточная оправка с микроподачей резца ИСО50 d150-180мм. L180. Резец  20х20мм</t>
  </si>
  <si>
    <t>Расточная оправка с микроподачей резца ИСО50 d75-95мм. L140. Резец  12х12мм</t>
  </si>
  <si>
    <t>6. / 3 / 2</t>
  </si>
  <si>
    <t>Расточная оправка с механ. подач. різьця ИСО50 d80-120мм. L140. пластина т/с 3х гр.</t>
  </si>
  <si>
    <t>44. САЛЬНИКИ, КІЛЬЦЯ гумові</t>
  </si>
  <si>
    <t>19. ПЛАСТИНИ І НОЖІ Т/с ДО ФРЕЗ/РІЗЦІВ</t>
  </si>
  <si>
    <t xml:space="preserve">47. РЕМЕНІ КЛИНОВІ (ТЕХСТРОПИ) </t>
  </si>
  <si>
    <t>108 / 2</t>
  </si>
  <si>
    <t>13. / 2</t>
  </si>
  <si>
    <t>37. / 4</t>
  </si>
  <si>
    <t>6. / 2</t>
  </si>
  <si>
    <r>
      <t xml:space="preserve">Расточная оправка с микроподачей резца конус ИСО45 </t>
    </r>
    <r>
      <rPr>
        <sz val="8"/>
        <color theme="4" tint="-0.249977111117893"/>
        <rFont val="Calibri"/>
        <family val="2"/>
        <charset val="204"/>
      </rPr>
      <t>d30-130мм. Резец d24мм</t>
    </r>
  </si>
  <si>
    <t>Зубомір індикаторно-мікрометричний ЗІМ 16 (1-16) вжив.</t>
  </si>
  <si>
    <t>20. РОЗГОРТКИ</t>
  </si>
  <si>
    <t>Зінківки, зенкера, цековки</t>
  </si>
  <si>
    <t>Фреза 2-х стор. 60х20</t>
  </si>
  <si>
    <t>за домовл.</t>
  </si>
  <si>
    <t>34. ВОРОТКИ, ПЛАШКО-МІТЧИКОТРИМАЧІ</t>
  </si>
  <si>
    <t>МАЛА МЕХАНІЗАЦІЯ, ЛЕЩАТА, СТАНОЧНЕ ОБЛАДНАННЯ</t>
  </si>
  <si>
    <t>32. ПАТРОНИ ТОКАРНІ, СВЕРДЛИЛЬНІ, РІЗЬБОНАРІЗНІ, ЦАНГИ</t>
  </si>
  <si>
    <t>1. ЕЛЕКТРОТОВАРИ, ЕЛЕКТРООБЛАДНАННЯ</t>
  </si>
  <si>
    <t>2. ЕЛЕКТРОІНСТРУСМЕНТ</t>
  </si>
  <si>
    <t>3. НАСОСИ, КОМПРЕСОРИ</t>
  </si>
  <si>
    <t>4. ТИГЕЛЯ</t>
  </si>
  <si>
    <t>5. КОЛЬОРОВИЙ МЕТАЛ</t>
  </si>
  <si>
    <t>Мікрометр гладкий МК 150-175 мало вжив.</t>
  </si>
  <si>
    <t>Мітчик М - 8х1</t>
  </si>
  <si>
    <t xml:space="preserve">Нутромір індикаторний НІ 10-20мм ГДР Кл.1 (0,002) підвищ. точності, моло вжив. </t>
  </si>
  <si>
    <t>Оправка подовжена для торцових і торценасадних фрез ИСО50 d40мм L120мм</t>
  </si>
  <si>
    <t>Оправлення (оправка) до тоцових, торценасадних фрез КМ5 на d32мм</t>
  </si>
  <si>
    <t>Розточна оправка 70-100мм  різець 16х16мм, посадка 32мм</t>
  </si>
  <si>
    <t>Расточна оправка КМ3 (d22-30мм), різець 5мм т/славний, моло вжив.</t>
  </si>
  <si>
    <t>Расточная оправка с мех. подачей резца ИСО50, расточка 63-100мм, платины т/с ромб</t>
  </si>
  <si>
    <t>Свердло 7,0 Р6М5А1</t>
  </si>
  <si>
    <t>КУТОМІР MITUTOYO (Японія), оригінал. Код 180-907, CMST2-12C. Новий</t>
  </si>
  <si>
    <t>3. Ельборовий різець-вставка</t>
  </si>
  <si>
    <t>Виконуючий пристрій МИС-1100, 380В</t>
  </si>
  <si>
    <t>1 /2.</t>
  </si>
  <si>
    <t>10. /1</t>
  </si>
  <si>
    <t>7 / 15.</t>
  </si>
  <si>
    <t>Кулачки прямі 200мм, ширина 28мм, шаг 8мм, паз 10мм</t>
  </si>
  <si>
    <t>Гирі загальногого призначення 4-го класу</t>
  </si>
  <si>
    <t>0/0</t>
  </si>
  <si>
    <t>15 (7)</t>
  </si>
  <si>
    <t>1 / 1.</t>
  </si>
  <si>
    <t>Свердло 7,0 Р6М5К5</t>
  </si>
  <si>
    <t>48,5 / 133</t>
  </si>
  <si>
    <t>2. / 4 / 1</t>
  </si>
  <si>
    <t>6,5 / 37,5</t>
  </si>
  <si>
    <t>3,2 / 27</t>
  </si>
  <si>
    <t>ЩІТКА СТАЛЕВА латунована, ручка пластикова, 1 ряд</t>
  </si>
  <si>
    <t>Кутомір індикаторний, Німеччина (ГДР), новий, 180*, 5"</t>
  </si>
  <si>
    <t>0</t>
  </si>
  <si>
    <r>
      <t xml:space="preserve">Расточна оправка с микроподачей резца </t>
    </r>
    <r>
      <rPr>
        <b/>
        <sz val="7"/>
        <color rgb="FFFF0000"/>
        <rFont val="Calibri"/>
        <family val="2"/>
        <charset val="204"/>
      </rPr>
      <t>К ИСО50</t>
    </r>
    <r>
      <rPr>
        <sz val="7"/>
        <color rgb="FFFF0000"/>
        <rFont val="Calibri"/>
        <family val="2"/>
        <charset val="204"/>
      </rPr>
      <t xml:space="preserve"> d100-180, d180-270, d270-360. Резец d8мм, т/с квадрат</t>
    </r>
  </si>
  <si>
    <t>Реле ППР2 контакти 25А 220В</t>
  </si>
  <si>
    <t>Магазин опорів ММЭС-Р4831 (опір від 0,021-111111,1 Ом)</t>
  </si>
  <si>
    <t>Призма повірочна Mahr Німеччина (120х120х60мм), комплект із 2шт. Близькі до П2-2</t>
  </si>
  <si>
    <t>упак</t>
  </si>
  <si>
    <t>Термометр ртутний техничний кутовий TТ 0- +160*С</t>
  </si>
  <si>
    <t>17. / 1</t>
  </si>
  <si>
    <t>Бієнімер ПБ-250мм ЧИЗ</t>
  </si>
  <si>
    <t>Оправка контрольна, "скалка" КМ2 d30 L90mm</t>
  </si>
  <si>
    <t>Оправка контрольна, "скалка" КМ5 d30 L90mm</t>
  </si>
  <si>
    <t>Оправка контрольна, "скалка" КМ6 d30 L90mm</t>
  </si>
  <si>
    <t>Оправка контрольна, "скалка" КМ2 d24 L245(155)mm</t>
  </si>
  <si>
    <t>Мікрометричний упор до станка, мало вживаний</t>
  </si>
  <si>
    <t>Кутник лікальний плитка УЛ 100х60мм, Кл.1, ЛИЗ</t>
  </si>
  <si>
    <t>Припой ПОС-60  (8мм, 1шт=190г)</t>
  </si>
  <si>
    <t>Індикатор с демпфирующим устройством ИЧ10 МД Кл.1, (0,01)</t>
  </si>
  <si>
    <t>Індикатор повишеної точності ИЧ10 Кл.0, (0,01)</t>
  </si>
  <si>
    <t>Магазин опорів ММЭС-Р33</t>
  </si>
  <si>
    <t>Преобразователь угловых перемещений ВЕ-178А Z100 (СССР)</t>
  </si>
  <si>
    <t>Кінцевий вимикач ВП15Е-621-1-54У2 (10А)</t>
  </si>
  <si>
    <t>Кінцевий вимикач МП230-3ЛУ2 ИСП 91А (16А)</t>
  </si>
  <si>
    <t>Кінцевий вимикач ВП16-123-Б241-54У2 (16А)</t>
  </si>
  <si>
    <t>Трансформатор ОСЗР- 0,063кВт, 380/12В, 0,25А</t>
  </si>
  <si>
    <t>Кінцевий вимикач МП2303 лу2 исп3 (16А)</t>
  </si>
  <si>
    <t>Кінцевий вимикач МП1302 лу2 исп1 (10А)</t>
  </si>
  <si>
    <t>ЗАСІБ ЧИСТЯЧИЙ "GLORY"</t>
  </si>
  <si>
    <t>Мітчик К 3/4"</t>
  </si>
  <si>
    <t>1 / 184 / 5</t>
  </si>
  <si>
    <t>127 / 3</t>
  </si>
  <si>
    <t>41 / 12</t>
  </si>
  <si>
    <t>8 / 129</t>
  </si>
  <si>
    <t>550 / 1,2</t>
  </si>
  <si>
    <t>16./7.</t>
  </si>
  <si>
    <t>Кнопка / Пульт кнопочний КМЕ4101У3  червона</t>
  </si>
  <si>
    <t>Кнопка / Пульт кнопочний КМЕ4101У3  чорна</t>
  </si>
  <si>
    <t>Кнопка / Пульт кнопочний КМЕ4211У2  червона</t>
  </si>
  <si>
    <t>Кнопка / Пульт кнопочний КМЕ4120У3  чорна</t>
  </si>
  <si>
    <t>Кнопка / Пульт кнопочний КМП 9-3</t>
  </si>
  <si>
    <t>Кнопка / Пульт кнопочний КУ 1211-М</t>
  </si>
  <si>
    <t>Тахометр годинникового типу ТЧ10-Р, (межі виміру до 10000 об/хв) мало вживаний</t>
  </si>
  <si>
    <t>Проволочка 1,553мм Кл.1. Калібр</t>
  </si>
  <si>
    <t>Кутомір типа 4УМ 0-180*, (300х415мм, общий 300х570мм), внутризаводской, вживаний</t>
  </si>
  <si>
    <t xml:space="preserve">Термометри лабораторні ТЛ-6 (из 8-х шт №3,4,5,6,7,8). </t>
  </si>
  <si>
    <t>Термометри лабораторні ТЛ-5 (из 4-х шт) (-30 до +300*С). Ціна поділу 0.5*С.</t>
  </si>
  <si>
    <r>
      <t xml:space="preserve">Термометри лабораторні ТЛ-5 </t>
    </r>
    <r>
      <rPr>
        <sz val="6"/>
        <color rgb="FF0070C0"/>
        <rFont val="Calibri"/>
        <family val="2"/>
        <charset val="204"/>
      </rPr>
      <t>(из 4-х шт) -30+70*, 0-105*,100-205*, 200-300*С. Ціна поділу 5*С</t>
    </r>
  </si>
  <si>
    <t>Тахометр годинникового типу ТЧ10-Р, (межі виміру до 10000 об/хв) з паспортом</t>
  </si>
  <si>
    <t>Різак Р3 "ДОНМЕТ" 374 У (пропан)</t>
  </si>
  <si>
    <t>Ареометри общего назначения А1. Набор из 19штук</t>
  </si>
  <si>
    <t>1. / 1</t>
  </si>
  <si>
    <t>Ареометр-денсиметр КЛП №215, (1.300 - 1.800)</t>
  </si>
  <si>
    <t>Ареометр-денсиметр КЛП №16, (0.700- 1.000)</t>
  </si>
  <si>
    <t>3,5 / 21</t>
  </si>
  <si>
    <t>324 / 41</t>
  </si>
  <si>
    <t>Різець-вставка гексонитова d8х7 L11</t>
  </si>
  <si>
    <t>Электродвигател асинхронный УАД-32Ф 220Вт</t>
  </si>
  <si>
    <t>Фреза шліцева 10х102х112 (d112х100 d отв.40мм)</t>
  </si>
  <si>
    <t>Фреза шліцева  6х28х32 (d70х62 d отв. 32mm)</t>
  </si>
  <si>
    <t>Фреза шліцева 8х56х65 (d100х80 d отв.32мм)</t>
  </si>
  <si>
    <t>Фреза шліцева 45.5х50х12.3 Т2151 6*14" (d80х61 d отв.27mm)</t>
  </si>
  <si>
    <t>1 ???</t>
  </si>
  <si>
    <r>
      <t>Расточна оправка конус</t>
    </r>
    <r>
      <rPr>
        <b/>
        <sz val="8"/>
        <color rgb="FFFF0000"/>
        <rFont val="Calibri"/>
        <family val="2"/>
        <charset val="204"/>
      </rPr>
      <t xml:space="preserve"> ІСО50</t>
    </r>
    <r>
      <rPr>
        <sz val="8"/>
        <color rgb="FFFF0000"/>
        <rFont val="Calibri"/>
        <family val="2"/>
        <charset val="204"/>
      </rPr>
      <t xml:space="preserve"> d180-270мм, d270-360мм (2шт). Резец т/с пластина, квадрат</t>
    </r>
  </si>
  <si>
    <t>Борфреза цилиндрическая d10х22 L общ.60мм dхв.6мм Р6М5</t>
  </si>
  <si>
    <t>Борфреза цилиндрическая d8х22 L общ.60мм dхв.6мм Р6М5</t>
  </si>
  <si>
    <t>Борфреза эллипсовидная (овальная) d6х10х60мм Р6М5</t>
  </si>
  <si>
    <t>Борфреза цилиндрическая d6х15 L общ.57мм dхв.6мм Р6М5</t>
  </si>
  <si>
    <t>Борфреза сферическая d10х60мм хвост. 8мм ВК8</t>
  </si>
  <si>
    <t>Борфрезы радиусная d6х14х57мм Р6М5 d хвост. 6мм</t>
  </si>
  <si>
    <t>Борфрезы радиусная d8х20х60мм Р6М5 d хвост. 6мм</t>
  </si>
  <si>
    <t>Борфреза трапецевидная d8х10х60мм Р6М5, хвост. 6мм</t>
  </si>
  <si>
    <t>Термопреобразователь ТСМ-1088 (-50 +180*С)</t>
  </si>
  <si>
    <t>Термопреобразователь ТСМ-6097 (-50 +150*С)</t>
  </si>
  <si>
    <t>Термопреобразователь ТСМ-0879-01 (-50 +200*С)</t>
  </si>
  <si>
    <t>Термопреобразователь ТСМ-0987 (-50 +100*С)</t>
  </si>
  <si>
    <t>МИЛО ГОСПОДАРСЬКЕ ЕКСТРА 200г в упаковці</t>
  </si>
  <si>
    <t xml:space="preserve">Реле промежуточное универсальное РПУ-2. Катушка ~24В. </t>
  </si>
  <si>
    <t>Реле промежуточное РП-21-003. Катушка ~36В. На колодке</t>
  </si>
  <si>
    <t>Реле промежуточное РП-23/48, для цепей постоянного тока В -- 48В. Число контактов 2з+2р.</t>
  </si>
  <si>
    <t>Набор контрольно-разметочных инструментов</t>
  </si>
  <si>
    <t>Коловорит ЧИЗ</t>
  </si>
  <si>
    <t>Фреза дискова циліндрична d32x16mm L34 Z10, Р18</t>
  </si>
  <si>
    <t>Фреза дискова циліндрична d36x16mm L47 Z12</t>
  </si>
  <si>
    <t>24. / 1</t>
  </si>
  <si>
    <t>Индикатор ИЧ 0-10мм, повышеной точности (0.005) з ричагом 2:1, СССР</t>
  </si>
  <si>
    <t xml:space="preserve">Набор оптики (объективов) на микроскоп МБС-9 </t>
  </si>
  <si>
    <t>Плашка К 1"</t>
  </si>
  <si>
    <t>Мітчик W 7/16" маш.руч. (14ниток)</t>
  </si>
  <si>
    <t>Термометр ртутний техничний TТ 0- +160*С (битий)</t>
  </si>
  <si>
    <t xml:space="preserve">Нутромер индикаторный НИ100-160мм, Carl Manr Esslingen, Німеччина. Мало вживаний </t>
  </si>
  <si>
    <t>11 / 15 / 12</t>
  </si>
  <si>
    <t>1. / 2</t>
  </si>
  <si>
    <t>22 / 48</t>
  </si>
  <si>
    <t>Барометр анероид М67</t>
  </si>
  <si>
    <t>Тахометр тип ИО-10 (20-10000об/мин), мало вживаний</t>
  </si>
  <si>
    <t>Ролики для проверки Штангензубомеров (19шт)</t>
  </si>
  <si>
    <t>Приспособление для проверки индикатор часового типа</t>
  </si>
  <si>
    <t>Мітчик М - 8 Р6М5</t>
  </si>
  <si>
    <t>66,7 / 35,5</t>
  </si>
  <si>
    <t>Набір приладдя до індикаторів ПРИ-1М, завод ЧИЗ, мало вживаний</t>
  </si>
  <si>
    <t>27. ФРЕЗА ДИСКОВА 2-х - 3-х СТОРОН Р6М5/Р18/Р9</t>
  </si>
  <si>
    <t>Стойка-штатив с индикаторной головкой, вживана</t>
  </si>
  <si>
    <t>2. / 5</t>
  </si>
  <si>
    <t>Нутромір індикаторний НІ 150-300мм (0.01мм), новий  (НДР, ГДР) Німеччина (без 1 вставки)</t>
  </si>
  <si>
    <t>10./2.</t>
  </si>
  <si>
    <t>Стойка-штатив Carl Zeiss Німеччина, вживана</t>
  </si>
  <si>
    <t>Ножи на рейсмус 1260х40х3мм, ссср</t>
  </si>
  <si>
    <t>Штангенциркуль разметочный ШЦ-200мм (0.1) ЧИЗ</t>
  </si>
  <si>
    <t xml:space="preserve">Трамбовка ручна пневматична ПТ-9 </t>
  </si>
  <si>
    <t>Керосинорез, Резак керосино-кислородный РК-02М</t>
  </si>
  <si>
    <t>Термометр ртутний ТН6 (-30- + 80*С), ціна поділу 1 С. L занурення 160 мм</t>
  </si>
  <si>
    <t>Термометр ртутний техничний  ТН1-1 (0- +170*С), L занурення 55мм</t>
  </si>
  <si>
    <t>Термометр ртутний техничний  ТН1-2  (+130- +300*С), L занурення 55мм</t>
  </si>
  <si>
    <t>Термометр ртутний техничний  ТН 2М (0- +360*С), L занурення 45мм</t>
  </si>
  <si>
    <t>Термометр ртутний техничний TН3-2 (+50- +100*С), L занурення 90мм</t>
  </si>
  <si>
    <t>Термометр ртутний техничний TН-3 (+50- +110*С), L занурення 90мм</t>
  </si>
  <si>
    <t>Термометр ртутний техничний TН6 (-30- +60*С), L занурення 160мм</t>
  </si>
  <si>
    <t>Термометр ртутний техничний TТ 0- +300*С, L занурення 103мм</t>
  </si>
  <si>
    <t>Термометр ртутний техничний TТ 0- +400*С, L зпнурення 120мм</t>
  </si>
  <si>
    <t>Термометр ртутний техничний TТ 0- +450*С, L занурення 160мм</t>
  </si>
  <si>
    <t>Мікрометр листовой МЛ-5 (0-5мм) 0,01</t>
  </si>
  <si>
    <t>9 / 4 / 2 / 1</t>
  </si>
  <si>
    <t>Різець вставка ельборова d10х27 права</t>
  </si>
  <si>
    <t>43 / 1</t>
  </si>
  <si>
    <t>31 / 141</t>
  </si>
  <si>
    <t>Скоба важільна з відліковим пристроєм СРП-100 (75-100мм) 0.001 підвищеної точн., ЛІЗ мало вжив.</t>
  </si>
  <si>
    <t>Фторопласт листовой 5мм 415х320мм (1лх1,55кг)</t>
  </si>
  <si>
    <t>Фторопласт листовой 5мм 410х410мм (1л х 2кг)</t>
  </si>
  <si>
    <t>Фторопласт листовой 4мм 415х420мм (1л = 1,7кг)</t>
  </si>
  <si>
    <t>Расточная оправка КМ5 с микромерической регул. резца d70-95мм(0.001) L280мм, різець 12мм</t>
  </si>
  <si>
    <t>Расточная оправка КМ5 с микромерической регул. резца d50-70мм(0.001) L280мм, різець 8мм</t>
  </si>
  <si>
    <t xml:space="preserve">Кутомір маятниковий тип 3УРИ-М 0-360*, </t>
  </si>
  <si>
    <t>Патрон різьбонарізний для мітчиківі з запобіжною муфтою 15937-В КМ3, М8-М20</t>
  </si>
  <si>
    <t>Різець розточний глух.отв. d12 L60 Р6М5</t>
  </si>
  <si>
    <t>Різець розточний глух.отв. d20 L115 Р6М5</t>
  </si>
  <si>
    <t>Різець розточний скрізних отв. d20 L115 Р6М5</t>
  </si>
  <si>
    <t>17. / 20</t>
  </si>
  <si>
    <t>Мітчик М 8 маш/руч з шахматним розположенням різьби Р6М5 подовж.</t>
  </si>
  <si>
    <t>Штангенциркуль ШЦ250мм (0.05) подовж. губки 170мм, вживаний</t>
  </si>
  <si>
    <t>Нутромір микрометричний НМ 75-600мм, пасторт, мало вживаний</t>
  </si>
  <si>
    <t>Індикатор для точних вимірювань ГДР (+-70мкм) 1мкм 0.001мм</t>
  </si>
  <si>
    <t xml:space="preserve">Індикатор для точних вимірювань ГДР (+-140мкм) 2мкм 0.002мм </t>
  </si>
  <si>
    <t>Мінікатор, ГОЛОВКА ВИМІРЮВАЛЬНА малогабаритна пружин. ИПМ-1мкм (-+50) (0.001мм)</t>
  </si>
  <si>
    <t>Нутромір індикаторний НІ 18-50мм Кл.2, (0,01мм) мало вживаний</t>
  </si>
  <si>
    <t>Фторопласт листовой 5мм 370х340мм (1л = 1,4кг)</t>
  </si>
  <si>
    <t>Фторопласт листовой 5мм 390х380мм (1л х 1,47кг)</t>
  </si>
  <si>
    <t>Фторопласт листовой 2мм 310х310мм (1л х 0,47кг)</t>
  </si>
  <si>
    <t>Кутомір з ноніусом  тип 4-10, 4УМ 0-180*, вживаний</t>
  </si>
  <si>
    <t>Реле времени РВ4-5 УХЛ4- 220В</t>
  </si>
  <si>
    <t>Домкрат винтовий на шарнірі</t>
  </si>
  <si>
    <t>Нутромір індикаторний НИ 160М (100-160мм) Кл.2 (0,01) без паспорту м.вжив</t>
  </si>
  <si>
    <t>Свердло 17.5х460(раб.330мм) к/хв Р18</t>
  </si>
  <si>
    <t>Викрутка реверсивна ОР</t>
  </si>
  <si>
    <t>0. /2.</t>
  </si>
  <si>
    <t>Рулетка 20м Р20 УЗК ДСТУ 4179-2003 ГОСТ 7502-98</t>
  </si>
  <si>
    <t>Рулетка 10м Р10 УЗК ДСТУ 4179-2003 ГОСТ 7502-98</t>
  </si>
  <si>
    <t>Розточувальна оправка РД1 з мікроподачею різця КМ4 d30-160мм вживана</t>
  </si>
  <si>
    <t>Термометр ртутний техничний TТ 0- +100*С</t>
  </si>
  <si>
    <t>Коло відрізне армоване 350х3х25.4мм Vulcan Norton</t>
  </si>
  <si>
    <t>Коло відрізне армоване 350х3х25.4мм  LUGA</t>
  </si>
  <si>
    <t>Коло відрізне армоване 300х3х32мм ЗАК</t>
  </si>
  <si>
    <t>Круг пелюстковий КЛ 350х100х44.5 Челябинск</t>
  </si>
  <si>
    <t>14./1</t>
  </si>
  <si>
    <t>Патрон токарний ПСС-250мм 3х кулачковий з планшайбою конус 6 Псков</t>
  </si>
  <si>
    <t>Плашкодержатель вороток для плашек М27-42 (1"-11/4")</t>
  </si>
  <si>
    <t>Розгортка машинна винтова М30 подовжена к\хв Р6М5</t>
  </si>
  <si>
    <t>Розточувальна оправка конус ИСО50 d70-90мм. L140. Резец  16х16мм.</t>
  </si>
  <si>
    <t>Розточувальна оправка з мікроподачою різьця ІСО50, d40-65mm, L180мм, мало вжив.</t>
  </si>
  <si>
    <t>Розточувальна оправка ИСО 50 d70-120мм з різцем 16х16, мало вживана</t>
  </si>
  <si>
    <t>Розточувальна оправка ИСО50 з мікроподачою різця d150-200мм різець 20х20</t>
  </si>
  <si>
    <t>Оправка втулка конус ИСО50 конусність 7/24 на КМ3 + втулка КМ3/КМ2 вживана</t>
  </si>
  <si>
    <t>Оправка втулка конус ИСО50 конусність 7/24 на КМ4+фреза 32 вживана</t>
  </si>
  <si>
    <t>Оправка втулка конус ИСО50 конусність 7/24 на КМ2 + свердло, вживана</t>
  </si>
  <si>
    <t>Оправка втулка конус ИСО50 конусність 7/24 на КМ4+фреза 28 вживана</t>
  </si>
  <si>
    <t>Оправка втулка конус ИСО50 конусність 7/24 на КМ2 + свердло 17,4, вживана</t>
  </si>
  <si>
    <t>Оправка втулка конус ИСО50 конусність 7/24 на КМ4 вживана</t>
  </si>
  <si>
    <t>Оправка втулка конус ИСО50 конусність 7/24 з фрезою 50мм вживана</t>
  </si>
  <si>
    <t>Оправка втулка конус ИСО50 конусність 7/24 на КМ3+свердло 13мм вживана</t>
  </si>
  <si>
    <t>Оправка втулка конус ИСО50 конусність 7/24 на КМ2+свердло 14,5 вживана</t>
  </si>
  <si>
    <t>Оправка втулка конус ИСО50 конусність 7/24 на КМ3  вживана</t>
  </si>
  <si>
    <t>Розточувальна оправка конус ИСО 50 d63-100мм L140мм пластина ромб, мало вживана</t>
  </si>
  <si>
    <t>Патрон цанговий конус ИСО50 з цангами 20; 24; 32; 40мм мало вживаний</t>
  </si>
  <si>
    <t>Шаблон щуп ДТ-54</t>
  </si>
  <si>
    <t>Шаблон щуп С-80</t>
  </si>
  <si>
    <t>Шаблон універсальний зварювальника УШС-3</t>
  </si>
  <si>
    <t>Патрони цангові, набор цанговый 6-20мм (12шт) конус ИСО50 мало вживане</t>
  </si>
  <si>
    <t>Патрони цангові, набор цанговый 8,5-16мм (9шт) конус ИСО50 мало вживане</t>
  </si>
  <si>
    <t>Патрони цангові, набор цанговый 8,5-13мм (7шт) конус ИСО50 мало вживане</t>
  </si>
  <si>
    <t>Фреза черв'ячна модуль М10 Р18 (170х40мм L160) скол зуба</t>
  </si>
  <si>
    <t>Фреза черв'ячна модуль М8 Р18 (150х32мм L140)</t>
  </si>
  <si>
    <t>1. /1.</t>
  </si>
  <si>
    <t>5./2.</t>
  </si>
  <si>
    <t>Фреза відрізна 75х4.0мм сплав Р9</t>
  </si>
  <si>
    <t>Фреза відрізна 75х3.0мм сплав Р9</t>
  </si>
  <si>
    <t>Фреза відрізна 80х2.0мм сплав Р18</t>
  </si>
  <si>
    <t>23. ФРЕЗИ ВІДРІЗНІ ПРОРІЗНА ДИСКОВІ Р6М5</t>
  </si>
  <si>
    <t xml:space="preserve">Фреза відрізна 80х1.4мм 11Р3АМ3Ф2 </t>
  </si>
  <si>
    <t xml:space="preserve">Фреза відрізна 80х2.5мм Р18 </t>
  </si>
  <si>
    <t>Планшайба под конус Ф5 на патрон токарный 200мм</t>
  </si>
  <si>
    <t>51 / 1</t>
  </si>
  <si>
    <t xml:space="preserve">Фреза відрізна 80х3.0мм Р18 </t>
  </si>
  <si>
    <t>Фреза відрізна 80х1.6мм сплав Р18</t>
  </si>
  <si>
    <t>Фреза відрізна 60х0.8мм сплав Р18</t>
  </si>
  <si>
    <t>Фреза відрізна 60х1.8мм сплав Р6М5</t>
  </si>
  <si>
    <t>Фреза відрізна 60х2.0мм сплав Р6М5</t>
  </si>
  <si>
    <t>Фреза відрізна 63х2.0мм сплав Р18</t>
  </si>
  <si>
    <t xml:space="preserve">Фреза відрізна 80х3.5мм Р18 </t>
  </si>
  <si>
    <t xml:space="preserve">Фреза відрізна 80х4.0мм Р18 </t>
  </si>
  <si>
    <t>Патрон цанговий МТ3-ER20-M12  КМ4  з цангою 4мм мало вживана</t>
  </si>
  <si>
    <t>Розточувальна оправка (головка) КМ4 d20-38мм різець 6мм</t>
  </si>
  <si>
    <t>Різець вставка ельборова Резец эльборовый d8х55 прав</t>
  </si>
  <si>
    <t>Різець канавочний ВК8 25х16х140</t>
  </si>
  <si>
    <t>Різець для шківів Т15К6 25х20х140</t>
  </si>
  <si>
    <t>42 / 1</t>
  </si>
  <si>
    <t>Різець канавочний Т15К6 25х16х140</t>
  </si>
  <si>
    <t>Нутромір індикаторний НІ 35-60мм (0.01), з мікрометричною головкою паспорт Німеччина 1979р</t>
  </si>
  <si>
    <t>Нутромір індикаторний НИ 35-60мм (0.01), з мікрометричною головкою. Німеччина</t>
  </si>
  <si>
    <t>8. / 24</t>
  </si>
  <si>
    <t>Різець вставка розточна 17 ВК8 d12х60 прав</t>
  </si>
  <si>
    <t>Різець вставка розточна т/с d12х70 прав</t>
  </si>
  <si>
    <t>27 / 64</t>
  </si>
  <si>
    <t>Патрон цанговий універсальний КМ3 (цанги 4шт 4, 5, 6, 12мм)</t>
  </si>
  <si>
    <t>2400-2800</t>
  </si>
  <si>
    <t>45 / 32</t>
  </si>
  <si>
    <t>Звонок. Оповещатель звуковой МЗМ-1 (220В)</t>
  </si>
  <si>
    <t>Штангенциркуль ШЦ 350мм (0.05) подовж. губки 110мм, вживаний</t>
  </si>
  <si>
    <t>Доза зовнішня карболітова 16А радянська ІР66</t>
  </si>
  <si>
    <t>Штангенциркуль ШЦІІ-160мм (0.05) спеціальний, вживаний</t>
  </si>
  <si>
    <t>Штангенциркуль ШЦІІ-200мм (0.05) спеціальний, вживаний</t>
  </si>
  <si>
    <t>Штангенциркуль ЩЦ 250мм (0.05) специальний мало вживаний</t>
  </si>
  <si>
    <t>2./11</t>
  </si>
  <si>
    <t>Мікрометр зубомірний (нормалемер) МЗ-100 (75-100мм), без паспорту</t>
  </si>
  <si>
    <t>5 / 0</t>
  </si>
  <si>
    <t>Ножи для гильотины 1100х165х45мм тверд.52-59HRC (компл.4шт)</t>
  </si>
  <si>
    <t>Фреза Т-подібна 40х20х18 шейка 20мм</t>
  </si>
  <si>
    <t>Фреза черв'ячна модуль М8 Р6М5 150*150*40мм)</t>
  </si>
  <si>
    <t>Фреза червячная модульная М7.0 Р6М5(130х110х40) мало вживана</t>
  </si>
  <si>
    <t>Різець прохідний монолітний 20х20х105 Р6М5</t>
  </si>
  <si>
    <t>Різець прохідний монолітний 15х15х90 Р6М5</t>
  </si>
  <si>
    <t>Різець прохідний монолітний 12х10х75 Р6М5</t>
  </si>
  <si>
    <t>Різець прохідний монолітний 13х11х80 Р6М5 прав/лев</t>
  </si>
  <si>
    <t>1 / 141</t>
  </si>
  <si>
    <t>Динамометр ДПУ-10-2-У2 (предельная нагрузка 10т =100kN)</t>
  </si>
  <si>
    <t>Динамометр ДПУ-20-2-У2 (предельная нагрузка 20т=200kN)</t>
  </si>
  <si>
    <t>1 / 5.</t>
  </si>
  <si>
    <t>м.п.</t>
  </si>
  <si>
    <t>ШКУРКА ШЛІФУВАЛЬНА на тканині 25Н (Р60) шир. 800мм</t>
  </si>
  <si>
    <t>ШКУРКА ШЛІФУВАЛЬНА на тканині 50Н (Р36) шир. 700мм</t>
  </si>
  <si>
    <t>Лінійка синусна типа ЛС1-100х80мм без коробки</t>
  </si>
  <si>
    <t>Лінійка синусна типа ЛС1-100х80мм в коробкі</t>
  </si>
  <si>
    <t>68 / 5</t>
  </si>
  <si>
    <t>Об'єктив И96У-3.5/50</t>
  </si>
  <si>
    <t>Об'єктив И23У-4.5/110</t>
  </si>
  <si>
    <t>Об'єктив ЛОМО 10х0,25 для микроскопа МИР</t>
  </si>
  <si>
    <t>Устройство защитного отключения ЗОУП-25У2, 380В 25А</t>
  </si>
  <si>
    <t>Ревун тип РВП220УХЛ5 (Сирена) 220В радянська</t>
  </si>
  <si>
    <t>Трансформатор понижаючий ТПП 287-127/220-50</t>
  </si>
  <si>
    <t>16. / 2</t>
  </si>
  <si>
    <t>1. /2</t>
  </si>
  <si>
    <t xml:space="preserve">Вмикач автоматичний 3 фаз.  АП50Б  16А </t>
  </si>
  <si>
    <t>Свердло 52х500 роб. 270мм Р6М5 КМ5 мало вживане</t>
  </si>
  <si>
    <t>Свердло 32х560 роб. 300мм Р6М5 КМ4 мало вживане</t>
  </si>
  <si>
    <t>Свердло 25.0х550 роб. част. 270мм к/хв р6м5 подовжене</t>
  </si>
  <si>
    <t>Эластичная муфта 32х40мм физический размер 110х110мм</t>
  </si>
  <si>
    <t>Оправка ІСО50 ИСО50 подовжена для торценасадних фрез разверток зенкеров d32мм L420х280мм</t>
  </si>
  <si>
    <t>Оправка конус ІСО50 подовжена для торценасадних фрез разверток зенкеров d40мм L410мм</t>
  </si>
  <si>
    <t>Оправка для насадных фрез разверток и зенкеров К ИСО50х50мм L500мм</t>
  </si>
  <si>
    <t>Оправка втулка конус ИСО50 конусність 7/24 на КМ4 подовженна</t>
  </si>
  <si>
    <t>Нутромір микрометричний НМ 150-1250 мало вживаний №831</t>
  </si>
  <si>
    <t>Розгортка машинна М23 Р18</t>
  </si>
  <si>
    <t>Розгортка машинна М16.33</t>
  </si>
  <si>
    <t>Розгортка конічна КМ1 Р18</t>
  </si>
  <si>
    <t>Викрутка шліцева №1 (160х4)</t>
  </si>
  <si>
    <t>Нутромір микрометричний НМ 150-1250 мало вживаний, №А205</t>
  </si>
  <si>
    <t xml:space="preserve">Свердло 22.5х330(роб.210мм) р6м5 </t>
  </si>
  <si>
    <t xml:space="preserve">Свердло 24.0х340(роб.170мм) р6м5 </t>
  </si>
  <si>
    <t>29 / 40</t>
  </si>
  <si>
    <t xml:space="preserve">Свердло 22.0х360(роб.200мм) Р18 </t>
  </si>
  <si>
    <t>Нутромір індикаторний НІ 50-100мм Кл.1 (0,002) Калібр, підвищ. точності, мало вживаний</t>
  </si>
  <si>
    <t>Нутромір микрометричний НМ 150-1250мм мало вживаний №5</t>
  </si>
  <si>
    <t>Нутромір микрометричний НМ 150-1250мм мало вживаний №4</t>
  </si>
  <si>
    <t>66 / 43</t>
  </si>
  <si>
    <t>Мітчик М12х2 лівий трапеція Р6М5</t>
  </si>
  <si>
    <t>Плита кутова повірочна тип ПУ 250х160х100мм Кл.1 мало вживана</t>
  </si>
  <si>
    <t>Мітчик М20х4 правий трапеція Р6АМ5 довжина 300мм</t>
  </si>
  <si>
    <t>Центр грибковий обетающийся КМ5 (25-120мм) мало вживаний</t>
  </si>
  <si>
    <t>Образцы шероховатости поверхности чугун Е-118 Гост 9378-60 мало вживаний</t>
  </si>
  <si>
    <t>Образцы шероховатости поверхности сталь Е-117 Гост 9378-60 вживаний</t>
  </si>
  <si>
    <t>61 / 248</t>
  </si>
  <si>
    <t>Фреза черв'ячна модуль М0.6В 20* ВК8 (d35х13 L16)</t>
  </si>
  <si>
    <t>Фреза черв'ячна модуль М0.4 АА 20* Р18 (d31х13 L16)</t>
  </si>
  <si>
    <t>Фреза черв'ячна модуль М0.4 А 20* Р6М5 (d24х10 L11)</t>
  </si>
  <si>
    <t>Фреза черв'ячна модуль М0.3 В 20* Р6М5 (d25х10 L8)</t>
  </si>
  <si>
    <t>Лінійка повірочна мостова ШМ630х50 Кл.1 нова з паспортом</t>
  </si>
  <si>
    <t>Пластина твердосплавна 4гр. без отвору Р40 (Т5К10) 03111-120408 (13х13х5мм)</t>
  </si>
  <si>
    <t>Фреза черв'ячна модульна М0.5 АА 20* Р18(d32х13 L16) з паспортом</t>
  </si>
  <si>
    <t>Лінійка ШД1600 Кл.1 вживана</t>
  </si>
  <si>
    <t>510 / 8</t>
  </si>
  <si>
    <t>2. /1</t>
  </si>
  <si>
    <t>5 / 15.</t>
  </si>
  <si>
    <t>254 / 5</t>
  </si>
  <si>
    <t>818 / 8</t>
  </si>
  <si>
    <t>109 / 4</t>
  </si>
  <si>
    <t>Пульт, блок, щиток кнопочний SСAME IP55-685.008</t>
  </si>
  <si>
    <t xml:space="preserve"> 2 / 1.</t>
  </si>
  <si>
    <t xml:space="preserve">Круг шліфувальний, головка конусна 25А  d31х50х6мм </t>
  </si>
  <si>
    <t>Фреза черв'ячна модульна М1.5 Кл.А Р18 20* мало вживана, заточена</t>
  </si>
  <si>
    <t>Мікрометр гладкий МК 275-300 Кл.1 без вставки, мало вживаний</t>
  </si>
  <si>
    <t>Фреза черв'ячна модул. М2.5 Р6М5 20*(78х70х32мм) мало вживана, заточена</t>
  </si>
  <si>
    <t>Фреза черв'ячна модул. М2.0 Р6М5 20* (66х62х27мм) мало вживана, заточена</t>
  </si>
  <si>
    <t>Фреза черв'ячна 9.525, зірочка ланцюг Р6М5К5 (80х70х32мм)</t>
  </si>
  <si>
    <t>Фреза черв'ячна 25.4, зірочка ланцюг 25.4 Р6М5 (125х125х40мм)легка корроз.</t>
  </si>
  <si>
    <t>Фреза черв'ячна 25.4, зірочка ланцюг 25.4 Р6М5 (110х100х40мм)коррозия</t>
  </si>
  <si>
    <t>Довбяк дисковий М2.5 20* Z40 Кл.Б Р18</t>
  </si>
  <si>
    <t>Довбяк дисковий М1.75 20* Z58 Кл.Б РФ1</t>
  </si>
  <si>
    <t>Довбяк дисковий М5,5 20* Z19 Кл.А Р18</t>
  </si>
  <si>
    <t>Довбяк хвостовий М2,5 30* Z10 Р6М5</t>
  </si>
  <si>
    <t>Довбяк хвостовий М1.0 20* Z26 Р6М5</t>
  </si>
  <si>
    <t>Довбяк дисковий М5.0х100 20* Z20 Кл.А Р18</t>
  </si>
  <si>
    <t>Довбяк дисковий М2.5 20* Z30 Кл.Б Р18</t>
  </si>
  <si>
    <t>Довбяк дисковий М3.0 20* Z25 Кл.А Р6М5К5, КИБ</t>
  </si>
  <si>
    <t>Довбяк дисковий (чашечный) М2.0 20* Z25 Кл.А Р6М5</t>
  </si>
  <si>
    <t>2 / 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</si>
</sst>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7">
    <font>
      <sz val="10"/>
      <color rgb="FF000000"/>
      <name val="Arial"/>
      <scheme val="minor"/>
    </font>
    <font>
      <sz val="8"/>
      <color rgb="FF000000"/>
      <name val="Calibri"/>
      <family val="2"/>
      <charset val="204"/>
    </font>
    <font>
      <sz val="8"/>
      <color theme="1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9"/>
      <color rgb="FF0070C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8"/>
      <color rgb="FF000000"/>
      <name val="Andalus"/>
    </font>
    <font>
      <b/>
      <i/>
      <sz val="8"/>
      <color rgb="FF000000"/>
      <name val="Andalus"/>
    </font>
    <font>
      <b/>
      <sz val="9"/>
      <color rgb="FF000000"/>
      <name val="Calibri"/>
      <family val="2"/>
      <charset val="204"/>
    </font>
    <font>
      <sz val="10"/>
      <name val="Arial"/>
      <family val="2"/>
      <charset val="204"/>
    </font>
    <font>
      <sz val="9"/>
      <color rgb="FF000000"/>
      <name val="Calibri"/>
      <family val="2"/>
      <charset val="204"/>
    </font>
    <font>
      <sz val="9"/>
      <color theme="1"/>
      <name val="Calibri"/>
      <family val="2"/>
      <charset val="204"/>
    </font>
    <font>
      <b/>
      <sz val="9"/>
      <color theme="1"/>
      <name val="Calibri"/>
      <family val="2"/>
      <charset val="204"/>
    </font>
    <font>
      <sz val="9"/>
      <color rgb="FFFF0000"/>
      <name val="Calibri"/>
      <family val="2"/>
      <charset val="204"/>
    </font>
    <font>
      <i/>
      <sz val="9"/>
      <color rgb="FF000000"/>
      <name val="Calibri"/>
      <family val="2"/>
      <charset val="204"/>
    </font>
    <font>
      <sz val="9"/>
      <color rgb="FF60497A"/>
      <name val="Calibri"/>
      <family val="2"/>
      <charset val="204"/>
    </font>
    <font>
      <b/>
      <sz val="9"/>
      <color rgb="FF60497A"/>
      <name val="Calibri"/>
      <family val="2"/>
      <charset val="204"/>
    </font>
    <font>
      <sz val="9"/>
      <color rgb="FF00B050"/>
      <name val="Calibri"/>
      <family val="2"/>
      <charset val="204"/>
    </font>
    <font>
      <sz val="9"/>
      <color rgb="FF4F6228"/>
      <name val="Calibri"/>
      <family val="2"/>
      <charset val="204"/>
    </font>
    <font>
      <b/>
      <sz val="9"/>
      <color rgb="FF4F6228"/>
      <name val="Calibri"/>
      <family val="2"/>
      <charset val="204"/>
    </font>
    <font>
      <sz val="9"/>
      <color rgb="FF7030A0"/>
      <name val="Calibri"/>
      <family val="2"/>
      <charset val="204"/>
    </font>
    <font>
      <b/>
      <sz val="9"/>
      <color rgb="FF7030A0"/>
      <name val="Calibri"/>
      <family val="2"/>
      <charset val="204"/>
    </font>
    <font>
      <sz val="9"/>
      <color rgb="FF1F497D"/>
      <name val="Calibri"/>
      <family val="2"/>
      <charset val="204"/>
    </font>
    <font>
      <sz val="9"/>
      <color rgb="FF0070C0"/>
      <name val="Calibri"/>
      <family val="2"/>
      <charset val="204"/>
    </font>
    <font>
      <sz val="9"/>
      <color rgb="FF538DD5"/>
      <name val="Calibri"/>
      <family val="2"/>
      <charset val="204"/>
    </font>
    <font>
      <b/>
      <sz val="9"/>
      <color rgb="FF538DD5"/>
      <name val="Calibri"/>
      <family val="2"/>
      <charset val="204"/>
    </font>
    <font>
      <sz val="9"/>
      <color rgb="FF4F81BD"/>
      <name val="Calibri"/>
      <family val="2"/>
      <charset val="204"/>
    </font>
    <font>
      <sz val="9"/>
      <color rgb="FF00B0F0"/>
      <name val="Calibri"/>
      <family val="2"/>
      <charset val="204"/>
    </font>
    <font>
      <b/>
      <sz val="9"/>
      <color rgb="FF00B0F0"/>
      <name val="Calibri"/>
      <family val="2"/>
      <charset val="204"/>
    </font>
    <font>
      <sz val="9"/>
      <color rgb="FFA6A6A6"/>
      <name val="Calibri"/>
      <family val="2"/>
      <charset val="204"/>
    </font>
    <font>
      <b/>
      <sz val="9"/>
      <color rgb="FFFF0000"/>
      <name val="Calibri"/>
      <family val="2"/>
      <charset val="204"/>
    </font>
    <font>
      <sz val="9"/>
      <color rgb="FF366092"/>
      <name val="Calibri"/>
      <family val="2"/>
      <charset val="204"/>
    </font>
    <font>
      <sz val="8"/>
      <color rgb="FF0070C0"/>
      <name val="Calibri"/>
      <family val="2"/>
      <charset val="204"/>
    </font>
    <font>
      <b/>
      <sz val="9"/>
      <color rgb="FF00B050"/>
      <name val="Calibri"/>
      <family val="2"/>
      <charset val="204"/>
    </font>
    <font>
      <sz val="8"/>
      <color rgb="FFFF0000"/>
      <name val="Calibri"/>
      <family val="2"/>
      <charset val="204"/>
    </font>
    <font>
      <i/>
      <sz val="9"/>
      <color rgb="FFFF0000"/>
      <name val="Calibri"/>
      <family val="2"/>
      <charset val="204"/>
    </font>
    <font>
      <b/>
      <sz val="9"/>
      <color rgb="FF4F81BD"/>
      <name val="Calibri"/>
      <family val="2"/>
      <charset val="204"/>
    </font>
    <font>
      <b/>
      <sz val="11"/>
      <color rgb="FF000000"/>
      <name val="Arial"/>
      <family val="2"/>
      <charset val="204"/>
    </font>
    <font>
      <b/>
      <i/>
      <sz val="9"/>
      <color rgb="FF000000"/>
      <name val="Calibri"/>
      <family val="2"/>
      <charset val="204"/>
    </font>
    <font>
      <b/>
      <i/>
      <sz val="8"/>
      <color rgb="FF000000"/>
      <name val="Andalus"/>
      <charset val="204"/>
    </font>
    <font>
      <sz val="10"/>
      <color rgb="FF000000"/>
      <name val="Arial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rgb="FF000000"/>
      <name val="Arial"/>
      <family val="2"/>
      <charset val="204"/>
      <scheme val="minor"/>
    </font>
    <font>
      <b/>
      <sz val="9"/>
      <color rgb="FF000000"/>
      <name val="Arial"/>
      <family val="2"/>
      <charset val="204"/>
      <scheme val="minor"/>
    </font>
    <font>
      <sz val="9"/>
      <color theme="1"/>
      <name val="Arial"/>
      <family val="2"/>
      <charset val="204"/>
      <scheme val="minor"/>
    </font>
    <font>
      <b/>
      <sz val="9"/>
      <color theme="1"/>
      <name val="Arial"/>
      <family val="2"/>
      <charset val="204"/>
      <scheme val="minor"/>
    </font>
    <font>
      <sz val="9"/>
      <color rgb="FFFF0000"/>
      <name val="Arial"/>
      <family val="2"/>
      <charset val="204"/>
      <scheme val="minor"/>
    </font>
    <font>
      <sz val="9"/>
      <color theme="3"/>
      <name val="Calibri"/>
      <family val="2"/>
      <charset val="204"/>
    </font>
    <font>
      <sz val="9"/>
      <name val="Calibri"/>
      <family val="2"/>
      <charset val="204"/>
    </font>
    <font>
      <b/>
      <sz val="9"/>
      <name val="Calibri"/>
      <family val="2"/>
      <charset val="204"/>
    </font>
    <font>
      <sz val="9"/>
      <color theme="4" tint="-0.249977111117893"/>
      <name val="Calibri"/>
      <family val="2"/>
      <charset val="204"/>
    </font>
    <font>
      <b/>
      <sz val="9"/>
      <color theme="4" tint="-0.249977111117893"/>
      <name val="Calibri"/>
      <family val="2"/>
      <charset val="204"/>
    </font>
    <font>
      <sz val="8"/>
      <color theme="4" tint="-0.249977111117893"/>
      <name val="Calibri"/>
      <family val="2"/>
      <charset val="204"/>
    </font>
    <font>
      <sz val="9"/>
      <color rgb="FFFF0000"/>
      <name val="Times New Roman"/>
      <family val="1"/>
      <charset val="204"/>
    </font>
    <font>
      <b/>
      <sz val="12"/>
      <color rgb="FF000000"/>
      <name val="Arial"/>
      <family val="2"/>
      <charset val="204"/>
      <scheme val="minor"/>
    </font>
    <font>
      <sz val="9"/>
      <name val="Arial"/>
      <family val="2"/>
      <charset val="204"/>
      <scheme val="minor"/>
    </font>
    <font>
      <b/>
      <sz val="8"/>
      <color rgb="FF000000"/>
      <name val="Times New Roman"/>
      <family val="1"/>
      <charset val="204"/>
    </font>
    <font>
      <sz val="9"/>
      <color theme="5"/>
      <name val="Calibri"/>
      <family val="2"/>
      <charset val="204"/>
    </font>
    <font>
      <sz val="9"/>
      <name val="Times New Roman"/>
      <family val="1"/>
      <charset val="204"/>
    </font>
    <font>
      <sz val="9"/>
      <color theme="4"/>
      <name val="Calibri"/>
      <family val="2"/>
      <charset val="204"/>
    </font>
    <font>
      <sz val="8"/>
      <color rgb="FF000000"/>
      <name val="Times New Roman"/>
      <family val="1"/>
      <charset val="204"/>
    </font>
    <font>
      <sz val="7"/>
      <color rgb="FFFF0000"/>
      <name val="Calibri"/>
      <family val="2"/>
      <charset val="204"/>
    </font>
    <font>
      <b/>
      <sz val="7"/>
      <color rgb="FFFF0000"/>
      <name val="Calibri"/>
      <family val="2"/>
      <charset val="204"/>
    </font>
    <font>
      <sz val="9"/>
      <color theme="5"/>
      <name val="Arial"/>
      <family val="2"/>
      <charset val="204"/>
      <scheme val="minor"/>
    </font>
    <font>
      <sz val="6"/>
      <color rgb="FF0070C0"/>
      <name val="Calibri"/>
      <family val="2"/>
      <charset val="204"/>
    </font>
    <font>
      <b/>
      <sz val="8"/>
      <color rgb="FFFF0000"/>
      <name val="Calibri"/>
      <family val="2"/>
      <charset val="204"/>
    </font>
    <font>
      <sz val="8"/>
      <color rgb="FF000000"/>
      <name val="Arial"/>
      <family val="2"/>
      <charset val="204"/>
      <scheme val="minor"/>
    </font>
    <font>
      <sz val="8"/>
      <color theme="4"/>
      <name val="Calibri"/>
      <family val="2"/>
      <charset val="204"/>
    </font>
    <font>
      <sz val="9"/>
      <color theme="7"/>
      <name val="Calibri"/>
      <family val="2"/>
      <charset val="204"/>
    </font>
    <font>
      <sz val="8"/>
      <name val="Calibri"/>
      <family val="2"/>
      <charset val="204"/>
    </font>
    <font>
      <sz val="8"/>
      <color theme="5"/>
      <name val="Times New Roman"/>
      <family val="1"/>
      <charset val="204"/>
    </font>
    <font>
      <sz val="9"/>
      <color theme="5"/>
      <name val="Times New Roman"/>
      <family val="1"/>
      <charset val="204"/>
    </font>
    <font>
      <sz val="8"/>
      <color rgb="FF00B05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55">
    <xf numFmtId="0" fontId="0" fillId="0" borderId="0" xfId="0" applyFont="1" applyAlignment="1"/>
    <xf numFmtId="0" fontId="1" fillId="0" borderId="1" xfId="0" applyFont="1" applyBorder="1" applyAlignment="1"/>
    <xf numFmtId="0" fontId="2" fillId="0" borderId="2" xfId="0" applyFont="1" applyBorder="1" applyAlignment="1"/>
    <xf numFmtId="0" fontId="3" fillId="0" borderId="2" xfId="0" applyFont="1" applyBorder="1" applyAlignment="1"/>
    <xf numFmtId="0" fontId="3" fillId="0" borderId="0" xfId="0" applyFont="1" applyAlignment="1"/>
    <xf numFmtId="0" fontId="3" fillId="0" borderId="1" xfId="0" applyFont="1" applyBorder="1" applyAlignment="1"/>
    <xf numFmtId="0" fontId="5" fillId="0" borderId="2" xfId="0" applyFont="1" applyBorder="1" applyAlignment="1"/>
    <xf numFmtId="0" fontId="7" fillId="0" borderId="5" xfId="0" applyFont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8" fillId="2" borderId="2" xfId="0" applyFont="1" applyFill="1" applyBorder="1" applyAlignment="1">
      <alignment horizontal="left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/>
    <xf numFmtId="0" fontId="10" fillId="0" borderId="5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/>
    <xf numFmtId="0" fontId="10" fillId="0" borderId="8" xfId="0" applyFont="1" applyBorder="1" applyAlignment="1">
      <alignment horizontal="center"/>
    </xf>
    <xf numFmtId="0" fontId="11" fillId="0" borderId="8" xfId="0" applyFont="1" applyBorder="1" applyAlignment="1"/>
    <xf numFmtId="0" fontId="11" fillId="0" borderId="8" xfId="0" applyFont="1" applyBorder="1" applyAlignment="1">
      <alignment horizontal="center"/>
    </xf>
    <xf numFmtId="0" fontId="10" fillId="0" borderId="8" xfId="0" applyFont="1" applyBorder="1" applyAlignment="1"/>
    <xf numFmtId="0" fontId="13" fillId="0" borderId="8" xfId="0" applyFont="1" applyBorder="1" applyAlignment="1"/>
    <xf numFmtId="0" fontId="3" fillId="0" borderId="0" xfId="0" applyFont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10" fillId="2" borderId="10" xfId="0" applyFont="1" applyFill="1" applyBorder="1" applyAlignment="1">
      <alignment horizontal="left"/>
    </xf>
    <xf numFmtId="0" fontId="14" fillId="0" borderId="6" xfId="0" applyFont="1" applyBorder="1" applyAlignment="1"/>
    <xf numFmtId="0" fontId="14" fillId="0" borderId="0" xfId="0" applyFont="1" applyAlignment="1"/>
    <xf numFmtId="0" fontId="13" fillId="0" borderId="8" xfId="0" applyFont="1" applyBorder="1" applyAlignment="1">
      <alignment horizontal="center"/>
    </xf>
    <xf numFmtId="0" fontId="8" fillId="2" borderId="11" xfId="0" applyFont="1" applyFill="1" applyBorder="1" applyAlignment="1">
      <alignment horizontal="left"/>
    </xf>
    <xf numFmtId="0" fontId="8" fillId="2" borderId="10" xfId="0" applyFont="1" applyFill="1" applyBorder="1" applyAlignment="1">
      <alignment horizontal="left"/>
    </xf>
    <xf numFmtId="0" fontId="8" fillId="2" borderId="10" xfId="0" applyFont="1" applyFill="1" applyBorder="1" applyAlignment="1"/>
    <xf numFmtId="0" fontId="8" fillId="2" borderId="0" xfId="0" applyFont="1" applyFill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left"/>
    </xf>
    <xf numFmtId="0" fontId="10" fillId="2" borderId="12" xfId="0" applyFont="1" applyFill="1" applyBorder="1" applyAlignment="1">
      <alignment horizontal="center"/>
    </xf>
    <xf numFmtId="0" fontId="15" fillId="0" borderId="8" xfId="0" applyFont="1" applyBorder="1" applyAlignment="1"/>
    <xf numFmtId="0" fontId="15" fillId="0" borderId="8" xfId="0" applyFont="1" applyBorder="1" applyAlignment="1">
      <alignment horizontal="center"/>
    </xf>
    <xf numFmtId="0" fontId="17" fillId="0" borderId="8" xfId="0" applyFont="1" applyBorder="1" applyAlignment="1"/>
    <xf numFmtId="0" fontId="11" fillId="0" borderId="8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8" fillId="0" borderId="8" xfId="0" applyFont="1" applyBorder="1" applyAlignment="1"/>
    <xf numFmtId="0" fontId="18" fillId="0" borderId="8" xfId="0" applyFont="1" applyBorder="1" applyAlignment="1">
      <alignment horizontal="center"/>
    </xf>
    <xf numFmtId="0" fontId="20" fillId="0" borderId="8" xfId="0" applyFont="1" applyBorder="1" applyAlignment="1"/>
    <xf numFmtId="0" fontId="20" fillId="0" borderId="8" xfId="0" applyFont="1" applyBorder="1" applyAlignment="1">
      <alignment horizontal="center"/>
    </xf>
    <xf numFmtId="0" fontId="10" fillId="2" borderId="9" xfId="0" applyFont="1" applyFill="1" applyBorder="1" applyAlignment="1"/>
    <xf numFmtId="0" fontId="22" fillId="0" borderId="8" xfId="0" applyFont="1" applyBorder="1" applyAlignment="1"/>
    <xf numFmtId="0" fontId="23" fillId="0" borderId="8" xfId="0" applyFont="1" applyBorder="1" applyAlignment="1"/>
    <xf numFmtId="0" fontId="13" fillId="0" borderId="8" xfId="0" applyFont="1" applyBorder="1" applyAlignment="1">
      <alignment horizontal="left"/>
    </xf>
    <xf numFmtId="0" fontId="10" fillId="0" borderId="8" xfId="0" applyFont="1" applyBorder="1" applyAlignment="1">
      <alignment horizontal="left"/>
    </xf>
    <xf numFmtId="0" fontId="8" fillId="2" borderId="12" xfId="0" applyFont="1" applyFill="1" applyBorder="1" applyAlignment="1"/>
    <xf numFmtId="0" fontId="8" fillId="2" borderId="0" xfId="0" applyFont="1" applyFill="1" applyAlignment="1"/>
    <xf numFmtId="0" fontId="8" fillId="2" borderId="12" xfId="0" applyFont="1" applyFill="1" applyBorder="1" applyAlignment="1">
      <alignment horizontal="center"/>
    </xf>
    <xf numFmtId="0" fontId="11" fillId="0" borderId="5" xfId="0" applyFont="1" applyBorder="1" applyAlignment="1"/>
    <xf numFmtId="0" fontId="10" fillId="0" borderId="9" xfId="0" applyFont="1" applyBorder="1" applyAlignment="1">
      <alignment horizontal="center"/>
    </xf>
    <xf numFmtId="0" fontId="10" fillId="0" borderId="7" xfId="0" applyFont="1" applyBorder="1" applyAlignment="1"/>
    <xf numFmtId="0" fontId="10" fillId="0" borderId="6" xfId="0" applyFont="1" applyBorder="1" applyAlignment="1">
      <alignment horizontal="center"/>
    </xf>
    <xf numFmtId="0" fontId="24" fillId="0" borderId="8" xfId="0" applyFont="1" applyBorder="1" applyAlignment="1">
      <alignment horizontal="center"/>
    </xf>
    <xf numFmtId="0" fontId="26" fillId="0" borderId="8" xfId="0" applyFont="1" applyBorder="1" applyAlignment="1"/>
    <xf numFmtId="0" fontId="27" fillId="0" borderId="8" xfId="0" applyFont="1" applyBorder="1" applyAlignment="1"/>
    <xf numFmtId="0" fontId="27" fillId="0" borderId="8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23" fillId="0" borderId="8" xfId="0" applyFont="1" applyBorder="1" applyAlignment="1">
      <alignment horizontal="center"/>
    </xf>
    <xf numFmtId="0" fontId="11" fillId="3" borderId="8" xfId="0" applyFont="1" applyFill="1" applyBorder="1" applyAlignment="1"/>
    <xf numFmtId="0" fontId="11" fillId="3" borderId="8" xfId="0" applyFont="1" applyFill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/>
    <xf numFmtId="0" fontId="13" fillId="0" borderId="7" xfId="0" applyFont="1" applyBorder="1" applyAlignment="1"/>
    <xf numFmtId="0" fontId="29" fillId="2" borderId="9" xfId="0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center"/>
    </xf>
    <xf numFmtId="0" fontId="32" fillId="0" borderId="8" xfId="0" applyFont="1" applyBorder="1" applyAlignment="1"/>
    <xf numFmtId="0" fontId="17" fillId="0" borderId="8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34" fillId="0" borderId="8" xfId="0" applyFont="1" applyBorder="1" applyAlignment="1"/>
    <xf numFmtId="0" fontId="2" fillId="0" borderId="8" xfId="0" applyFont="1" applyBorder="1" applyAlignment="1">
      <alignment horizontal="center"/>
    </xf>
    <xf numFmtId="0" fontId="35" fillId="4" borderId="8" xfId="0" applyFont="1" applyFill="1" applyBorder="1" applyAlignment="1"/>
    <xf numFmtId="0" fontId="5" fillId="0" borderId="0" xfId="0" applyFont="1" applyAlignment="1"/>
    <xf numFmtId="0" fontId="1" fillId="0" borderId="8" xfId="0" applyFont="1" applyBorder="1" applyAlignment="1"/>
    <xf numFmtId="0" fontId="26" fillId="0" borderId="8" xfId="0" applyFont="1" applyBorder="1" applyAlignment="1">
      <alignment horizontal="center"/>
    </xf>
    <xf numFmtId="0" fontId="2" fillId="0" borderId="8" xfId="0" applyFont="1" applyBorder="1" applyAlignment="1"/>
    <xf numFmtId="3" fontId="10" fillId="0" borderId="8" xfId="0" applyNumberFormat="1" applyFont="1" applyBorder="1" applyAlignment="1">
      <alignment horizontal="center"/>
    </xf>
    <xf numFmtId="0" fontId="11" fillId="0" borderId="0" xfId="0" applyFont="1" applyAlignment="1"/>
    <xf numFmtId="0" fontId="3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0" fillId="0" borderId="0" xfId="0" applyFont="1" applyAlignment="1">
      <alignment horizontal="left"/>
    </xf>
    <xf numFmtId="4" fontId="4" fillId="0" borderId="3" xfId="0" applyNumberFormat="1" applyFont="1" applyBorder="1" applyAlignment="1">
      <alignment horizontal="center"/>
    </xf>
    <xf numFmtId="4" fontId="7" fillId="0" borderId="5" xfId="0" applyNumberFormat="1" applyFont="1" applyBorder="1" applyAlignment="1"/>
    <xf numFmtId="4" fontId="3" fillId="2" borderId="6" xfId="0" applyNumberFormat="1" applyFont="1" applyFill="1" applyBorder="1" applyAlignment="1">
      <alignment horizontal="left"/>
    </xf>
    <xf numFmtId="4" fontId="8" fillId="0" borderId="5" xfId="0" applyNumberFormat="1" applyFont="1" applyBorder="1" applyAlignment="1">
      <alignment horizontal="center"/>
    </xf>
    <xf numFmtId="4" fontId="8" fillId="0" borderId="8" xfId="0" applyNumberFormat="1" applyFont="1" applyBorder="1" applyAlignment="1">
      <alignment horizontal="center"/>
    </xf>
    <xf numFmtId="4" fontId="12" fillId="0" borderId="8" xfId="0" applyNumberFormat="1" applyFont="1" applyBorder="1" applyAlignment="1">
      <alignment horizontal="center"/>
    </xf>
    <xf numFmtId="4" fontId="10" fillId="2" borderId="6" xfId="0" applyNumberFormat="1" applyFont="1" applyFill="1" applyBorder="1" applyAlignment="1"/>
    <xf numFmtId="4" fontId="8" fillId="2" borderId="5" xfId="0" applyNumberFormat="1" applyFont="1" applyFill="1" applyBorder="1" applyAlignment="1">
      <alignment horizontal="left"/>
    </xf>
    <xf numFmtId="4" fontId="10" fillId="2" borderId="8" xfId="0" applyNumberFormat="1" applyFont="1" applyFill="1" applyBorder="1" applyAlignment="1">
      <alignment horizontal="center"/>
    </xf>
    <xf numFmtId="4" fontId="16" fillId="0" borderId="8" xfId="0" applyNumberFormat="1" applyFont="1" applyBorder="1" applyAlignment="1">
      <alignment horizontal="center"/>
    </xf>
    <xf numFmtId="4" fontId="19" fillId="0" borderId="8" xfId="0" applyNumberFormat="1" applyFont="1" applyBorder="1" applyAlignment="1">
      <alignment horizontal="center"/>
    </xf>
    <xf numFmtId="4" fontId="21" fillId="0" borderId="8" xfId="0" applyNumberFormat="1" applyFont="1" applyBorder="1" applyAlignment="1">
      <alignment horizontal="center"/>
    </xf>
    <xf numFmtId="4" fontId="10" fillId="0" borderId="8" xfId="0" applyNumberFormat="1" applyFont="1" applyBorder="1" applyAlignment="1">
      <alignment horizontal="center"/>
    </xf>
    <xf numFmtId="4" fontId="8" fillId="2" borderId="5" xfId="0" applyNumberFormat="1" applyFont="1" applyFill="1" applyBorder="1" applyAlignment="1"/>
    <xf numFmtId="4" fontId="25" fillId="0" borderId="8" xfId="0" applyNumberFormat="1" applyFont="1" applyBorder="1" applyAlignment="1">
      <alignment horizontal="center"/>
    </xf>
    <xf numFmtId="4" fontId="28" fillId="0" borderId="8" xfId="0" applyNumberFormat="1" applyFont="1" applyBorder="1" applyAlignment="1">
      <alignment horizontal="center"/>
    </xf>
    <xf numFmtId="4" fontId="4" fillId="0" borderId="8" xfId="0" applyNumberFormat="1" applyFont="1" applyBorder="1" applyAlignment="1">
      <alignment horizontal="center"/>
    </xf>
    <xf numFmtId="4" fontId="8" fillId="0" borderId="7" xfId="0" applyNumberFormat="1" applyFont="1" applyBorder="1" applyAlignment="1">
      <alignment horizontal="center"/>
    </xf>
    <xf numFmtId="4" fontId="30" fillId="0" borderId="8" xfId="0" applyNumberFormat="1" applyFont="1" applyBorder="1" applyAlignment="1">
      <alignment horizontal="center"/>
    </xf>
    <xf numFmtId="4" fontId="8" fillId="2" borderId="5" xfId="0" applyNumberFormat="1" applyFont="1" applyFill="1" applyBorder="1" applyAlignment="1">
      <alignment horizontal="center"/>
    </xf>
    <xf numFmtId="4" fontId="33" fillId="0" borderId="8" xfId="0" applyNumberFormat="1" applyFont="1" applyBorder="1" applyAlignment="1">
      <alignment horizontal="center"/>
    </xf>
    <xf numFmtId="4" fontId="36" fillId="0" borderId="8" xfId="0" applyNumberFormat="1" applyFont="1" applyBorder="1" applyAlignment="1">
      <alignment horizontal="center"/>
    </xf>
    <xf numFmtId="4" fontId="0" fillId="0" borderId="0" xfId="0" applyNumberFormat="1" applyFont="1" applyAlignment="1"/>
    <xf numFmtId="0" fontId="8" fillId="5" borderId="5" xfId="0" applyFont="1" applyFill="1" applyBorder="1" applyAlignment="1">
      <alignment horizontal="left"/>
    </xf>
    <xf numFmtId="0" fontId="38" fillId="5" borderId="5" xfId="0" applyFont="1" applyFill="1" applyBorder="1" applyAlignment="1">
      <alignment horizontal="left"/>
    </xf>
    <xf numFmtId="0" fontId="8" fillId="0" borderId="5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6" xfId="0" applyFont="1" applyBorder="1" applyAlignment="1">
      <alignment horizontal="right"/>
    </xf>
    <xf numFmtId="0" fontId="10" fillId="0" borderId="3" xfId="0" applyFont="1" applyBorder="1" applyAlignment="1">
      <alignment horizontal="left"/>
    </xf>
    <xf numFmtId="4" fontId="8" fillId="0" borderId="6" xfId="0" applyNumberFormat="1" applyFont="1" applyBorder="1" applyAlignment="1">
      <alignment horizontal="center"/>
    </xf>
    <xf numFmtId="0" fontId="10" fillId="2" borderId="14" xfId="0" applyFont="1" applyFill="1" applyBorder="1" applyAlignment="1">
      <alignment horizontal="center"/>
    </xf>
    <xf numFmtId="0" fontId="8" fillId="2" borderId="14" xfId="0" applyFont="1" applyFill="1" applyBorder="1" applyAlignment="1">
      <alignment horizontal="center"/>
    </xf>
    <xf numFmtId="0" fontId="8" fillId="5" borderId="14" xfId="0" applyFont="1" applyFill="1" applyBorder="1" applyAlignment="1">
      <alignment horizontal="left"/>
    </xf>
    <xf numFmtId="4" fontId="8" fillId="2" borderId="14" xfId="0" applyNumberFormat="1" applyFont="1" applyFill="1" applyBorder="1" applyAlignment="1">
      <alignment horizontal="center"/>
    </xf>
    <xf numFmtId="0" fontId="10" fillId="0" borderId="6" xfId="0" applyFont="1" applyBorder="1" applyAlignment="1"/>
    <xf numFmtId="0" fontId="10" fillId="0" borderId="14" xfId="0" applyFont="1" applyBorder="1" applyAlignment="1">
      <alignment horizontal="center"/>
    </xf>
    <xf numFmtId="0" fontId="10" fillId="5" borderId="14" xfId="0" applyFont="1" applyFill="1" applyBorder="1" applyAlignment="1">
      <alignment horizontal="left"/>
    </xf>
    <xf numFmtId="0" fontId="10" fillId="0" borderId="9" xfId="0" applyFont="1" applyBorder="1" applyAlignment="1"/>
    <xf numFmtId="0" fontId="13" fillId="0" borderId="9" xfId="0" applyFont="1" applyBorder="1" applyAlignment="1"/>
    <xf numFmtId="0" fontId="10" fillId="3" borderId="9" xfId="0" applyFont="1" applyFill="1" applyBorder="1" applyAlignment="1"/>
    <xf numFmtId="0" fontId="11" fillId="0" borderId="9" xfId="0" applyFont="1" applyBorder="1" applyAlignment="1"/>
    <xf numFmtId="0" fontId="31" fillId="0" borderId="9" xfId="0" applyFont="1" applyBorder="1" applyAlignment="1"/>
    <xf numFmtId="0" fontId="26" fillId="0" borderId="9" xfId="0" applyFont="1" applyBorder="1" applyAlignment="1"/>
    <xf numFmtId="0" fontId="8" fillId="5" borderId="3" xfId="0" applyFont="1" applyFill="1" applyBorder="1" applyAlignment="1">
      <alignment horizontal="left"/>
    </xf>
    <xf numFmtId="0" fontId="8" fillId="5" borderId="8" xfId="0" applyFont="1" applyFill="1" applyBorder="1" applyAlignment="1">
      <alignment horizontal="left"/>
    </xf>
    <xf numFmtId="0" fontId="10" fillId="0" borderId="14" xfId="0" applyFont="1" applyBorder="1" applyAlignment="1">
      <alignment horizontal="left"/>
    </xf>
    <xf numFmtId="0" fontId="10" fillId="0" borderId="8" xfId="0" applyFont="1" applyFill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39" fillId="0" borderId="4" xfId="0" applyFont="1" applyBorder="1" applyAlignment="1"/>
    <xf numFmtId="4" fontId="8" fillId="0" borderId="14" xfId="0" applyNumberFormat="1" applyFont="1" applyBorder="1" applyAlignment="1">
      <alignment horizontal="center"/>
    </xf>
    <xf numFmtId="0" fontId="40" fillId="0" borderId="0" xfId="0" applyFont="1" applyAlignment="1"/>
    <xf numFmtId="0" fontId="41" fillId="0" borderId="14" xfId="0" applyFont="1" applyBorder="1" applyAlignment="1"/>
    <xf numFmtId="0" fontId="42" fillId="0" borderId="14" xfId="0" applyFont="1" applyBorder="1" applyAlignment="1">
      <alignment horizontal="left"/>
    </xf>
    <xf numFmtId="0" fontId="42" fillId="0" borderId="14" xfId="0" applyFont="1" applyBorder="1" applyAlignment="1">
      <alignment horizontal="center"/>
    </xf>
    <xf numFmtId="4" fontId="43" fillId="0" borderId="14" xfId="0" applyNumberFormat="1" applyFont="1" applyBorder="1" applyAlignment="1">
      <alignment horizontal="center"/>
    </xf>
    <xf numFmtId="0" fontId="41" fillId="0" borderId="0" xfId="0" applyFont="1" applyAlignment="1"/>
    <xf numFmtId="0" fontId="44" fillId="0" borderId="14" xfId="0" applyFont="1" applyBorder="1" applyAlignment="1">
      <alignment horizontal="center"/>
    </xf>
    <xf numFmtId="4" fontId="45" fillId="0" borderId="14" xfId="0" applyNumberFormat="1" applyFont="1" applyBorder="1" applyAlignment="1">
      <alignment horizontal="center"/>
    </xf>
    <xf numFmtId="0" fontId="40" fillId="0" borderId="14" xfId="0" applyFont="1" applyBorder="1" applyAlignment="1">
      <alignment horizontal="left"/>
    </xf>
    <xf numFmtId="0" fontId="46" fillId="0" borderId="14" xfId="0" applyFont="1" applyBorder="1" applyAlignment="1">
      <alignment horizontal="left"/>
    </xf>
    <xf numFmtId="0" fontId="46" fillId="0" borderId="14" xfId="0" applyFont="1" applyBorder="1" applyAlignment="1">
      <alignment horizontal="center"/>
    </xf>
    <xf numFmtId="4" fontId="47" fillId="0" borderId="14" xfId="0" applyNumberFormat="1" applyFont="1" applyBorder="1" applyAlignment="1">
      <alignment horizontal="center"/>
    </xf>
    <xf numFmtId="0" fontId="48" fillId="0" borderId="14" xfId="0" applyFont="1" applyBorder="1" applyAlignment="1">
      <alignment horizontal="center"/>
    </xf>
    <xf numFmtId="4" fontId="49" fillId="0" borderId="14" xfId="0" applyNumberFormat="1" applyFont="1" applyBorder="1" applyAlignment="1">
      <alignment horizontal="center"/>
    </xf>
    <xf numFmtId="0" fontId="40" fillId="0" borderId="0" xfId="0" applyFont="1" applyAlignment="1">
      <alignment horizontal="left"/>
    </xf>
    <xf numFmtId="0" fontId="8" fillId="2" borderId="14" xfId="0" applyFont="1" applyFill="1" applyBorder="1" applyAlignment="1"/>
    <xf numFmtId="4" fontId="10" fillId="2" borderId="14" xfId="0" applyNumberFormat="1" applyFont="1" applyFill="1" applyBorder="1" applyAlignment="1">
      <alignment horizontal="center"/>
    </xf>
    <xf numFmtId="0" fontId="10" fillId="0" borderId="14" xfId="0" applyFont="1" applyBorder="1" applyAlignment="1"/>
    <xf numFmtId="0" fontId="10" fillId="5" borderId="9" xfId="0" applyFont="1" applyFill="1" applyBorder="1" applyAlignment="1">
      <alignment horizontal="center"/>
    </xf>
    <xf numFmtId="0" fontId="8" fillId="5" borderId="0" xfId="0" applyFont="1" applyFill="1" applyBorder="1" applyAlignment="1">
      <alignment horizontal="left"/>
    </xf>
    <xf numFmtId="0" fontId="10" fillId="5" borderId="8" xfId="0" applyFont="1" applyFill="1" applyBorder="1" applyAlignment="1">
      <alignment horizontal="center"/>
    </xf>
    <xf numFmtId="4" fontId="8" fillId="5" borderId="8" xfId="0" applyNumberFormat="1" applyFont="1" applyFill="1" applyBorder="1" applyAlignment="1">
      <alignment horizontal="center"/>
    </xf>
    <xf numFmtId="16" fontId="10" fillId="0" borderId="8" xfId="0" applyNumberFormat="1" applyFont="1" applyBorder="1" applyAlignment="1">
      <alignment horizontal="center"/>
    </xf>
    <xf numFmtId="0" fontId="10" fillId="0" borderId="8" xfId="0" applyNumberFormat="1" applyFont="1" applyBorder="1" applyAlignment="1">
      <alignment horizontal="center"/>
    </xf>
    <xf numFmtId="0" fontId="10" fillId="0" borderId="6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2" fontId="8" fillId="0" borderId="0" xfId="0" applyNumberFormat="1" applyFont="1" applyAlignment="1">
      <alignment horizontal="center"/>
    </xf>
    <xf numFmtId="0" fontId="13" fillId="0" borderId="5" xfId="0" applyFont="1" applyBorder="1" applyAlignment="1">
      <alignment horizontal="left"/>
    </xf>
    <xf numFmtId="14" fontId="10" fillId="0" borderId="8" xfId="0" applyNumberFormat="1" applyFont="1" applyBorder="1" applyAlignment="1">
      <alignment horizontal="center"/>
    </xf>
    <xf numFmtId="49" fontId="10" fillId="0" borderId="8" xfId="0" applyNumberFormat="1" applyFont="1" applyBorder="1" applyAlignment="1">
      <alignment horizontal="center"/>
    </xf>
    <xf numFmtId="0" fontId="11" fillId="0" borderId="8" xfId="0" applyNumberFormat="1" applyFont="1" applyBorder="1" applyAlignment="1">
      <alignment horizontal="center"/>
    </xf>
    <xf numFmtId="0" fontId="51" fillId="0" borderId="5" xfId="0" applyFont="1" applyBorder="1" applyAlignment="1">
      <alignment horizontal="left"/>
    </xf>
    <xf numFmtId="0" fontId="52" fillId="0" borderId="5" xfId="0" applyFont="1" applyBorder="1" applyAlignment="1">
      <alignment horizontal="left"/>
    </xf>
    <xf numFmtId="17" fontId="10" fillId="0" borderId="8" xfId="0" applyNumberFormat="1" applyFont="1" applyBorder="1" applyAlignment="1">
      <alignment horizontal="center"/>
    </xf>
    <xf numFmtId="0" fontId="52" fillId="0" borderId="8" xfId="0" applyFont="1" applyBorder="1" applyAlignment="1">
      <alignment horizontal="center"/>
    </xf>
    <xf numFmtId="0" fontId="50" fillId="0" borderId="14" xfId="0" applyFont="1" applyBorder="1" applyAlignment="1">
      <alignment horizontal="left"/>
    </xf>
    <xf numFmtId="4" fontId="53" fillId="0" borderId="8" xfId="0" applyNumberFormat="1" applyFont="1" applyBorder="1" applyAlignment="1">
      <alignment horizontal="center"/>
    </xf>
    <xf numFmtId="0" fontId="54" fillId="0" borderId="5" xfId="0" applyFont="1" applyBorder="1" applyAlignment="1">
      <alignment horizontal="left"/>
    </xf>
    <xf numFmtId="0" fontId="54" fillId="0" borderId="8" xfId="0" applyFont="1" applyBorder="1" applyAlignment="1">
      <alignment horizontal="center"/>
    </xf>
    <xf numFmtId="4" fontId="55" fillId="0" borderId="8" xfId="0" applyNumberFormat="1" applyFont="1" applyBorder="1" applyAlignment="1">
      <alignment horizontal="center"/>
    </xf>
    <xf numFmtId="0" fontId="54" fillId="0" borderId="14" xfId="0" applyFont="1" applyBorder="1"/>
    <xf numFmtId="0" fontId="54" fillId="0" borderId="14" xfId="0" applyFont="1" applyBorder="1" applyAlignment="1">
      <alignment horizontal="center"/>
    </xf>
    <xf numFmtId="49" fontId="54" fillId="0" borderId="14" xfId="0" applyNumberFormat="1" applyFont="1" applyBorder="1" applyAlignment="1">
      <alignment horizontal="center"/>
    </xf>
    <xf numFmtId="2" fontId="55" fillId="0" borderId="14" xfId="0" applyNumberFormat="1" applyFont="1" applyBorder="1" applyAlignment="1">
      <alignment horizontal="center"/>
    </xf>
    <xf numFmtId="0" fontId="54" fillId="0" borderId="0" xfId="0" applyFont="1" applyBorder="1"/>
    <xf numFmtId="0" fontId="54" fillId="0" borderId="15" xfId="0" applyFont="1" applyBorder="1" applyAlignment="1">
      <alignment horizontal="center"/>
    </xf>
    <xf numFmtId="49" fontId="54" fillId="0" borderId="0" xfId="0" applyNumberFormat="1" applyFont="1" applyBorder="1" applyAlignment="1">
      <alignment horizontal="center"/>
    </xf>
    <xf numFmtId="2" fontId="55" fillId="0" borderId="15" xfId="0" applyNumberFormat="1" applyFont="1" applyBorder="1" applyAlignment="1">
      <alignment horizontal="center"/>
    </xf>
    <xf numFmtId="0" fontId="54" fillId="0" borderId="0" xfId="0" applyFont="1"/>
    <xf numFmtId="0" fontId="54" fillId="0" borderId="15" xfId="0" applyFont="1" applyFill="1" applyBorder="1" applyAlignment="1">
      <alignment horizontal="center"/>
    </xf>
    <xf numFmtId="0" fontId="54" fillId="0" borderId="0" xfId="0" applyFont="1" applyAlignment="1">
      <alignment horizontal="center"/>
    </xf>
    <xf numFmtId="2" fontId="55" fillId="0" borderId="15" xfId="0" applyNumberFormat="1" applyFont="1" applyFill="1" applyBorder="1" applyAlignment="1">
      <alignment horizontal="center"/>
    </xf>
    <xf numFmtId="0" fontId="57" fillId="0" borderId="14" xfId="0" applyFont="1" applyBorder="1" applyAlignment="1">
      <alignment horizontal="left"/>
    </xf>
    <xf numFmtId="0" fontId="58" fillId="5" borderId="0" xfId="0" applyFont="1" applyFill="1" applyAlignment="1"/>
    <xf numFmtId="0" fontId="52" fillId="0" borderId="8" xfId="0" applyNumberFormat="1" applyFont="1" applyBorder="1" applyAlignment="1">
      <alignment horizontal="center"/>
    </xf>
    <xf numFmtId="0" fontId="46" fillId="0" borderId="14" xfId="0" applyNumberFormat="1" applyFont="1" applyBorder="1" applyAlignment="1">
      <alignment horizontal="center"/>
    </xf>
    <xf numFmtId="0" fontId="23" fillId="0" borderId="8" xfId="0" applyNumberFormat="1" applyFont="1" applyBorder="1" applyAlignment="1">
      <alignment horizontal="center"/>
    </xf>
    <xf numFmtId="0" fontId="59" fillId="0" borderId="1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0" fillId="6" borderId="14" xfId="0" applyFont="1" applyFill="1" applyBorder="1" applyAlignment="1">
      <alignment horizontal="center"/>
    </xf>
    <xf numFmtId="0" fontId="60" fillId="6" borderId="0" xfId="0" applyFont="1" applyFill="1" applyAlignment="1"/>
    <xf numFmtId="0" fontId="23" fillId="0" borderId="5" xfId="0" applyFont="1" applyBorder="1" applyAlignment="1">
      <alignment horizontal="left"/>
    </xf>
    <xf numFmtId="0" fontId="10" fillId="0" borderId="16" xfId="0" applyFont="1" applyBorder="1" applyAlignment="1">
      <alignment horizontal="left"/>
    </xf>
    <xf numFmtId="0" fontId="61" fillId="0" borderId="5" xfId="0" applyFont="1" applyBorder="1" applyAlignment="1">
      <alignment horizontal="left"/>
    </xf>
    <xf numFmtId="0" fontId="62" fillId="0" borderId="14" xfId="0" applyFont="1" applyBorder="1" applyAlignment="1">
      <alignment horizontal="left"/>
    </xf>
    <xf numFmtId="0" fontId="54" fillId="0" borderId="0" xfId="0" applyFont="1" applyBorder="1" applyAlignment="1">
      <alignment horizontal="center"/>
    </xf>
    <xf numFmtId="2" fontId="55" fillId="0" borderId="0" xfId="0" applyNumberFormat="1" applyFont="1" applyBorder="1" applyAlignment="1">
      <alignment horizontal="center"/>
    </xf>
    <xf numFmtId="0" fontId="56" fillId="0" borderId="5" xfId="0" applyFont="1" applyBorder="1" applyAlignment="1">
      <alignment horizontal="left"/>
    </xf>
    <xf numFmtId="0" fontId="63" fillId="0" borderId="5" xfId="0" applyFont="1" applyBorder="1" applyAlignment="1">
      <alignment horizontal="left"/>
    </xf>
    <xf numFmtId="14" fontId="11" fillId="0" borderId="8" xfId="0" applyNumberFormat="1" applyFont="1" applyBorder="1" applyAlignment="1">
      <alignment horizontal="center"/>
    </xf>
    <xf numFmtId="16" fontId="11" fillId="0" borderId="8" xfId="0" applyNumberFormat="1" applyFont="1" applyBorder="1" applyAlignment="1">
      <alignment horizontal="center"/>
    </xf>
    <xf numFmtId="0" fontId="52" fillId="0" borderId="7" xfId="0" applyFont="1" applyBorder="1" applyAlignment="1">
      <alignment horizontal="center"/>
    </xf>
    <xf numFmtId="0" fontId="64" fillId="0" borderId="14" xfId="0" applyFont="1" applyBorder="1" applyAlignment="1">
      <alignment horizontal="left"/>
    </xf>
    <xf numFmtId="0" fontId="27" fillId="0" borderId="5" xfId="0" applyFont="1" applyBorder="1" applyAlignment="1">
      <alignment horizontal="left"/>
    </xf>
    <xf numFmtId="0" fontId="65" fillId="0" borderId="14" xfId="0" applyFont="1" applyBorder="1"/>
    <xf numFmtId="0" fontId="52" fillId="0" borderId="3" xfId="0" applyFont="1" applyBorder="1" applyAlignment="1">
      <alignment horizontal="left"/>
    </xf>
    <xf numFmtId="0" fontId="32" fillId="0" borderId="5" xfId="0" applyFont="1" applyBorder="1" applyAlignment="1">
      <alignment horizontal="left"/>
    </xf>
    <xf numFmtId="0" fontId="61" fillId="0" borderId="14" xfId="0" applyFont="1" applyBorder="1"/>
    <xf numFmtId="0" fontId="15" fillId="0" borderId="8" xfId="0" applyNumberFormat="1" applyFont="1" applyBorder="1" applyAlignment="1">
      <alignment horizontal="center"/>
    </xf>
    <xf numFmtId="0" fontId="67" fillId="0" borderId="14" xfId="0" applyFont="1" applyBorder="1" applyAlignment="1">
      <alignment horizontal="left"/>
    </xf>
    <xf numFmtId="0" fontId="34" fillId="0" borderId="5" xfId="0" applyFont="1" applyBorder="1" applyAlignment="1">
      <alignment horizontal="left"/>
    </xf>
    <xf numFmtId="0" fontId="34" fillId="0" borderId="14" xfId="0" applyFont="1" applyBorder="1"/>
    <xf numFmtId="0" fontId="61" fillId="0" borderId="14" xfId="0" applyFont="1" applyBorder="1" applyAlignment="1">
      <alignment horizontal="left"/>
    </xf>
    <xf numFmtId="0" fontId="70" fillId="0" borderId="14" xfId="0" applyFont="1" applyBorder="1" applyAlignment="1">
      <alignment horizontal="left"/>
    </xf>
    <xf numFmtId="0" fontId="11" fillId="0" borderId="5" xfId="0" applyFont="1" applyBorder="1" applyAlignment="1">
      <alignment horizontal="left"/>
    </xf>
    <xf numFmtId="0" fontId="61" fillId="0" borderId="8" xfId="0" applyNumberFormat="1" applyFont="1" applyBorder="1" applyAlignment="1">
      <alignment horizontal="center"/>
    </xf>
    <xf numFmtId="0" fontId="13" fillId="0" borderId="0" xfId="0" applyFont="1"/>
    <xf numFmtId="0" fontId="17" fillId="0" borderId="5" xfId="0" applyFont="1" applyBorder="1" applyAlignment="1">
      <alignment horizontal="left"/>
    </xf>
    <xf numFmtId="0" fontId="71" fillId="0" borderId="5" xfId="0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2" fontId="8" fillId="0" borderId="0" xfId="0" applyNumberFormat="1" applyFont="1" applyBorder="1" applyAlignment="1">
      <alignment horizontal="center"/>
    </xf>
    <xf numFmtId="0" fontId="72" fillId="0" borderId="5" xfId="0" applyFont="1" applyBorder="1" applyAlignment="1">
      <alignment horizontal="left"/>
    </xf>
    <xf numFmtId="0" fontId="73" fillId="0" borderId="5" xfId="0" applyFont="1" applyBorder="1" applyAlignment="1">
      <alignment horizontal="left"/>
    </xf>
    <xf numFmtId="0" fontId="52" fillId="0" borderId="12" xfId="0" applyFont="1" applyBorder="1" applyAlignment="1">
      <alignment horizontal="center"/>
    </xf>
    <xf numFmtId="4" fontId="53" fillId="0" borderId="7" xfId="0" applyNumberFormat="1" applyFont="1" applyBorder="1" applyAlignment="1">
      <alignment horizontal="center"/>
    </xf>
    <xf numFmtId="0" fontId="74" fillId="0" borderId="14" xfId="0" applyFont="1" applyBorder="1" applyAlignment="1">
      <alignment horizontal="left"/>
    </xf>
    <xf numFmtId="0" fontId="75" fillId="0" borderId="14" xfId="0" applyFont="1" applyBorder="1" applyAlignment="1">
      <alignment horizontal="left"/>
    </xf>
    <xf numFmtId="0" fontId="48" fillId="0" borderId="14" xfId="0" applyFont="1" applyBorder="1" applyAlignment="1">
      <alignment horizontal="left"/>
    </xf>
    <xf numFmtId="0" fontId="52" fillId="0" borderId="0" xfId="0" applyFont="1" applyBorder="1" applyAlignment="1"/>
    <xf numFmtId="0" fontId="70" fillId="0" borderId="0" xfId="0" applyFont="1" applyAlignment="1">
      <alignment horizontal="center"/>
    </xf>
    <xf numFmtId="0" fontId="76" fillId="0" borderId="5" xfId="0" applyFont="1" applyBorder="1" applyAlignment="1">
      <alignment horizontal="left"/>
    </xf>
    <xf numFmtId="0" fontId="61" fillId="0" borderId="8" xfId="0" applyFont="1" applyBorder="1" applyAlignment="1">
      <alignment horizontal="left"/>
    </xf>
    <xf numFmtId="0" fontId="54" fillId="0" borderId="0" xfId="0" applyFont="1" applyBorder="1" applyAlignment="1">
      <alignment horizontal="left"/>
    </xf>
    <xf numFmtId="4" fontId="55" fillId="0" borderId="0" xfId="0" applyNumberFormat="1" applyFont="1" applyBorder="1" applyAlignment="1">
      <alignment horizontal="center"/>
    </xf>
    <xf numFmtId="0" fontId="13" fillId="0" borderId="14" xfId="0" applyFont="1" applyBorder="1" applyAlignment="1">
      <alignment horizontal="left"/>
    </xf>
    <xf numFmtId="0" fontId="13" fillId="0" borderId="0" xfId="0" applyFont="1" applyBorder="1" applyAlignment="1"/>
    <xf numFmtId="0" fontId="23" fillId="0" borderId="8" xfId="0" applyFont="1" applyBorder="1" applyAlignment="1">
      <alignment horizontal="left"/>
    </xf>
    <xf numFmtId="2" fontId="10" fillId="0" borderId="0" xfId="0" applyNumberFormat="1" applyFont="1" applyAlignment="1">
      <alignment horizontal="center"/>
    </xf>
    <xf numFmtId="4" fontId="10" fillId="0" borderId="0" xfId="0" applyNumberFormat="1" applyFont="1" applyBorder="1" applyAlignment="1">
      <alignment horizontal="center"/>
    </xf>
    <xf numFmtId="0" fontId="17" fillId="0" borderId="0" xfId="0" applyFont="1" applyBorder="1" applyAlignment="1">
      <alignment horizontal="left"/>
    </xf>
    <xf numFmtId="0" fontId="17" fillId="0" borderId="0" xfId="0" applyFont="1" applyAlignment="1"/>
    <xf numFmtId="0" fontId="3" fillId="2" borderId="2" xfId="0" applyFont="1" applyFill="1" applyBorder="1" applyAlignment="1">
      <alignment horizontal="left"/>
    </xf>
    <xf numFmtId="0" fontId="9" fillId="0" borderId="2" xfId="0" applyFont="1" applyBorder="1"/>
    <xf numFmtId="0" fontId="37" fillId="0" borderId="1" xfId="0" applyFont="1" applyBorder="1" applyAlignment="1">
      <alignment horizontal="center"/>
    </xf>
    <xf numFmtId="0" fontId="9" fillId="0" borderId="3" xfId="0" applyFont="1" applyBorder="1"/>
    <xf numFmtId="0" fontId="9" fillId="0" borderId="9" xfId="0" applyFont="1" applyBorder="1"/>
    <xf numFmtId="0" fontId="9" fillId="0" borderId="12" xfId="0" applyFont="1" applyBorder="1"/>
    <xf numFmtId="0" fontId="9" fillId="0" borderId="8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4571"/>
  <sheetViews>
    <sheetView topLeftCell="A4523" workbookViewId="0">
      <selection activeCell="C4563" sqref="C4563"/>
    </sheetView>
  </sheetViews>
  <sheetFormatPr defaultColWidth="12.5703125" defaultRowHeight="15.75" customHeight="1"/>
  <cols>
    <col min="1" max="1" width="8.7109375" customWidth="1"/>
    <col min="2" max="2" width="56.7109375" hidden="1" customWidth="1"/>
    <col min="3" max="3" width="60.42578125" style="86" customWidth="1"/>
    <col min="4" max="4" width="13.85546875" customWidth="1"/>
    <col min="6" max="6" width="12.5703125" style="109"/>
  </cols>
  <sheetData>
    <row r="1" spans="1:9" ht="15.75" customHeight="1">
      <c r="A1" s="1" t="s">
        <v>0</v>
      </c>
      <c r="B1" s="2" t="s">
        <v>1</v>
      </c>
      <c r="C1" s="83"/>
      <c r="D1" s="3"/>
      <c r="E1" s="3"/>
      <c r="F1" s="87" t="s">
        <v>2</v>
      </c>
      <c r="G1" s="4"/>
      <c r="H1" s="4"/>
      <c r="I1" s="4"/>
    </row>
    <row r="2" spans="1:9" ht="15.75" customHeight="1">
      <c r="A2" s="5"/>
      <c r="B2" s="6" t="s">
        <v>3</v>
      </c>
      <c r="C2" s="84" t="s">
        <v>6030</v>
      </c>
      <c r="D2" s="135" t="s">
        <v>6031</v>
      </c>
      <c r="E2" s="7" t="s">
        <v>6032</v>
      </c>
      <c r="F2" s="88" t="s">
        <v>6033</v>
      </c>
      <c r="G2" s="4"/>
      <c r="H2" s="4"/>
      <c r="I2" s="4"/>
    </row>
    <row r="3" spans="1:9" ht="15.75" customHeight="1">
      <c r="A3" s="8"/>
      <c r="B3" s="9" t="s">
        <v>4</v>
      </c>
      <c r="C3" s="110" t="s">
        <v>6034</v>
      </c>
      <c r="D3" s="248"/>
      <c r="E3" s="249"/>
      <c r="F3" s="89"/>
      <c r="G3" s="4"/>
      <c r="H3" s="4"/>
      <c r="I3" s="4"/>
    </row>
    <row r="4" spans="1:9" ht="15.75" customHeight="1">
      <c r="A4" s="10">
        <v>1</v>
      </c>
      <c r="B4" s="11" t="s">
        <v>5</v>
      </c>
      <c r="C4" s="85" t="str">
        <f ca="1">IFERROR(__xludf.DUMMYFUNCTION("GOOGLETRANSLATE(B4:B19,""RU"",""UK"")"),"Таль електрич. Пересувна (трос) 0.5тн. 6м.")</f>
        <v>Таль електрич. Пересувна (трос) 0.5тн. 6м.</v>
      </c>
      <c r="D4" s="12" t="s">
        <v>6</v>
      </c>
      <c r="E4" s="12">
        <v>2</v>
      </c>
      <c r="F4" s="90">
        <v>16530</v>
      </c>
      <c r="G4" s="4"/>
      <c r="H4" s="4"/>
      <c r="I4" s="4"/>
    </row>
    <row r="5" spans="1:9" ht="15.75" customHeight="1">
      <c r="A5" s="13">
        <f>A4+1</f>
        <v>2</v>
      </c>
      <c r="B5" s="14" t="s">
        <v>7</v>
      </c>
      <c r="C5" s="85" t="str">
        <f ca="1">IFERROR(__xludf.DUMMYFUNCTION("GOOGLETRANSLATE(B5:B20,""RU"",""UK"")"),"Таль електрич. Пересувна (трос) 0.25тн. 6м.")</f>
        <v>Таль електрич. Пересувна (трос) 0.25тн. 6м.</v>
      </c>
      <c r="D5" s="15" t="s">
        <v>6</v>
      </c>
      <c r="E5" s="15">
        <v>1</v>
      </c>
      <c r="F5" s="91">
        <v>12000</v>
      </c>
      <c r="G5" s="4"/>
      <c r="H5" s="4"/>
      <c r="I5" s="4"/>
    </row>
    <row r="6" spans="1:9" ht="15.75" customHeight="1">
      <c r="A6" s="21">
        <f t="shared" ref="A6:A69" si="0">A5+1</f>
        <v>3</v>
      </c>
      <c r="B6" s="14" t="s">
        <v>8</v>
      </c>
      <c r="C6" s="85" t="str">
        <f ca="1">IFERROR(__xludf.DUMMYFUNCTION("GOOGLETRANSLATE(B6:B21,""RU"",""UK"")"),"Таль ручна шестерна ланцюгова 2.0тн в.п.3м (вага 50кг.)")</f>
        <v>Таль ручна шестерна ланцюгова 2.0тн в.п.3м (вага 50кг.)</v>
      </c>
      <c r="D6" s="15" t="s">
        <v>6</v>
      </c>
      <c r="E6" s="15">
        <v>3</v>
      </c>
      <c r="F6" s="91">
        <v>3600</v>
      </c>
      <c r="G6" s="4"/>
      <c r="H6" s="4"/>
      <c r="I6" s="4"/>
    </row>
    <row r="7" spans="1:9" ht="15.75" customHeight="1">
      <c r="A7" s="21">
        <f t="shared" si="0"/>
        <v>4</v>
      </c>
      <c r="B7" s="16" t="s">
        <v>9</v>
      </c>
      <c r="C7" s="85" t="str">
        <f ca="1">IFERROR(__xludf.DUMMYFUNCTION("GOOGLETRANSLATE(B7:B22,""RU"",""UK"")"),"Лебідка важільна РБС г.під. 0.5тн")</f>
        <v>Лебідка важільна РБС г.під. 0.5тн</v>
      </c>
      <c r="D7" s="15" t="s">
        <v>6</v>
      </c>
      <c r="E7" s="15">
        <v>1</v>
      </c>
      <c r="F7" s="91" t="s">
        <v>10</v>
      </c>
      <c r="G7" s="4"/>
      <c r="H7" s="4"/>
      <c r="I7" s="4"/>
    </row>
    <row r="8" spans="1:9" ht="15.75" customHeight="1">
      <c r="A8" s="21">
        <f t="shared" si="0"/>
        <v>5</v>
      </c>
      <c r="B8" s="16" t="s">
        <v>11</v>
      </c>
      <c r="C8" s="85" t="str">
        <f ca="1">IFERROR(__xludf.DUMMYFUNCTION("GOOGLETRANSLATE(B8:B23,""RU"",""UK"")"),"Молоток рубальний пневматичний ІП4126 б/у")</f>
        <v>Молоток рубальний пневматичний ІП4126 б/у</v>
      </c>
      <c r="D8" s="17" t="s">
        <v>6</v>
      </c>
      <c r="E8" s="17">
        <v>1</v>
      </c>
      <c r="F8" s="92" t="s">
        <v>12</v>
      </c>
      <c r="G8" s="4"/>
      <c r="H8" s="4"/>
      <c r="I8" s="4"/>
    </row>
    <row r="9" spans="1:9" ht="15.75" customHeight="1">
      <c r="A9" s="21">
        <f t="shared" si="0"/>
        <v>6</v>
      </c>
      <c r="B9" s="16" t="s">
        <v>13</v>
      </c>
      <c r="C9" s="85" t="str">
        <f ca="1">IFERROR(__xludf.DUMMYFUNCTION("GOOGLETRANSLATE(B9:B24,""RU"",""UK"")"),"Молоток рубальний пневматичний ІП4119")</f>
        <v>Молоток рубальний пневматичний ІП4119</v>
      </c>
      <c r="D9" s="17" t="s">
        <v>6</v>
      </c>
      <c r="E9" s="17">
        <v>3</v>
      </c>
      <c r="F9" s="92" t="s">
        <v>14</v>
      </c>
      <c r="G9" s="4"/>
      <c r="H9" s="4"/>
      <c r="I9" s="4"/>
    </row>
    <row r="10" spans="1:9" ht="15.75" customHeight="1">
      <c r="A10" s="21">
        <f t="shared" si="0"/>
        <v>7</v>
      </c>
      <c r="B10" s="16" t="s">
        <v>15</v>
      </c>
      <c r="C10" s="85" t="str">
        <f ca="1">IFERROR(__xludf.DUMMYFUNCTION("GOOGLETRANSLATE(B10:B25,""RU"",""UK"")"),"Зубило до молотка рубального ІП 4119 L250 d20")</f>
        <v>Зубило до молотка рубального ІП 4119 L250 d20</v>
      </c>
      <c r="D10" s="17" t="s">
        <v>6</v>
      </c>
      <c r="E10" s="17">
        <v>6</v>
      </c>
      <c r="F10" s="92" t="s">
        <v>16</v>
      </c>
      <c r="G10" s="4"/>
      <c r="H10" s="4"/>
      <c r="I10" s="4"/>
    </row>
    <row r="11" spans="1:9" ht="15.75" customHeight="1">
      <c r="A11" s="21">
        <f t="shared" si="0"/>
        <v>8</v>
      </c>
      <c r="B11" s="14" t="s">
        <v>17</v>
      </c>
      <c r="C11" s="85" t="str">
        <f ca="1">IFERROR(__xludf.DUMMYFUNCTION("GOOGLETRANSLATE(B11:B26,""RU"",""UK"")"),"Лопатка до бетонолому ІП-4607")</f>
        <v>Лопатка до бетонолому ІП-4607</v>
      </c>
      <c r="D11" s="15" t="s">
        <v>6</v>
      </c>
      <c r="E11" s="15">
        <v>3</v>
      </c>
      <c r="F11" s="91" t="s">
        <v>18</v>
      </c>
      <c r="G11" s="4"/>
      <c r="H11" s="4"/>
      <c r="I11" s="4"/>
    </row>
    <row r="12" spans="1:9" ht="15.75" customHeight="1">
      <c r="A12" s="21">
        <f t="shared" si="0"/>
        <v>9</v>
      </c>
      <c r="B12" s="18" t="s">
        <v>19</v>
      </c>
      <c r="C12" s="85" t="str">
        <f ca="1">IFERROR(__xludf.DUMMYFUNCTION("GOOGLETRANSLATE(B12:B27,""RU"",""UK"")"),"Піка до МО-2, МО-3, ІП 4613")</f>
        <v>Піка до МО-2, МО-3, ІП 4613</v>
      </c>
      <c r="D12" s="15" t="s">
        <v>6</v>
      </c>
      <c r="E12" s="15">
        <v>18</v>
      </c>
      <c r="F12" s="91" t="s">
        <v>20</v>
      </c>
      <c r="G12" s="4"/>
      <c r="H12" s="4"/>
      <c r="I12" s="4"/>
    </row>
    <row r="13" spans="1:9" ht="15.75" customHeight="1">
      <c r="A13" s="21">
        <f t="shared" si="0"/>
        <v>10</v>
      </c>
      <c r="B13" s="18" t="s">
        <v>21</v>
      </c>
      <c r="C13" s="85" t="str">
        <f ca="1">IFERROR(__xludf.DUMMYFUNCTION("GOOGLETRANSLATE(B13:B28,""RU"",""UK"")"),"Піка до МО-2, МО-3, ІП 4613 подовжена 450мм")</f>
        <v>Піка до МО-2, МО-3, ІП 4613 подовжена 450мм</v>
      </c>
      <c r="D13" s="15" t="s">
        <v>6</v>
      </c>
      <c r="E13" s="15">
        <v>5</v>
      </c>
      <c r="F13" s="91" t="s">
        <v>22</v>
      </c>
      <c r="G13" s="4"/>
      <c r="H13" s="4"/>
      <c r="I13" s="4"/>
    </row>
    <row r="14" spans="1:9" ht="15.75" customHeight="1">
      <c r="A14" s="21">
        <f t="shared" si="0"/>
        <v>11</v>
      </c>
      <c r="B14" s="18" t="s">
        <v>23</v>
      </c>
      <c r="C14" s="85" t="str">
        <f ca="1">IFERROR(__xludf.DUMMYFUNCTION("GOOGLETRANSLATE(B14:B29,""RU"",""UK"")"),"Лопатка до МО-2, МО-3, ІП 4613")</f>
        <v>Лопатка до МО-2, МО-3, ІП 4613</v>
      </c>
      <c r="D14" s="15" t="s">
        <v>6</v>
      </c>
      <c r="E14" s="15">
        <v>5</v>
      </c>
      <c r="F14" s="91" t="s">
        <v>24</v>
      </c>
      <c r="G14" s="4"/>
      <c r="H14" s="4"/>
      <c r="I14" s="4"/>
    </row>
    <row r="15" spans="1:9" ht="15.75" customHeight="1">
      <c r="A15" s="21">
        <f t="shared" si="0"/>
        <v>12</v>
      </c>
      <c r="B15" s="14" t="s">
        <v>25</v>
      </c>
      <c r="C15" s="85" t="str">
        <f ca="1">IFERROR(__xludf.DUMMYFUNCTION("GOOGLETRANSLATE(B15:B30,""RU"",""UK"")"),"Пружина кінцева до МО-2")</f>
        <v>Пружина кінцева до МО-2</v>
      </c>
      <c r="D15" s="15" t="s">
        <v>6</v>
      </c>
      <c r="E15" s="15">
        <v>8</v>
      </c>
      <c r="F15" s="91" t="s">
        <v>24</v>
      </c>
      <c r="G15" s="4"/>
      <c r="H15" s="4"/>
      <c r="I15" s="4"/>
    </row>
    <row r="16" spans="1:9" ht="15.75" customHeight="1">
      <c r="A16" s="21">
        <f t="shared" si="0"/>
        <v>13</v>
      </c>
      <c r="B16" s="14" t="s">
        <v>26</v>
      </c>
      <c r="C16" s="85" t="str">
        <f ca="1">IFERROR(__xludf.DUMMYFUNCTION("GOOGLETRANSLATE(B16:B31,""RU"",""UK"")"),"Склянка до ІП-4613 МО")</f>
        <v>Склянка до ІП-4613 МО</v>
      </c>
      <c r="D16" s="15" t="s">
        <v>6</v>
      </c>
      <c r="E16" s="15">
        <v>6</v>
      </c>
      <c r="F16" s="91" t="s">
        <v>27</v>
      </c>
      <c r="G16" s="4"/>
      <c r="H16" s="4"/>
      <c r="I16" s="4"/>
    </row>
    <row r="17" spans="1:9" ht="15.75" customHeight="1">
      <c r="A17" s="21">
        <f t="shared" si="0"/>
        <v>14</v>
      </c>
      <c r="B17" s="14" t="s">
        <v>28</v>
      </c>
      <c r="C17" s="85" t="str">
        <f ca="1">IFERROR(__xludf.DUMMYFUNCTION("GOOGLETRANSLATE(B17:B32,""RU"",""UK"")"),"Вібратор глибинний ІВ-47 (двигун)")</f>
        <v>Вібратор глибинний ІВ-47 (двигун)</v>
      </c>
      <c r="D17" s="15" t="s">
        <v>6</v>
      </c>
      <c r="E17" s="15">
        <v>1</v>
      </c>
      <c r="F17" s="91" t="s">
        <v>29</v>
      </c>
      <c r="G17" s="4"/>
      <c r="H17" s="4"/>
      <c r="I17" s="4"/>
    </row>
    <row r="18" spans="1:9" ht="15.75" customHeight="1">
      <c r="A18" s="21">
        <f t="shared" si="0"/>
        <v>15</v>
      </c>
      <c r="B18" s="14" t="s">
        <v>30</v>
      </c>
      <c r="C18" s="85" t="str">
        <f ca="1">IFERROR(__xludf.DUMMYFUNCTION("GOOGLETRANSLATE(B18:B33,""RU"",""UK"")"),"Булава до вібратора (Росія) 76мм.")</f>
        <v>Булава до вібратора (Росія) 76мм.</v>
      </c>
      <c r="D18" s="15" t="s">
        <v>6</v>
      </c>
      <c r="E18" s="15">
        <v>3</v>
      </c>
      <c r="F18" s="91">
        <v>924</v>
      </c>
      <c r="G18" s="4"/>
      <c r="H18" s="4"/>
      <c r="I18" s="4"/>
    </row>
    <row r="19" spans="1:9" ht="15.75" customHeight="1">
      <c r="A19" s="21">
        <f t="shared" si="0"/>
        <v>16</v>
      </c>
      <c r="B19" s="19" t="s">
        <v>31</v>
      </c>
      <c r="C19" s="85" t="str">
        <f ca="1">IFERROR(__xludf.DUMMYFUNCTION("GOOGLETRANSLATE(B19:B34,""RU"",""UK"")"),"Фарборозпилювач СО-71Б із бачком")</f>
        <v>Фарборозпилювач СО-71Б із бачком</v>
      </c>
      <c r="D19" s="15" t="s">
        <v>6</v>
      </c>
      <c r="E19" s="15">
        <v>0</v>
      </c>
      <c r="F19" s="91" t="s">
        <v>29</v>
      </c>
      <c r="G19" s="20"/>
      <c r="H19" s="4"/>
      <c r="I19" s="4"/>
    </row>
    <row r="20" spans="1:9" ht="15.75" customHeight="1">
      <c r="A20" s="21">
        <f t="shared" si="0"/>
        <v>17</v>
      </c>
      <c r="B20" s="14" t="s">
        <v>32</v>
      </c>
      <c r="C20" s="85" t="str">
        <f ca="1">IFERROR(__xludf.DUMMYFUNCTION("GOOGLETRANSLATE(B20:B35,""RU"",""UK"")"),"Фарборозпилювач СО-71А без бачка")</f>
        <v>Фарборозпилювач СО-71А без бачка</v>
      </c>
      <c r="D20" s="15" t="s">
        <v>6</v>
      </c>
      <c r="E20" s="15">
        <v>2</v>
      </c>
      <c r="F20" s="91" t="s">
        <v>33</v>
      </c>
      <c r="G20" s="20"/>
      <c r="H20" s="4"/>
      <c r="I20" s="4"/>
    </row>
    <row r="21" spans="1:9" ht="15.75" customHeight="1">
      <c r="A21" s="21">
        <f t="shared" si="0"/>
        <v>18</v>
      </c>
      <c r="B21" s="14" t="s">
        <v>34</v>
      </c>
      <c r="C21" s="85" t="str">
        <f ca="1">IFERROR(__xludf.DUMMYFUNCTION("GOOGLETRANSLATE(B21:B36,""RU"",""UK"")"),"Фарборозпилювач КРП-10 (без бачка)")</f>
        <v>Фарборозпилювач КРП-10 (без бачка)</v>
      </c>
      <c r="D21" s="15" t="s">
        <v>6</v>
      </c>
      <c r="E21" s="15">
        <v>15</v>
      </c>
      <c r="F21" s="91" t="s">
        <v>33</v>
      </c>
      <c r="G21" s="20"/>
      <c r="H21" s="4"/>
      <c r="I21" s="4"/>
    </row>
    <row r="22" spans="1:9" ht="15.75" customHeight="1">
      <c r="A22" s="21">
        <f t="shared" si="0"/>
        <v>19</v>
      </c>
      <c r="B22" s="16" t="s">
        <v>35</v>
      </c>
      <c r="C22" s="85" t="str">
        <f ca="1">IFERROR(__xludf.DUMMYFUNCTION("GOOGLETRANSLATE(B22:B37,""RU"",""UK"")"),"Фарборозпилювач КА-2")</f>
        <v>Фарборозпилювач КА-2</v>
      </c>
      <c r="D22" s="15" t="s">
        <v>6</v>
      </c>
      <c r="E22" s="15">
        <v>1</v>
      </c>
      <c r="F22" s="91" t="s">
        <v>36</v>
      </c>
      <c r="G22" s="20"/>
      <c r="H22" s="4"/>
      <c r="I22" s="3"/>
    </row>
    <row r="23" spans="1:9" ht="15.75" customHeight="1">
      <c r="A23" s="21">
        <f t="shared" si="0"/>
        <v>20</v>
      </c>
      <c r="B23" s="14" t="s">
        <v>37</v>
      </c>
      <c r="C23" s="85" t="str">
        <f ca="1">IFERROR(__xludf.DUMMYFUNCTION("GOOGLETRANSLATE(B23:B38,""RU"",""UK"")"),"Краскопульт СО-20")</f>
        <v>Краскопульт СО-20</v>
      </c>
      <c r="D23" s="15" t="s">
        <v>6</v>
      </c>
      <c r="E23" s="15">
        <v>2</v>
      </c>
      <c r="F23" s="91" t="s">
        <v>38</v>
      </c>
      <c r="G23" s="20"/>
      <c r="H23" s="4"/>
      <c r="I23" s="4"/>
    </row>
    <row r="24" spans="1:9" ht="15.75" customHeight="1">
      <c r="A24" s="21">
        <f t="shared" si="0"/>
        <v>21</v>
      </c>
      <c r="B24" s="14" t="s">
        <v>39</v>
      </c>
      <c r="C24" s="85" t="str">
        <f ca="1">IFERROR(__xludf.DUMMYFUNCTION("GOOGLETRANSLATE(B24:B39,""RU"",""UK"")"),"Тиски верстатні поворотні 250мм (реставр.)")</f>
        <v>Тиски верстатні поворотні 250мм (реставр.)</v>
      </c>
      <c r="D24" s="15" t="s">
        <v>6</v>
      </c>
      <c r="E24" s="15">
        <v>5</v>
      </c>
      <c r="F24" s="91" t="s">
        <v>40</v>
      </c>
      <c r="G24" s="20"/>
      <c r="H24" s="4"/>
      <c r="I24" s="4"/>
    </row>
    <row r="25" spans="1:9" ht="15.75" customHeight="1">
      <c r="A25" s="21">
        <f t="shared" si="0"/>
        <v>22</v>
      </c>
      <c r="B25" s="16" t="s">
        <v>41</v>
      </c>
      <c r="C25" s="85" t="str">
        <f ca="1">IFERROR(__xludf.DUMMYFUNCTION("GOOGLETRANSLATE(B25:B40,""RU"",""UK"")"),"Тиски верстатні поворотні 200мм (реставр.)")</f>
        <v>Тиски верстатні поворотні 200мм (реставр.)</v>
      </c>
      <c r="D25" s="15" t="s">
        <v>6</v>
      </c>
      <c r="E25" s="15">
        <v>1</v>
      </c>
      <c r="F25" s="91" t="s">
        <v>42</v>
      </c>
      <c r="G25" s="20"/>
      <c r="H25" s="4"/>
      <c r="I25" s="4"/>
    </row>
    <row r="26" spans="1:9" ht="15.75" customHeight="1">
      <c r="A26" s="21">
        <f t="shared" si="0"/>
        <v>23</v>
      </c>
      <c r="B26" s="19" t="s">
        <v>43</v>
      </c>
      <c r="C26" s="85" t="str">
        <f ca="1">IFERROR(__xludf.DUMMYFUNCTION("GOOGLETRANSLATE(B26:B41,""RU"",""UK"")"),"Тиски верстатні поворотні 160мм (реставр.)")</f>
        <v>Тиски верстатні поворотні 160мм (реставр.)</v>
      </c>
      <c r="D26" s="15" t="s">
        <v>6</v>
      </c>
      <c r="E26" s="15">
        <v>0</v>
      </c>
      <c r="F26" s="91" t="s">
        <v>44</v>
      </c>
      <c r="G26" s="20"/>
      <c r="H26" s="4"/>
      <c r="I26" s="4"/>
    </row>
    <row r="27" spans="1:9" ht="15.75" customHeight="1">
      <c r="A27" s="21">
        <f t="shared" si="0"/>
        <v>24</v>
      </c>
      <c r="B27" s="14" t="s">
        <v>45</v>
      </c>
      <c r="C27" s="85" t="str">
        <f ca="1">IFERROR(__xludf.DUMMYFUNCTION("GOOGLETRANSLATE(B27:B42,""RU"",""UK"")"),"Тиски верстатні не поворотні з гідроприводом, Т-подібн. пазами, 160мм")</f>
        <v>Тиски верстатні не поворотні з гідроприводом, Т-подібн. пазами, 160мм</v>
      </c>
      <c r="D27" s="15" t="s">
        <v>6</v>
      </c>
      <c r="E27" s="15">
        <v>1</v>
      </c>
      <c r="F27" s="91" t="s">
        <v>46</v>
      </c>
      <c r="G27" s="20"/>
      <c r="H27" s="4"/>
      <c r="I27" s="4"/>
    </row>
    <row r="28" spans="1:9" ht="15.75" customHeight="1">
      <c r="A28" s="21">
        <f t="shared" si="0"/>
        <v>25</v>
      </c>
      <c r="B28" s="19" t="s">
        <v>47</v>
      </c>
      <c r="C28" s="85" t="str">
        <f ca="1">IFERROR(__xludf.DUMMYFUNCTION("GOOGLETRANSLATE(B28:B43,""RU"",""UK"")"),"Тиски верстатні поворотні 125мм легке б/у")</f>
        <v>Тиски верстатні поворотні 125мм легке б/у</v>
      </c>
      <c r="D28" s="17" t="s">
        <v>6</v>
      </c>
      <c r="E28" s="17">
        <v>0</v>
      </c>
      <c r="F28" s="91" t="s">
        <v>48</v>
      </c>
      <c r="G28" s="20"/>
      <c r="H28" s="4"/>
      <c r="I28" s="4"/>
    </row>
    <row r="29" spans="1:9" ht="15.75" customHeight="1">
      <c r="A29" s="21">
        <f t="shared" si="0"/>
        <v>26</v>
      </c>
      <c r="B29" s="19" t="s">
        <v>49</v>
      </c>
      <c r="C29" s="85" t="str">
        <f ca="1">IFERROR(__xludf.DUMMYFUNCTION("GOOGLETRANSLATE(B29:B44,""RU"",""UK"")"),"Тиски лекальні 100мм")</f>
        <v>Тиски лекальні 100мм</v>
      </c>
      <c r="D29" s="15" t="s">
        <v>6</v>
      </c>
      <c r="E29" s="15">
        <v>0</v>
      </c>
      <c r="F29" s="91" t="s">
        <v>50</v>
      </c>
      <c r="G29" s="20"/>
      <c r="H29" s="4"/>
      <c r="I29" s="4"/>
    </row>
    <row r="30" spans="1:9" ht="15.75" customHeight="1">
      <c r="A30" s="21">
        <f t="shared" si="0"/>
        <v>27</v>
      </c>
      <c r="B30" s="14" t="s">
        <v>51</v>
      </c>
      <c r="C30" s="85" t="str">
        <f ca="1">IFERROR(__xludf.DUMMYFUNCTION("GOOGLETRANSLATE(B30:B45,""RU"",""UK"")"),"Тиски лекальні синусні 125мм (б/в)")</f>
        <v>Тиски лекальні синусні 125мм (б/в)</v>
      </c>
      <c r="D30" s="15" t="s">
        <v>6</v>
      </c>
      <c r="E30" s="15">
        <v>1</v>
      </c>
      <c r="F30" s="91" t="s">
        <v>42</v>
      </c>
      <c r="G30" s="20"/>
      <c r="H30" s="4"/>
      <c r="I30" s="4"/>
    </row>
    <row r="31" spans="1:9" ht="15.75" customHeight="1">
      <c r="A31" s="21">
        <f t="shared" si="0"/>
        <v>28</v>
      </c>
      <c r="B31" s="14" t="s">
        <v>52</v>
      </c>
      <c r="C31" s="85" t="str">
        <f ca="1">IFERROR(__xludf.DUMMYFUNCTION("GOOGLETRANSLATE(B31:B46,""RU"",""UK"")"),"Тиски ручні 45мм")</f>
        <v>Тиски ручні 45мм</v>
      </c>
      <c r="D31" s="15" t="s">
        <v>6</v>
      </c>
      <c r="E31" s="15">
        <v>4</v>
      </c>
      <c r="F31" s="91" t="s">
        <v>53</v>
      </c>
      <c r="G31" s="20"/>
      <c r="H31" s="4"/>
      <c r="I31" s="4"/>
    </row>
    <row r="32" spans="1:9" ht="15.75" customHeight="1">
      <c r="A32" s="21">
        <f t="shared" si="0"/>
        <v>29</v>
      </c>
      <c r="B32" s="19" t="s">
        <v>54</v>
      </c>
      <c r="C32" s="85" t="str">
        <f ca="1">IFERROR(__xludf.DUMMYFUNCTION("GOOGLETRANSLATE(B32:B47,""RU"",""UK"")"),"Тиски слюсарні не поворотні 80мм")</f>
        <v>Тиски слюсарні не поворотні 80мм</v>
      </c>
      <c r="D32" s="15" t="s">
        <v>6</v>
      </c>
      <c r="E32" s="15">
        <v>0</v>
      </c>
      <c r="F32" s="91" t="s">
        <v>55</v>
      </c>
      <c r="G32" s="20"/>
      <c r="H32" s="4"/>
      <c r="I32" s="4"/>
    </row>
    <row r="33" spans="1:9" ht="15.75" customHeight="1">
      <c r="A33" s="21">
        <f t="shared" si="0"/>
        <v>30</v>
      </c>
      <c r="B33" s="14" t="s">
        <v>56</v>
      </c>
      <c r="C33" s="85" t="str">
        <f ca="1">IFERROR(__xludf.DUMMYFUNCTION("GOOGLETRANSLATE(B33:B48,""RU"",""UK"")"),"Тиски слюсарні поворотні 120мм")</f>
        <v>Тиски слюсарні поворотні 120мм</v>
      </c>
      <c r="D33" s="15" t="s">
        <v>6</v>
      </c>
      <c r="E33" s="15">
        <v>4</v>
      </c>
      <c r="F33" s="91" t="s">
        <v>50</v>
      </c>
      <c r="G33" s="20"/>
      <c r="H33" s="4"/>
      <c r="I33" s="4"/>
    </row>
    <row r="34" spans="1:9" ht="15.75" customHeight="1">
      <c r="A34" s="21">
        <f t="shared" si="0"/>
        <v>31</v>
      </c>
      <c r="B34" s="14" t="s">
        <v>57</v>
      </c>
      <c r="C34" s="85" t="str">
        <f ca="1">IFERROR(__xludf.DUMMYFUNCTION("GOOGLETRANSLATE(B34:B49,""RU"",""UK"")"),"Тиски слюсарні не поворотні 120мм")</f>
        <v>Тиски слюсарні не поворотні 120мм</v>
      </c>
      <c r="D34" s="15" t="s">
        <v>6</v>
      </c>
      <c r="E34" s="15">
        <v>2</v>
      </c>
      <c r="F34" s="91" t="s">
        <v>14</v>
      </c>
      <c r="G34" s="20"/>
      <c r="H34" s="4"/>
      <c r="I34" s="4"/>
    </row>
    <row r="35" spans="1:9" ht="15.75" customHeight="1">
      <c r="A35" s="21">
        <f t="shared" si="0"/>
        <v>32</v>
      </c>
      <c r="B35" s="16" t="s">
        <v>58</v>
      </c>
      <c r="C35" s="85" t="str">
        <f ca="1">IFERROR(__xludf.DUMMYFUNCTION("GOOGLETRANSLATE(B35:B50,""RU"",""UK"")"),"Тиски слюсарні поворотні 140мм")</f>
        <v>Тиски слюсарні поворотні 140мм</v>
      </c>
      <c r="D35" s="15" t="s">
        <v>6</v>
      </c>
      <c r="E35" s="15">
        <v>7</v>
      </c>
      <c r="F35" s="91" t="s">
        <v>59</v>
      </c>
      <c r="G35" s="20"/>
      <c r="H35" s="4"/>
      <c r="I35" s="4"/>
    </row>
    <row r="36" spans="1:9" ht="15">
      <c r="A36" s="21">
        <f t="shared" si="0"/>
        <v>33</v>
      </c>
      <c r="B36" s="14" t="s">
        <v>60</v>
      </c>
      <c r="C36" s="85" t="str">
        <f ca="1">IFERROR(__xludf.DUMMYFUNCTION("GOOGLETRANSLATE(B36:B51,""RU"",""UK"")"),"Тиски слюсарні не поворотні 150мм")</f>
        <v>Тиски слюсарні не поворотні 150мм</v>
      </c>
      <c r="D36" s="15" t="s">
        <v>6</v>
      </c>
      <c r="E36" s="15">
        <v>1</v>
      </c>
      <c r="F36" s="91" t="s">
        <v>61</v>
      </c>
      <c r="G36" s="20"/>
      <c r="H36" s="4"/>
      <c r="I36" s="4"/>
    </row>
    <row r="37" spans="1:9" ht="15">
      <c r="A37" s="21">
        <f t="shared" si="0"/>
        <v>34</v>
      </c>
      <c r="B37" s="16" t="s">
        <v>62</v>
      </c>
      <c r="C37" s="85" t="str">
        <f ca="1">IFERROR(__xludf.DUMMYFUNCTION("GOOGLETRANSLATE(B37:B52,""RU"",""UK"")"),"Труборіз роликовий 1/2""- 2,5"" Б/в")</f>
        <v>Труборіз роликовий 1/2"- 2,5" Б/в</v>
      </c>
      <c r="D37" s="15" t="s">
        <v>6</v>
      </c>
      <c r="E37" s="15">
        <v>1</v>
      </c>
      <c r="F37" s="91" t="s">
        <v>63</v>
      </c>
      <c r="G37" s="20"/>
      <c r="H37" s="4"/>
      <c r="I37" s="4"/>
    </row>
    <row r="38" spans="1:9" ht="15">
      <c r="A38" s="21">
        <f t="shared" si="0"/>
        <v>35</v>
      </c>
      <c r="B38" s="14" t="s">
        <v>64</v>
      </c>
      <c r="C38" s="85" t="str">
        <f ca="1">IFERROR(__xludf.DUMMYFUNCTION("GOOGLETRANSLATE(B38:B53,""RU"",""UK"")"),"Стіл верстатний поворотний ручний 250мм (м. Барановичі) горизонт.")</f>
        <v>Стіл верстатний поворотний ручний 250мм (м. Барановичі) горизонт.</v>
      </c>
      <c r="D38" s="15" t="s">
        <v>6</v>
      </c>
      <c r="E38" s="15">
        <v>2</v>
      </c>
      <c r="F38" s="91" t="s">
        <v>42</v>
      </c>
      <c r="G38" s="20"/>
      <c r="H38" s="4"/>
      <c r="I38" s="4"/>
    </row>
    <row r="39" spans="1:9" ht="15">
      <c r="A39" s="21">
        <f t="shared" si="0"/>
        <v>36</v>
      </c>
      <c r="B39" s="16" t="s">
        <v>65</v>
      </c>
      <c r="C39" s="85" t="str">
        <f ca="1">IFERROR(__xludf.DUMMYFUNCTION("GOOGLETRANSLATE(B39:B54,""RU"",""UK"")"),"Плита магнітна 400х125мм Дрогобич")</f>
        <v>Плита магнітна 400х125мм Дрогобич</v>
      </c>
      <c r="D39" s="15" t="s">
        <v>6</v>
      </c>
      <c r="E39" s="15">
        <v>1</v>
      </c>
      <c r="F39" s="91" t="s">
        <v>66</v>
      </c>
      <c r="G39" s="4"/>
      <c r="H39" s="4"/>
      <c r="I39" s="4"/>
    </row>
    <row r="40" spans="1:9" ht="15">
      <c r="A40" s="21">
        <f t="shared" si="0"/>
        <v>37</v>
      </c>
      <c r="B40" s="14" t="s">
        <v>67</v>
      </c>
      <c r="C40" s="85" t="str">
        <f ca="1">IFERROR(__xludf.DUMMYFUNCTION("GOOGLETRANSLATE(B40:B55,""RU"",""UK"")"),"Пневмошліфмашина ІП-2014A")</f>
        <v>Пневмошліфмашина ІП-2014A</v>
      </c>
      <c r="D40" s="15" t="s">
        <v>6</v>
      </c>
      <c r="E40" s="15">
        <v>2</v>
      </c>
      <c r="F40" s="91" t="s">
        <v>68</v>
      </c>
      <c r="G40" s="4"/>
      <c r="H40" s="4"/>
      <c r="I40" s="4"/>
    </row>
    <row r="41" spans="1:9" ht="15">
      <c r="A41" s="21">
        <f t="shared" si="0"/>
        <v>38</v>
      </c>
      <c r="B41" s="14" t="s">
        <v>69</v>
      </c>
      <c r="C41" s="85" t="str">
        <f ca="1">IFERROR(__xludf.DUMMYFUNCTION("GOOGLETRANSLATE(B41:B56,""RU"",""UK"")"),"Пневмошліфмашина ІП-2014Б")</f>
        <v>Пневмошліфмашина ІП-2014Б</v>
      </c>
      <c r="D41" s="15" t="s">
        <v>6</v>
      </c>
      <c r="E41" s="15">
        <v>2</v>
      </c>
      <c r="F41" s="91" t="s">
        <v>68</v>
      </c>
      <c r="G41" s="4"/>
      <c r="H41" s="4"/>
      <c r="I41" s="4"/>
    </row>
    <row r="42" spans="1:9" ht="15">
      <c r="A42" s="21">
        <f t="shared" si="0"/>
        <v>39</v>
      </c>
      <c r="B42" s="14" t="s">
        <v>70</v>
      </c>
      <c r="C42" s="85" t="str">
        <f ca="1">IFERROR(__xludf.DUMMYFUNCTION("GOOGLETRANSLATE(B42:B57,""RU"",""UK"")"),"Пневмошліфмашина ІП-2014Б")</f>
        <v>Пневмошліфмашина ІП-2014Б</v>
      </c>
      <c r="D42" s="15" t="s">
        <v>6</v>
      </c>
      <c r="E42" s="15">
        <v>1</v>
      </c>
      <c r="F42" s="91" t="s">
        <v>71</v>
      </c>
      <c r="G42" s="4"/>
      <c r="H42" s="4"/>
      <c r="I42" s="4"/>
    </row>
    <row r="43" spans="1:9" ht="15">
      <c r="A43" s="21">
        <f t="shared" si="0"/>
        <v>40</v>
      </c>
      <c r="B43" s="14" t="s">
        <v>72</v>
      </c>
      <c r="C43" s="85" t="str">
        <f ca="1">IFERROR(__xludf.DUMMYFUNCTION("GOOGLETRANSLATE(B43:B58,""RU"",""UK"")"),"Пневмошліфмашина ІП-2018")</f>
        <v>Пневмошліфмашина ІП-2018</v>
      </c>
      <c r="D43" s="15" t="s">
        <v>6</v>
      </c>
      <c r="E43" s="15">
        <v>6</v>
      </c>
      <c r="F43" s="91" t="s">
        <v>73</v>
      </c>
      <c r="G43" s="4"/>
      <c r="H43" s="4"/>
      <c r="I43" s="4"/>
    </row>
    <row r="44" spans="1:9" ht="15">
      <c r="A44" s="21">
        <f t="shared" si="0"/>
        <v>41</v>
      </c>
      <c r="B44" s="19" t="s">
        <v>74</v>
      </c>
      <c r="C44" s="85" t="str">
        <f ca="1">IFERROR(__xludf.DUMMYFUNCTION("GOOGLETRANSLATE(B44:B59,""RU"",""UK"")"),"Пневмошліфмашина ІП-2009Б")</f>
        <v>Пневмошліфмашина ІП-2009Б</v>
      </c>
      <c r="D44" s="15" t="s">
        <v>6</v>
      </c>
      <c r="E44" s="15">
        <v>0</v>
      </c>
      <c r="F44" s="91" t="s">
        <v>75</v>
      </c>
      <c r="G44" s="4"/>
      <c r="H44" s="4"/>
      <c r="I44" s="4"/>
    </row>
    <row r="45" spans="1:9" ht="15">
      <c r="A45" s="21">
        <f t="shared" si="0"/>
        <v>42</v>
      </c>
      <c r="B45" s="14" t="s">
        <v>76</v>
      </c>
      <c r="C45" s="85" t="str">
        <f ca="1">IFERROR(__xludf.DUMMYFUNCTION("GOOGLETRANSLATE(B45:B60,""RU"",""UK"")"),"Пневмошліфмашина кутова ІП-2203А (125мм)")</f>
        <v>Пневмошліфмашина кутова ІП-2203А (125мм)</v>
      </c>
      <c r="D45" s="15" t="s">
        <v>6</v>
      </c>
      <c r="E45" s="15">
        <v>1</v>
      </c>
      <c r="F45" s="91" t="s">
        <v>10</v>
      </c>
      <c r="G45" s="4"/>
      <c r="H45" s="4"/>
      <c r="I45" s="4"/>
    </row>
    <row r="46" spans="1:9" ht="15">
      <c r="A46" s="21">
        <f t="shared" si="0"/>
        <v>43</v>
      </c>
      <c r="B46" s="14" t="s">
        <v>77</v>
      </c>
      <c r="C46" s="85" t="str">
        <f ca="1">IFERROR(__xludf.DUMMYFUNCTION("GOOGLETRANSLATE(B46:B61,""RU"",""UK"")"),"Пневмодрель кутова ІП-1104А")</f>
        <v>Пневмодрель кутова ІП-1104А</v>
      </c>
      <c r="D46" s="15" t="s">
        <v>6</v>
      </c>
      <c r="E46" s="15">
        <v>1</v>
      </c>
      <c r="F46" s="91" t="s">
        <v>78</v>
      </c>
      <c r="G46" s="4"/>
      <c r="H46" s="4"/>
      <c r="I46" s="4"/>
    </row>
    <row r="47" spans="1:9" ht="15">
      <c r="A47" s="21">
        <f t="shared" si="0"/>
        <v>44</v>
      </c>
      <c r="B47" s="14" t="s">
        <v>79</v>
      </c>
      <c r="C47" s="85" t="str">
        <f ca="1">IFERROR(__xludf.DUMMYFUNCTION("GOOGLETRANSLATE(B47:B62,""RU"",""UK"")"),"Пневмодрель ІП-1019")</f>
        <v>Пневмодрель ІП-1019</v>
      </c>
      <c r="D47" s="15" t="s">
        <v>6</v>
      </c>
      <c r="E47" s="15">
        <v>1</v>
      </c>
      <c r="F47" s="91" t="s">
        <v>80</v>
      </c>
      <c r="G47" s="4"/>
      <c r="H47" s="4"/>
      <c r="I47" s="4"/>
    </row>
    <row r="48" spans="1:9" ht="15">
      <c r="A48" s="21">
        <f t="shared" si="0"/>
        <v>45</v>
      </c>
      <c r="B48" s="14" t="s">
        <v>81</v>
      </c>
      <c r="C48" s="85" t="str">
        <f ca="1">IFERROR(__xludf.DUMMYFUNCTION("GOOGLETRANSLATE(B48:B63,""RU"",""UK"")"),"Пневмодрель ІП-1020 під. КМ1 (до 12мм)")</f>
        <v>Пневмодрель ІП-1020 під. КМ1 (до 12мм)</v>
      </c>
      <c r="D48" s="15" t="s">
        <v>6</v>
      </c>
      <c r="E48" s="15">
        <v>1</v>
      </c>
      <c r="F48" s="91" t="s">
        <v>80</v>
      </c>
      <c r="G48" s="4"/>
      <c r="H48" s="4"/>
      <c r="I48" s="4"/>
    </row>
    <row r="49" spans="1:9" ht="15">
      <c r="A49" s="21">
        <f t="shared" si="0"/>
        <v>46</v>
      </c>
      <c r="B49" s="14" t="s">
        <v>82</v>
      </c>
      <c r="C49" s="85" t="str">
        <f ca="1">IFERROR(__xludf.DUMMYFUNCTION("GOOGLETRANSLATE(B49:B64,""RU"",""UK"")"),"Пневмодрель ІП-1027")</f>
        <v>Пневмодрель ІП-1027</v>
      </c>
      <c r="D49" s="15" t="s">
        <v>6</v>
      </c>
      <c r="E49" s="15">
        <v>1</v>
      </c>
      <c r="F49" s="91" t="s">
        <v>80</v>
      </c>
      <c r="G49" s="4"/>
      <c r="H49" s="4"/>
      <c r="I49" s="4"/>
    </row>
    <row r="50" spans="1:9" ht="15">
      <c r="A50" s="21">
        <f t="shared" si="0"/>
        <v>47</v>
      </c>
      <c r="B50" s="14" t="s">
        <v>83</v>
      </c>
      <c r="C50" s="85" t="str">
        <f ca="1">IFERROR(__xludf.DUMMYFUNCTION("GOOGLETRANSLATE(B50:B65,""RU"",""UK"")"),"Пневмосвердлилка реверсивна кутова МСМ-23 КМ2")</f>
        <v>Пневмосвердлилка реверсивна кутова МСМ-23 КМ2</v>
      </c>
      <c r="D50" s="15" t="s">
        <v>6</v>
      </c>
      <c r="E50" s="15">
        <v>1</v>
      </c>
      <c r="F50" s="91" t="s">
        <v>84</v>
      </c>
      <c r="G50" s="4"/>
      <c r="H50" s="4"/>
      <c r="I50" s="4"/>
    </row>
    <row r="51" spans="1:9" ht="15">
      <c r="A51" s="21">
        <f t="shared" si="0"/>
        <v>48</v>
      </c>
      <c r="B51" s="14" t="s">
        <v>85</v>
      </c>
      <c r="C51" s="85" t="str">
        <f ca="1">IFERROR(__xludf.DUMMYFUNCTION("GOOGLETRANSLATE(B51:B66,""RU"",""UK"")"),"Пневмосвердлилка реверсивна кутова МСМ-50 КМ4")</f>
        <v>Пневмосвердлилка реверсивна кутова МСМ-50 КМ4</v>
      </c>
      <c r="D51" s="15" t="s">
        <v>6</v>
      </c>
      <c r="E51" s="15">
        <v>1</v>
      </c>
      <c r="F51" s="91" t="s">
        <v>50</v>
      </c>
      <c r="G51" s="4"/>
      <c r="H51" s="4"/>
      <c r="I51" s="4"/>
    </row>
    <row r="52" spans="1:9" ht="15">
      <c r="A52" s="21">
        <f t="shared" si="0"/>
        <v>49</v>
      </c>
      <c r="B52" s="14" t="s">
        <v>86</v>
      </c>
      <c r="C52" s="85" t="str">
        <f ca="1">IFERROR(__xludf.DUMMYFUNCTION("GOOGLETRANSLATE(B52:B67,""RU"",""UK"")"),"Пневмосвердлилка реверсивна кутова РМС-60М КМ5")</f>
        <v>Пневмосвердлилка реверсивна кутова РМС-60М КМ5</v>
      </c>
      <c r="D52" s="15" t="s">
        <v>6</v>
      </c>
      <c r="E52" s="15">
        <v>1</v>
      </c>
      <c r="F52" s="91" t="s">
        <v>59</v>
      </c>
      <c r="G52" s="4"/>
      <c r="H52" s="4"/>
      <c r="I52" s="4"/>
    </row>
    <row r="53" spans="1:9" ht="15">
      <c r="A53" s="21">
        <f t="shared" si="0"/>
        <v>50</v>
      </c>
      <c r="B53" s="14" t="s">
        <v>87</v>
      </c>
      <c r="C53" s="85" t="str">
        <f ca="1">IFERROR(__xludf.DUMMYFUNCTION("GOOGLETRANSLATE(B53:B68,""RU"",""UK"")"),"Пневмогайковерт ІП-3125А (250Н.м. різьблення 18мм)")</f>
        <v>Пневмогайковерт ІП-3125А (250Н.м. різьблення 18мм)</v>
      </c>
      <c r="D53" s="15" t="s">
        <v>6</v>
      </c>
      <c r="E53" s="15">
        <v>3</v>
      </c>
      <c r="F53" s="91" t="s">
        <v>88</v>
      </c>
      <c r="G53" s="4"/>
      <c r="H53" s="4"/>
      <c r="I53" s="4"/>
    </row>
    <row r="54" spans="1:9" ht="15">
      <c r="A54" s="21">
        <f t="shared" si="0"/>
        <v>51</v>
      </c>
      <c r="B54" s="14" t="s">
        <v>89</v>
      </c>
      <c r="C54" s="85" t="str">
        <f ca="1">IFERROR(__xludf.DUMMYFUNCTION("GOOGLETRANSLATE(B54:B69,""RU"",""UK"")"),"Пневмогайковерт ІП-3126А (400Н.м. різьблення 20мм)")</f>
        <v>Пневмогайковерт ІП-3126А (400Н.м. різьблення 20мм)</v>
      </c>
      <c r="D54" s="15" t="s">
        <v>6</v>
      </c>
      <c r="E54" s="15">
        <v>3</v>
      </c>
      <c r="F54" s="91" t="s">
        <v>80</v>
      </c>
      <c r="G54" s="4"/>
      <c r="H54" s="4"/>
      <c r="I54" s="4"/>
    </row>
    <row r="55" spans="1:9" ht="15">
      <c r="A55" s="21">
        <f t="shared" si="0"/>
        <v>52</v>
      </c>
      <c r="B55" s="14" t="s">
        <v>90</v>
      </c>
      <c r="C55" s="85" t="str">
        <f ca="1">IFERROR(__xludf.DUMMYFUNCTION("GOOGLETRANSLATE(B55:B70,""RU"",""UK"")"),"Пневмогайковерт ІП-3127 (405Н.м. різьблення 22мм)")</f>
        <v>Пневмогайковерт ІП-3127 (405Н.м. різьблення 22мм)</v>
      </c>
      <c r="D55" s="15" t="s">
        <v>6</v>
      </c>
      <c r="E55" s="15">
        <v>1</v>
      </c>
      <c r="F55" s="91" t="s">
        <v>71</v>
      </c>
      <c r="G55" s="4"/>
      <c r="H55" s="4"/>
      <c r="I55" s="4"/>
    </row>
    <row r="56" spans="1:9" ht="15">
      <c r="A56" s="21">
        <f t="shared" si="0"/>
        <v>53</v>
      </c>
      <c r="B56" s="14" t="s">
        <v>91</v>
      </c>
      <c r="C56" s="85" t="str">
        <f ca="1">IFERROR(__xludf.DUMMYFUNCTION("GOOGLETRANSLATE(B56:B71,""RU"",""UK"")"),"Пневмогайковерт ГРП 400")</f>
        <v>Пневмогайковерт ГРП 400</v>
      </c>
      <c r="D56" s="15" t="s">
        <v>6</v>
      </c>
      <c r="E56" s="15">
        <v>1</v>
      </c>
      <c r="F56" s="91" t="s">
        <v>38</v>
      </c>
      <c r="G56" s="4"/>
      <c r="H56" s="4"/>
      <c r="I56" s="4"/>
    </row>
    <row r="57" spans="1:9" ht="15">
      <c r="A57" s="21">
        <f t="shared" si="0"/>
        <v>54</v>
      </c>
      <c r="B57" s="14" t="s">
        <v>92</v>
      </c>
      <c r="C57" s="85" t="str">
        <f ca="1">IFERROR(__xludf.DUMMYFUNCTION("GOOGLETRANSLATE(B57:B72,""RU"",""UK"")"),"Пневмогайковерт ГРП 800")</f>
        <v>Пневмогайковерт ГРП 800</v>
      </c>
      <c r="D57" s="15" t="s">
        <v>6</v>
      </c>
      <c r="E57" s="15">
        <v>1</v>
      </c>
      <c r="F57" s="91" t="s">
        <v>38</v>
      </c>
      <c r="G57" s="4"/>
      <c r="H57" s="4"/>
      <c r="I57" s="4"/>
    </row>
    <row r="58" spans="1:9" ht="15">
      <c r="A58" s="21">
        <f t="shared" si="0"/>
        <v>55</v>
      </c>
      <c r="B58" s="14" t="s">
        <v>93</v>
      </c>
      <c r="C58" s="85" t="str">
        <f ca="1">IFERROR(__xludf.DUMMYFUNCTION("GOOGLETRANSLATE(B58:B73,""RU"",""UK"")"),"Пневмогайковерт ІП-3106Б (800-1600Нм)")</f>
        <v>Пневмогайковерт ІП-3106Б (800-1600Нм)</v>
      </c>
      <c r="D58" s="15" t="s">
        <v>6</v>
      </c>
      <c r="E58" s="15">
        <v>2</v>
      </c>
      <c r="F58" s="91" t="s">
        <v>94</v>
      </c>
      <c r="G58" s="4"/>
      <c r="H58" s="4"/>
      <c r="I58" s="4"/>
    </row>
    <row r="59" spans="1:9" ht="15">
      <c r="A59" s="21">
        <f t="shared" si="0"/>
        <v>56</v>
      </c>
      <c r="B59" s="14" t="s">
        <v>95</v>
      </c>
      <c r="C59" s="85" t="str">
        <f ca="1">IFERROR(__xludf.DUMMYFUNCTION("GOOGLETRANSLATE(B59:B74,""RU"",""UK"")"),"Пневмогайковерт ІП-3205 (800-1600Нм)")</f>
        <v>Пневмогайковерт ІП-3205 (800-1600Нм)</v>
      </c>
      <c r="D59" s="15" t="s">
        <v>6</v>
      </c>
      <c r="E59" s="15">
        <v>2</v>
      </c>
      <c r="F59" s="91" t="s">
        <v>94</v>
      </c>
      <c r="G59" s="4"/>
      <c r="H59" s="4"/>
      <c r="I59" s="4"/>
    </row>
    <row r="60" spans="1:9" ht="15">
      <c r="A60" s="21">
        <f t="shared" si="0"/>
        <v>57</v>
      </c>
      <c r="B60" s="14" t="s">
        <v>96</v>
      </c>
      <c r="C60" s="85" t="str">
        <f ca="1">IFERROR(__xludf.DUMMYFUNCTION("GOOGLETRANSLATE(B60:B75,""RU"",""UK"")"),"Пневморізьбонарізна машинка ІП-3403Б")</f>
        <v>Пневморізьбонарізна машинка ІП-3403Б</v>
      </c>
      <c r="D60" s="15" t="s">
        <v>6</v>
      </c>
      <c r="E60" s="15">
        <v>8</v>
      </c>
      <c r="F60" s="91" t="s">
        <v>97</v>
      </c>
      <c r="G60" s="4"/>
      <c r="H60" s="4"/>
      <c r="I60" s="4"/>
    </row>
    <row r="61" spans="1:9" ht="15">
      <c r="A61" s="21">
        <f t="shared" si="0"/>
        <v>58</v>
      </c>
      <c r="B61" s="14" t="s">
        <v>98</v>
      </c>
      <c r="C61" s="85" t="str">
        <f ca="1">IFERROR(__xludf.DUMMYFUNCTION("GOOGLETRANSLATE(B61:B76,""RU"",""UK"")"),"Пневмомашина багатопрофільна МСМ 220В 350Вт 15000об/хв")</f>
        <v>Пневмомашина багатопрофільна МСМ 220В 350Вт 15000об/хв</v>
      </c>
      <c r="D61" s="15" t="s">
        <v>6</v>
      </c>
      <c r="E61" s="15">
        <v>1</v>
      </c>
      <c r="F61" s="91" t="s">
        <v>38</v>
      </c>
      <c r="G61" s="4"/>
      <c r="H61" s="4"/>
      <c r="I61" s="4"/>
    </row>
    <row r="62" spans="1:9" ht="15">
      <c r="A62" s="21">
        <f t="shared" si="0"/>
        <v>59</v>
      </c>
      <c r="B62" s="14" t="s">
        <v>99</v>
      </c>
      <c r="C62" s="85" t="str">
        <f ca="1">IFERROR(__xludf.DUMMYFUNCTION("GOOGLETRANSLATE(B62:B77,""RU"",""UK"")"),"Пневмошуруповерт LB5H (викрутка РН2, РН3)")</f>
        <v>Пневмошуруповерт LB5H (викрутка РН2, РН3)</v>
      </c>
      <c r="D62" s="15" t="s">
        <v>6</v>
      </c>
      <c r="E62" s="15">
        <v>1</v>
      </c>
      <c r="F62" s="91" t="s">
        <v>100</v>
      </c>
      <c r="G62" s="4"/>
      <c r="H62" s="4"/>
      <c r="I62" s="4"/>
    </row>
    <row r="63" spans="1:9" ht="15">
      <c r="A63" s="21">
        <f t="shared" si="0"/>
        <v>60</v>
      </c>
      <c r="B63" s="14" t="s">
        <v>101</v>
      </c>
      <c r="C63" s="85" t="str">
        <f ca="1">IFERROR(__xludf.DUMMYFUNCTION("GOOGLETRANSLATE(B63:B78,""RU"",""UK"")"),"Пневмошуруповерт LB8H (викрутка РН2, РН3)")</f>
        <v>Пневмошуруповерт LB8H (викрутка РН2, РН3)</v>
      </c>
      <c r="D63" s="15" t="s">
        <v>6</v>
      </c>
      <c r="E63" s="15">
        <v>1</v>
      </c>
      <c r="F63" s="91" t="s">
        <v>102</v>
      </c>
      <c r="G63" s="4"/>
      <c r="H63" s="4"/>
      <c r="I63" s="4"/>
    </row>
    <row r="64" spans="1:9" ht="15">
      <c r="A64" s="21">
        <f t="shared" si="0"/>
        <v>61</v>
      </c>
      <c r="B64" s="14" t="s">
        <v>103</v>
      </c>
      <c r="C64" s="85" t="str">
        <f ca="1">IFERROR(__xludf.DUMMYFUNCTION("GOOGLETRANSLATE(B64:B79,""RU"",""UK"")"),"Струбцина сталева 0-20мм")</f>
        <v>Струбцина сталева 0-20мм</v>
      </c>
      <c r="D64" s="15" t="s">
        <v>6</v>
      </c>
      <c r="E64" s="15">
        <v>29</v>
      </c>
      <c r="F64" s="91" t="s">
        <v>104</v>
      </c>
      <c r="G64" s="4"/>
      <c r="H64" s="4"/>
      <c r="I64" s="4"/>
    </row>
    <row r="65" spans="1:9" ht="15">
      <c r="A65" s="21">
        <f t="shared" si="0"/>
        <v>62</v>
      </c>
      <c r="B65" s="16" t="s">
        <v>105</v>
      </c>
      <c r="C65" s="85" t="str">
        <f ca="1">IFERROR(__xludf.DUMMYFUNCTION("GOOGLETRANSLATE(B65:B80,""RU"",""UK"")"),"Струбцина сталева 80-120мм")</f>
        <v>Струбцина сталева 80-120мм</v>
      </c>
      <c r="D65" s="15" t="s">
        <v>6</v>
      </c>
      <c r="E65" s="15">
        <v>1</v>
      </c>
      <c r="F65" s="91" t="s">
        <v>106</v>
      </c>
      <c r="G65" s="4"/>
      <c r="H65" s="4"/>
      <c r="I65" s="4"/>
    </row>
    <row r="66" spans="1:9" ht="15">
      <c r="A66" s="21">
        <f t="shared" si="0"/>
        <v>63</v>
      </c>
      <c r="B66" s="16" t="s">
        <v>107</v>
      </c>
      <c r="C66" s="85" t="str">
        <f ca="1">IFERROR(__xludf.DUMMYFUNCTION("GOOGLETRANSLATE(B66:B81,""RU"",""UK"")"),"Струбцина сталева 0-180мм")</f>
        <v>Струбцина сталева 0-180мм</v>
      </c>
      <c r="D66" s="15" t="s">
        <v>6</v>
      </c>
      <c r="E66" s="15">
        <v>1</v>
      </c>
      <c r="F66" s="91" t="s">
        <v>106</v>
      </c>
      <c r="G66" s="4"/>
      <c r="H66" s="4"/>
      <c r="I66" s="4"/>
    </row>
    <row r="67" spans="1:9" ht="15">
      <c r="A67" s="21">
        <f t="shared" si="0"/>
        <v>64</v>
      </c>
      <c r="B67" s="16" t="s">
        <v>108</v>
      </c>
      <c r="C67" s="85" t="str">
        <f ca="1">IFERROR(__xludf.DUMMYFUNCTION("GOOGLETRANSLATE(B67:B82,""RU"",""UK"")"),"Струбцина сталева 0-230мм")</f>
        <v>Струбцина сталева 0-230мм</v>
      </c>
      <c r="D67" s="15" t="s">
        <v>6</v>
      </c>
      <c r="E67" s="15">
        <v>1</v>
      </c>
      <c r="F67" s="91" t="s">
        <v>106</v>
      </c>
      <c r="G67" s="4"/>
      <c r="H67" s="4"/>
      <c r="I67" s="4"/>
    </row>
    <row r="68" spans="1:9" ht="15">
      <c r="A68" s="21">
        <f t="shared" si="0"/>
        <v>65</v>
      </c>
      <c r="B68" s="16" t="s">
        <v>109</v>
      </c>
      <c r="C68" s="85" t="str">
        <f ca="1">IFERROR(__xludf.DUMMYFUNCTION("GOOGLETRANSLATE(B68:B83,""RU"",""UK"")"),"Струбцина сталева 0-370мм")</f>
        <v>Струбцина сталева 0-370мм</v>
      </c>
      <c r="D68" s="15" t="s">
        <v>6</v>
      </c>
      <c r="E68" s="15">
        <v>1</v>
      </c>
      <c r="F68" s="91" t="s">
        <v>18</v>
      </c>
      <c r="G68" s="4"/>
      <c r="H68" s="4"/>
      <c r="I68" s="4"/>
    </row>
    <row r="69" spans="1:9" ht="15">
      <c r="A69" s="21">
        <f t="shared" si="0"/>
        <v>66</v>
      </c>
      <c r="B69" s="16" t="s">
        <v>110</v>
      </c>
      <c r="C69" s="85" t="str">
        <f ca="1">IFERROR(__xludf.DUMMYFUNCTION("GOOGLETRANSLATE(B69:B84,""RU"",""UK"")"),"Струбцина 200-400мм Німеччина")</f>
        <v>Струбцина 200-400мм Німеччина</v>
      </c>
      <c r="D69" s="15" t="s">
        <v>6</v>
      </c>
      <c r="E69" s="15">
        <v>1</v>
      </c>
      <c r="F69" s="91" t="s">
        <v>111</v>
      </c>
      <c r="G69" s="4"/>
      <c r="H69" s="4"/>
      <c r="I69" s="4"/>
    </row>
    <row r="70" spans="1:9" ht="15">
      <c r="A70" s="21">
        <f t="shared" ref="A70:A86" si="1">A69+1</f>
        <v>67</v>
      </c>
      <c r="B70" s="16" t="s">
        <v>112</v>
      </c>
      <c r="C70" s="85" t="str">
        <f ca="1">IFERROR(__xludf.DUMMYFUNCTION("GOOGLETRANSLATE(B70:B85,""RU"",""UK"")"),"Знімач для підшипників 140мм (3 лапи)")</f>
        <v>Знімач для підшипників 140мм (3 лапи)</v>
      </c>
      <c r="D70" s="15" t="s">
        <v>6</v>
      </c>
      <c r="E70" s="15">
        <v>1</v>
      </c>
      <c r="F70" s="91" t="s">
        <v>113</v>
      </c>
      <c r="G70" s="4"/>
      <c r="H70" s="4"/>
      <c r="I70" s="4"/>
    </row>
    <row r="71" spans="1:9" ht="15">
      <c r="A71" s="21">
        <f t="shared" si="1"/>
        <v>68</v>
      </c>
      <c r="B71" s="14" t="s">
        <v>114</v>
      </c>
      <c r="C71" s="85" t="str">
        <f ca="1">IFERROR(__xludf.DUMMYFUNCTION("GOOGLETRANSLATE(B71:B86,""RU"",""UK"")"),"Шпильковерт М24")</f>
        <v>Шпильковерт М24</v>
      </c>
      <c r="D71" s="15" t="s">
        <v>6</v>
      </c>
      <c r="E71" s="15">
        <v>2</v>
      </c>
      <c r="F71" s="91" t="s">
        <v>106</v>
      </c>
      <c r="G71" s="4"/>
      <c r="H71" s="4"/>
      <c r="I71" s="4"/>
    </row>
    <row r="72" spans="1:9" ht="15">
      <c r="A72" s="21">
        <f t="shared" si="1"/>
        <v>69</v>
      </c>
      <c r="B72" s="14" t="s">
        <v>115</v>
      </c>
      <c r="C72" s="85" t="str">
        <f ca="1">IFERROR(__xludf.DUMMYFUNCTION("GOOGLETRANSLATE(B72:B87,""RU"",""UK"")"),"Шпильковерт М24-32мм")</f>
        <v>Шпильковерт М24-32мм</v>
      </c>
      <c r="D72" s="15" t="s">
        <v>6</v>
      </c>
      <c r="E72" s="15">
        <v>2</v>
      </c>
      <c r="F72" s="91" t="s">
        <v>106</v>
      </c>
      <c r="G72" s="4"/>
      <c r="H72" s="4"/>
      <c r="I72" s="4"/>
    </row>
    <row r="73" spans="1:9" ht="15">
      <c r="A73" s="21">
        <f t="shared" si="1"/>
        <v>70</v>
      </c>
      <c r="B73" s="14" t="s">
        <v>116</v>
      </c>
      <c r="C73" s="85" t="str">
        <f ca="1">IFERROR(__xludf.DUMMYFUNCTION("GOOGLETRANSLATE(B73:B88,""RU"",""UK"")"),"Домкрат гідравлічний 5т")</f>
        <v>Домкрат гідравлічний 5т</v>
      </c>
      <c r="D73" s="15" t="s">
        <v>6</v>
      </c>
      <c r="E73" s="15">
        <v>1</v>
      </c>
      <c r="F73" s="91" t="s">
        <v>117</v>
      </c>
      <c r="G73" s="4"/>
      <c r="H73" s="4"/>
      <c r="I73" s="4"/>
    </row>
    <row r="74" spans="1:9" ht="15">
      <c r="A74" s="21">
        <f t="shared" si="1"/>
        <v>71</v>
      </c>
      <c r="B74" s="14" t="s">
        <v>118</v>
      </c>
      <c r="C74" s="85" t="str">
        <f ca="1">IFERROR(__xludf.DUMMYFUNCTION("GOOGLETRANSLATE(B74:B89,""RU"",""UK"")"),"Шприц-нагнітач П7 ГОСТ")</f>
        <v>Шприц-нагнітач П7 ГОСТ</v>
      </c>
      <c r="D74" s="15" t="s">
        <v>6</v>
      </c>
      <c r="E74" s="15">
        <v>5</v>
      </c>
      <c r="F74" s="91" t="s">
        <v>119</v>
      </c>
      <c r="G74" s="4"/>
      <c r="H74" s="4"/>
      <c r="I74" s="4"/>
    </row>
    <row r="75" spans="1:9" ht="15">
      <c r="A75" s="21">
        <f t="shared" si="1"/>
        <v>72</v>
      </c>
      <c r="B75" s="16" t="s">
        <v>120</v>
      </c>
      <c r="C75" s="85" t="str">
        <f ca="1">IFERROR(__xludf.DUMMYFUNCTION("GOOGLETRANSLATE(B75:B90,""RU"",""UK"")"),"Шприц плунжерний важіль. (СПРИНЦІВКА ДЛЯ ЗМАЩУВАННЯ, 400мл) ГОСТ")</f>
        <v>Шприц плунжерний важіль. (СПРИНЦІВКА ДЛЯ ЗМАЩУВАННЯ, 400мл) ГОСТ</v>
      </c>
      <c r="D75" s="15" t="s">
        <v>6</v>
      </c>
      <c r="E75" s="15">
        <v>1</v>
      </c>
      <c r="F75" s="91" t="s">
        <v>121</v>
      </c>
      <c r="G75" s="4"/>
      <c r="H75" s="4"/>
      <c r="I75" s="4"/>
    </row>
    <row r="76" spans="1:9" ht="15">
      <c r="A76" s="21">
        <f t="shared" si="1"/>
        <v>73</v>
      </c>
      <c r="B76" s="14" t="s">
        <v>122</v>
      </c>
      <c r="C76" s="85" t="str">
        <f ca="1">IFERROR(__xludf.DUMMYFUNCTION("GOOGLETRANSLATE(B76:B91,""RU"",""UK"")"),"Шприц-маслонагнітач з гнучким шлангом")</f>
        <v>Шприц-маслонагнітач з гнучким шлангом</v>
      </c>
      <c r="D76" s="15" t="s">
        <v>6</v>
      </c>
      <c r="E76" s="15">
        <v>3</v>
      </c>
      <c r="F76" s="91" t="s">
        <v>63</v>
      </c>
      <c r="G76" s="4"/>
      <c r="H76" s="4"/>
      <c r="I76" s="4"/>
    </row>
    <row r="77" spans="1:9" ht="15">
      <c r="A77" s="21">
        <f t="shared" si="1"/>
        <v>74</v>
      </c>
      <c r="B77" s="14" t="s">
        <v>123</v>
      </c>
      <c r="C77" s="85" t="str">
        <f ca="1">IFERROR(__xludf.DUMMYFUNCTION("GOOGLETRANSLATE(B77:B92,""RU"",""UK"")"),"Швидкознімне з'єднання пневмо. (рукав 12мм)")</f>
        <v>Швидкознімне з'єднання пневмо. (рукав 12мм)</v>
      </c>
      <c r="D77" s="15" t="s">
        <v>6</v>
      </c>
      <c r="E77" s="15">
        <v>6</v>
      </c>
      <c r="F77" s="91" t="s">
        <v>124</v>
      </c>
      <c r="G77" s="4"/>
      <c r="H77" s="4"/>
      <c r="I77" s="4"/>
    </row>
    <row r="78" spans="1:9" ht="15">
      <c r="A78" s="21">
        <f t="shared" si="1"/>
        <v>75</v>
      </c>
      <c r="B78" s="16" t="s">
        <v>125</v>
      </c>
      <c r="C78" s="85" t="str">
        <f ca="1">IFERROR(__xludf.DUMMYFUNCTION("GOOGLETRANSLATE(B78:B93,""RU"",""UK"")"),"Дриль ручний до 10мм (поламана ручка)")</f>
        <v>Дриль ручний до 10мм (поламана ручка)</v>
      </c>
      <c r="D78" s="15" t="s">
        <v>6</v>
      </c>
      <c r="E78" s="15">
        <v>1</v>
      </c>
      <c r="F78" s="91" t="s">
        <v>22</v>
      </c>
      <c r="G78" s="4"/>
      <c r="H78" s="4"/>
      <c r="I78" s="4"/>
    </row>
    <row r="79" spans="1:9" ht="15">
      <c r="A79" s="21">
        <f t="shared" si="1"/>
        <v>76</v>
      </c>
      <c r="B79" s="14" t="s">
        <v>126</v>
      </c>
      <c r="C79" s="85" t="str">
        <f ca="1">IFERROR(__xludf.DUMMYFUNCTION("GOOGLETRANSLATE(B79:B94,""RU"",""UK"")"),"Дриль ручний до 13мм")</f>
        <v>Дриль ручний до 13мм</v>
      </c>
      <c r="D79" s="15" t="s">
        <v>6</v>
      </c>
      <c r="E79" s="15">
        <v>1</v>
      </c>
      <c r="F79" s="91" t="s">
        <v>22</v>
      </c>
      <c r="G79" s="4"/>
      <c r="H79" s="4"/>
      <c r="I79" s="4"/>
    </row>
    <row r="80" spans="1:9" ht="15">
      <c r="A80" s="21">
        <f t="shared" si="1"/>
        <v>77</v>
      </c>
      <c r="B80" s="14" t="s">
        <v>127</v>
      </c>
      <c r="C80" s="85" t="str">
        <f ca="1">IFERROR(__xludf.DUMMYFUNCTION("GOOGLETRANSLATE(B80:B95,""RU"",""UK"")"),"Пломбіратор великий")</f>
        <v>Пломбіратор великий</v>
      </c>
      <c r="D80" s="15" t="s">
        <v>6</v>
      </c>
      <c r="E80" s="15">
        <v>6</v>
      </c>
      <c r="F80" s="91" t="s">
        <v>128</v>
      </c>
      <c r="G80" s="4"/>
      <c r="H80" s="4"/>
      <c r="I80" s="4"/>
    </row>
    <row r="81" spans="1:9" ht="15">
      <c r="A81" s="21">
        <f t="shared" si="1"/>
        <v>78</v>
      </c>
      <c r="B81" s="14" t="s">
        <v>129</v>
      </c>
      <c r="C81" s="85" t="str">
        <f ca="1">IFERROR(__xludf.DUMMYFUNCTION("GOOGLETRANSLATE(B81:B96,""RU"",""UK"")"),"Пломба ПХВ 15мм")</f>
        <v>Пломба ПХВ 15мм</v>
      </c>
      <c r="D81" s="15" t="s">
        <v>130</v>
      </c>
      <c r="E81" s="15">
        <v>3</v>
      </c>
      <c r="F81" s="91">
        <v>36.299999999999997</v>
      </c>
      <c r="G81" s="4"/>
      <c r="H81" s="4"/>
      <c r="I81" s="4"/>
    </row>
    <row r="82" spans="1:9" ht="15">
      <c r="A82" s="21">
        <f t="shared" si="1"/>
        <v>79</v>
      </c>
      <c r="B82" s="14" t="s">
        <v>131</v>
      </c>
      <c r="C82" s="85" t="str">
        <f ca="1">IFERROR(__xludf.DUMMYFUNCTION("GOOGLETRANSLATE(B82:B97,""RU"",""UK"")"),"Дріт пломбувальний круч. 50гр")</f>
        <v>Дріт пломбувальний круч. 50гр</v>
      </c>
      <c r="D82" s="15" t="s">
        <v>6</v>
      </c>
      <c r="E82" s="15">
        <v>1</v>
      </c>
      <c r="F82" s="91" t="s">
        <v>132</v>
      </c>
      <c r="G82" s="4"/>
      <c r="H82" s="4"/>
      <c r="I82" s="4"/>
    </row>
    <row r="83" spans="1:9" ht="15">
      <c r="A83" s="21">
        <f t="shared" si="1"/>
        <v>80</v>
      </c>
      <c r="B83" s="14" t="s">
        <v>133</v>
      </c>
      <c r="C83" s="85" t="str">
        <f ca="1">IFERROR(__xludf.DUMMYFUNCTION("GOOGLETRANSLATE(B83:B98,""RU"",""UK"")"),"Дріт пломбувальний круч. 250гр")</f>
        <v>Дріт пломбувальний круч. 250гр</v>
      </c>
      <c r="D83" s="15" t="s">
        <v>6</v>
      </c>
      <c r="E83" s="15">
        <v>1</v>
      </c>
      <c r="F83" s="91" t="s">
        <v>134</v>
      </c>
      <c r="G83" s="4"/>
      <c r="H83" s="4"/>
      <c r="I83" s="4"/>
    </row>
    <row r="84" spans="1:9" ht="15">
      <c r="A84" s="21">
        <f t="shared" si="1"/>
        <v>81</v>
      </c>
      <c r="B84" s="14" t="s">
        <v>135</v>
      </c>
      <c r="C84" s="85" t="str">
        <f ca="1">IFERROR(__xludf.DUMMYFUNCTION("GOOGLETRANSLATE(B84:B99,""RU"",""UK"")"),"Дріт пломбувальний круч. 900гр")</f>
        <v>Дріт пломбувальний круч. 900гр</v>
      </c>
      <c r="D84" s="15" t="s">
        <v>6</v>
      </c>
      <c r="E84" s="15">
        <v>2</v>
      </c>
      <c r="F84" s="91" t="s">
        <v>136</v>
      </c>
      <c r="G84" s="4"/>
      <c r="H84" s="4"/>
      <c r="I84" s="4"/>
    </row>
    <row r="85" spans="1:9" ht="15">
      <c r="A85" s="21">
        <f t="shared" si="1"/>
        <v>82</v>
      </c>
      <c r="B85" s="14" t="s">
        <v>137</v>
      </c>
      <c r="C85" s="85" t="str">
        <f ca="1">IFERROR(__xludf.DUMMYFUNCTION("GOOGLETRANSLATE(B85:B100,""RU"",""UK"")"),"Пристрій для нарізування прокладок КМ3")</f>
        <v>Пристрій для нарізування прокладок КМ3</v>
      </c>
      <c r="D85" s="15" t="s">
        <v>6</v>
      </c>
      <c r="E85" s="15">
        <v>3</v>
      </c>
      <c r="F85" s="91" t="s">
        <v>138</v>
      </c>
      <c r="G85" s="4"/>
      <c r="H85" s="4"/>
      <c r="I85" s="4"/>
    </row>
    <row r="86" spans="1:9" ht="15">
      <c r="A86" s="21">
        <f t="shared" si="1"/>
        <v>83</v>
      </c>
      <c r="B86" s="14" t="s">
        <v>139</v>
      </c>
      <c r="C86" s="85" t="str">
        <f ca="1">IFERROR(__xludf.DUMMYFUNCTION("GOOGLETRANSLATE(B86:B101,""RU"",""UK"")"),"Віброопора ОВ-30")</f>
        <v>Віброопора ОВ-30</v>
      </c>
      <c r="D86" s="15" t="s">
        <v>6</v>
      </c>
      <c r="E86" s="15">
        <v>2</v>
      </c>
      <c r="F86" s="91" t="s">
        <v>140</v>
      </c>
      <c r="G86" s="4"/>
      <c r="H86" s="4"/>
      <c r="I86" s="4"/>
    </row>
    <row r="87" spans="1:9" ht="15">
      <c r="A87" s="22"/>
      <c r="B87" s="23" t="s">
        <v>141</v>
      </c>
      <c r="C87" s="110" t="str">
        <f ca="1">IFERROR(__xludf.DUMMYFUNCTION("GOOGLETRANSLATE(B87:B102,""RU"",""UK"")"),"2. СЛЮСАРНИЙ І Н С Т Р У М Е Н Т")</f>
        <v>2. СЛЮСАРНИЙ І Н С Т Р У М Е Н Т</v>
      </c>
      <c r="D87" s="23"/>
      <c r="E87" s="23"/>
      <c r="F87" s="93"/>
      <c r="G87" s="4"/>
      <c r="H87" s="4"/>
      <c r="I87" s="4"/>
    </row>
    <row r="88" spans="1:9" ht="15">
      <c r="A88" s="13">
        <v>1</v>
      </c>
      <c r="B88" s="14" t="s">
        <v>142</v>
      </c>
      <c r="C88" s="85" t="str">
        <f ca="1">IFERROR(__xludf.DUMMYFUNCTION("GOOGLETRANSLATE(B88:B103,""RU"",""UK"")"),"Ключ граничний (динамометричний) КПТ-200 попер. вимір. 50-200Нм")</f>
        <v>Ключ граничний (динамометричний) КПТ-200 попер. вимір. 50-200Нм</v>
      </c>
      <c r="D88" s="15" t="s">
        <v>6</v>
      </c>
      <c r="E88" s="15">
        <v>10</v>
      </c>
      <c r="F88" s="90" t="s">
        <v>143</v>
      </c>
      <c r="G88" s="4"/>
      <c r="H88" s="4"/>
      <c r="I88" s="4"/>
    </row>
    <row r="89" spans="1:9" ht="15">
      <c r="A89" s="13">
        <f>A88+1</f>
        <v>2</v>
      </c>
      <c r="B89" s="14" t="s">
        <v>144</v>
      </c>
      <c r="C89" s="85" t="str">
        <f ca="1">IFERROR(__xludf.DUMMYFUNCTION("GOOGLETRANSLATE(B89:B104,""RU"",""UK"")"),"Ключ динамометричний АС-301 попер. вимір. М-10кгм")</f>
        <v>Ключ динамометричний АС-301 попер. вимір. М-10кгм</v>
      </c>
      <c r="D89" s="15" t="s">
        <v>6</v>
      </c>
      <c r="E89" s="15">
        <v>1</v>
      </c>
      <c r="F89" s="91" t="s">
        <v>33</v>
      </c>
      <c r="G89" s="4"/>
      <c r="H89" s="4"/>
      <c r="I89" s="4"/>
    </row>
    <row r="90" spans="1:9" ht="15">
      <c r="A90" s="21">
        <f t="shared" ref="A90:A153" si="2">A89+1</f>
        <v>3</v>
      </c>
      <c r="B90" s="14" t="s">
        <v>145</v>
      </c>
      <c r="C90" s="85" t="str">
        <f ca="1">IFERROR(__xludf.DUMMYFUNCTION("GOOGLETRANSLATE(B90:B105,""RU"",""UK"")"),"Ключ динамометричний ПТ-484 попер. вимір. М-40кгм")</f>
        <v>Ключ динамометричний ПТ-484 попер. вимір. М-40кгм</v>
      </c>
      <c r="D90" s="15" t="s">
        <v>6</v>
      </c>
      <c r="E90" s="15">
        <v>1</v>
      </c>
      <c r="F90" s="91" t="s">
        <v>80</v>
      </c>
      <c r="G90" s="4"/>
      <c r="H90" s="4"/>
      <c r="I90" s="4"/>
    </row>
    <row r="91" spans="1:9" ht="15">
      <c r="A91" s="21">
        <f t="shared" si="2"/>
        <v>4</v>
      </c>
      <c r="B91" s="14" t="s">
        <v>146</v>
      </c>
      <c r="C91" s="85" t="str">
        <f ca="1">IFERROR(__xludf.DUMMYFUNCTION("GOOGLETRANSLATE(B91:B106,""RU"",""UK"")"),"Ключ трубний КТР-1 (10-36мм)")</f>
        <v>Ключ трубний КТР-1 (10-36мм)</v>
      </c>
      <c r="D91" s="15" t="s">
        <v>6</v>
      </c>
      <c r="E91" s="15">
        <v>1</v>
      </c>
      <c r="F91" s="91" t="s">
        <v>106</v>
      </c>
      <c r="G91" s="4"/>
      <c r="H91" s="4"/>
      <c r="I91" s="4"/>
    </row>
    <row r="92" spans="1:9" ht="15">
      <c r="A92" s="21">
        <f t="shared" si="2"/>
        <v>5</v>
      </c>
      <c r="B92" s="16" t="s">
        <v>147</v>
      </c>
      <c r="C92" s="85" t="str">
        <f ca="1">IFERROR(__xludf.DUMMYFUNCTION("GOOGLETRANSLATE(B92:B107,""RU"",""UK"")"),"Ключ трубний КТР-2 (20-50мм)")</f>
        <v>Ключ трубний КТР-2 (20-50мм)</v>
      </c>
      <c r="D92" s="15" t="s">
        <v>6</v>
      </c>
      <c r="E92" s="15">
        <v>2</v>
      </c>
      <c r="F92" s="91" t="s">
        <v>148</v>
      </c>
      <c r="G92" s="4"/>
      <c r="H92" s="4"/>
      <c r="I92" s="4"/>
    </row>
    <row r="93" spans="1:9" ht="15">
      <c r="A93" s="21">
        <f t="shared" si="2"/>
        <v>6</v>
      </c>
      <c r="B93" s="14" t="s">
        <v>149</v>
      </c>
      <c r="C93" s="85" t="str">
        <f ca="1">IFERROR(__xludf.DUMMYFUNCTION("GOOGLETRANSLATE(B93:B108,""RU"",""UK"")"),"Ключ трубний КТР-3 (20-63мм)")</f>
        <v>Ключ трубний КТР-3 (20-63мм)</v>
      </c>
      <c r="D93" s="15" t="s">
        <v>6</v>
      </c>
      <c r="E93" s="15">
        <v>2</v>
      </c>
      <c r="F93" s="91" t="s">
        <v>150</v>
      </c>
      <c r="G93" s="4"/>
      <c r="H93" s="4"/>
      <c r="I93" s="4"/>
    </row>
    <row r="94" spans="1:9" ht="15">
      <c r="A94" s="21">
        <f t="shared" si="2"/>
        <v>7</v>
      </c>
      <c r="B94" s="16" t="s">
        <v>151</v>
      </c>
      <c r="C94" s="85" t="str">
        <f ca="1">IFERROR(__xludf.DUMMYFUNCTION("GOOGLETRANSLATE(B94:B109,""RU"",""UK"")"),"Ключ трубний №4 (25-90мм)")</f>
        <v>Ключ трубний №4 (25-90мм)</v>
      </c>
      <c r="D94" s="15" t="s">
        <v>6</v>
      </c>
      <c r="E94" s="15">
        <v>8</v>
      </c>
      <c r="F94" s="91" t="s">
        <v>88</v>
      </c>
      <c r="G94" s="4"/>
      <c r="H94" s="4"/>
      <c r="I94" s="4"/>
    </row>
    <row r="95" spans="1:9" ht="15">
      <c r="A95" s="21">
        <f t="shared" si="2"/>
        <v>8</v>
      </c>
      <c r="B95" s="16" t="s">
        <v>152</v>
      </c>
      <c r="C95" s="85" t="str">
        <f ca="1">IFERROR(__xludf.DUMMYFUNCTION("GOOGLETRANSLATE(B95:B110,""RU"",""UK"")"),"Ключ трубний №5 (32-120мм)")</f>
        <v>Ключ трубний №5 (32-120мм)</v>
      </c>
      <c r="D95" s="15" t="s">
        <v>6</v>
      </c>
      <c r="E95" s="15">
        <v>4</v>
      </c>
      <c r="F95" s="91" t="s">
        <v>153</v>
      </c>
      <c r="G95" s="4"/>
      <c r="H95" s="4"/>
      <c r="I95" s="4"/>
    </row>
    <row r="96" spans="1:9" ht="15">
      <c r="A96" s="21">
        <f t="shared" si="2"/>
        <v>9</v>
      </c>
      <c r="B96" s="16" t="s">
        <v>154</v>
      </c>
      <c r="C96" s="85" t="str">
        <f ca="1">IFERROR(__xludf.DUMMYFUNCTION("GOOGLETRANSLATE(B96:B111,""RU"",""UK"")"),"Ключ трубний важильний Cr.-V, тип ""S"", Berg, 1"", 315мм")</f>
        <v>Ключ трубний важильний Cr.-V, тип "S", Berg, 1", 315мм</v>
      </c>
      <c r="D96" s="15" t="s">
        <v>6</v>
      </c>
      <c r="E96" s="15">
        <v>1</v>
      </c>
      <c r="F96" s="91" t="s">
        <v>155</v>
      </c>
      <c r="G96" s="4"/>
      <c r="H96" s="4"/>
      <c r="I96" s="4"/>
    </row>
    <row r="97" spans="1:9" ht="15">
      <c r="A97" s="21">
        <f t="shared" si="2"/>
        <v>10</v>
      </c>
      <c r="B97" s="19" t="s">
        <v>156</v>
      </c>
      <c r="C97" s="85" t="str">
        <f ca="1">IFERROR(__xludf.DUMMYFUNCTION("GOOGLETRANSLATE(B97:B112,""RU"",""UK"")"),"Ключ трубний ланцюговий (50-130мм)")</f>
        <v>Ключ трубний ланцюговий (50-130мм)</v>
      </c>
      <c r="D97" s="15" t="s">
        <v>6</v>
      </c>
      <c r="E97" s="15">
        <v>0</v>
      </c>
      <c r="F97" s="91" t="s">
        <v>157</v>
      </c>
      <c r="G97" s="4"/>
      <c r="H97" s="4"/>
      <c r="I97" s="4"/>
    </row>
    <row r="98" spans="1:9" ht="15">
      <c r="A98" s="21">
        <f t="shared" si="2"/>
        <v>11</v>
      </c>
      <c r="B98" s="14" t="s">
        <v>158</v>
      </c>
      <c r="C98" s="85" t="str">
        <f ca="1">IFERROR(__xludf.DUMMYFUNCTION("GOOGLETRANSLATE(B98:B113,""RU"",""UK"")"),"Ключ трубний самозатискний №2 (20-50мм)")</f>
        <v>Ключ трубний самозатискний №2 (20-50мм)</v>
      </c>
      <c r="D98" s="15" t="s">
        <v>6</v>
      </c>
      <c r="E98" s="15">
        <v>3</v>
      </c>
      <c r="F98" s="91" t="s">
        <v>159</v>
      </c>
      <c r="G98" s="4"/>
      <c r="H98" s="4"/>
      <c r="I98" s="4"/>
    </row>
    <row r="99" spans="1:9" ht="15">
      <c r="A99" s="21">
        <f t="shared" si="2"/>
        <v>12</v>
      </c>
      <c r="B99" s="19" t="s">
        <v>160</v>
      </c>
      <c r="C99" s="85" t="str">
        <f ca="1">IFERROR(__xludf.DUMMYFUNCTION("GOOGLETRANSLATE(B99:B114,""RU"",""UK"")"),"Ключ розвідний ""Преміум"", Cr-V, 250мм")</f>
        <v>Ключ розвідний "Преміум", Cr-V, 250мм</v>
      </c>
      <c r="D99" s="15" t="s">
        <v>6</v>
      </c>
      <c r="E99" s="15">
        <v>0</v>
      </c>
      <c r="F99" s="91" t="s">
        <v>106</v>
      </c>
      <c r="G99" s="4"/>
      <c r="H99" s="4"/>
      <c r="I99" s="4"/>
    </row>
    <row r="100" spans="1:9" ht="15">
      <c r="A100" s="21">
        <f t="shared" si="2"/>
        <v>13</v>
      </c>
      <c r="B100" s="14" t="s">
        <v>161</v>
      </c>
      <c r="C100" s="85" t="str">
        <f ca="1">IFERROR(__xludf.DUMMYFUNCTION("GOOGLETRANSLATE(B100:B115,""RU"",""UK"")"),"Ключ розвідний 0-30мм")</f>
        <v>Ключ розвідний 0-30мм</v>
      </c>
      <c r="D100" s="15" t="s">
        <v>6</v>
      </c>
      <c r="E100" s="15">
        <v>11</v>
      </c>
      <c r="F100" s="91" t="s">
        <v>162</v>
      </c>
      <c r="G100" s="4"/>
      <c r="H100" s="4"/>
      <c r="I100" s="4"/>
    </row>
    <row r="101" spans="1:9" ht="15">
      <c r="A101" s="21">
        <f t="shared" si="2"/>
        <v>14</v>
      </c>
      <c r="B101" s="14" t="s">
        <v>163</v>
      </c>
      <c r="C101" s="85" t="str">
        <f ca="1">IFERROR(__xludf.DUMMYFUNCTION("GOOGLETRANSLATE(B101:B116,""RU"",""UK"")"),"Ключ розвідний 0-46мм")</f>
        <v>Ключ розвідний 0-46мм</v>
      </c>
      <c r="D101" s="15" t="s">
        <v>6</v>
      </c>
      <c r="E101" s="15">
        <v>33</v>
      </c>
      <c r="F101" s="91" t="s">
        <v>22</v>
      </c>
      <c r="G101" s="4"/>
      <c r="H101" s="4"/>
      <c r="I101" s="4"/>
    </row>
    <row r="102" spans="1:9" ht="15">
      <c r="A102" s="21">
        <f t="shared" si="2"/>
        <v>15</v>
      </c>
      <c r="B102" s="14" t="s">
        <v>164</v>
      </c>
      <c r="C102" s="85" t="str">
        <f ca="1">IFERROR(__xludf.DUMMYFUNCTION("GOOGLETRANSLATE(B102:B117,""RU"",""UK"")"),"Ключ ріжково-накидний Cr-V 6мм")</f>
        <v>Ключ ріжково-накидний Cr-V 6мм</v>
      </c>
      <c r="D102" s="15" t="s">
        <v>6</v>
      </c>
      <c r="E102" s="15">
        <v>1</v>
      </c>
      <c r="F102" s="91" t="s">
        <v>165</v>
      </c>
      <c r="G102" s="4"/>
      <c r="H102" s="4"/>
      <c r="I102" s="4"/>
    </row>
    <row r="103" spans="1:9" ht="15">
      <c r="A103" s="21">
        <f t="shared" si="2"/>
        <v>16</v>
      </c>
      <c r="B103" s="16" t="s">
        <v>166</v>
      </c>
      <c r="C103" s="85" t="str">
        <f ca="1">IFERROR(__xludf.DUMMYFUNCTION("GOOGLETRANSLATE(B103:B118,""RU"",""UK"")"),"Ключ ріжково-накидний Cr-V 7мм")</f>
        <v>Ключ ріжково-накидний Cr-V 7мм</v>
      </c>
      <c r="D103" s="15" t="s">
        <v>6</v>
      </c>
      <c r="E103" s="15">
        <v>1</v>
      </c>
      <c r="F103" s="91" t="s">
        <v>167</v>
      </c>
      <c r="G103" s="4"/>
      <c r="H103" s="4"/>
      <c r="I103" s="4"/>
    </row>
    <row r="104" spans="1:9" ht="15">
      <c r="A104" s="21">
        <f t="shared" si="2"/>
        <v>17</v>
      </c>
      <c r="B104" s="14" t="s">
        <v>168</v>
      </c>
      <c r="C104" s="85" t="str">
        <f ca="1">IFERROR(__xludf.DUMMYFUNCTION("GOOGLETRANSLATE(B104:B119,""RU"",""UK"")"),"Ключ ріжково-накидний Cr-V 8мм")</f>
        <v>Ключ ріжково-накидний Cr-V 8мм</v>
      </c>
      <c r="D104" s="15" t="s">
        <v>6</v>
      </c>
      <c r="E104" s="15">
        <v>1</v>
      </c>
      <c r="F104" s="91" t="s">
        <v>169</v>
      </c>
      <c r="G104" s="4"/>
      <c r="H104" s="4"/>
      <c r="I104" s="4"/>
    </row>
    <row r="105" spans="1:9" ht="15">
      <c r="A105" s="21">
        <f t="shared" si="2"/>
        <v>18</v>
      </c>
      <c r="B105" s="14" t="s">
        <v>170</v>
      </c>
      <c r="C105" s="85" t="str">
        <f ca="1">IFERROR(__xludf.DUMMYFUNCTION("GOOGLETRANSLATE(B105:B120,""RU"",""UK"")"),"Ключ ріжково-накидний 9мм")</f>
        <v>Ключ ріжково-накидний 9мм</v>
      </c>
      <c r="D105" s="15" t="s">
        <v>6</v>
      </c>
      <c r="E105" s="15">
        <v>4</v>
      </c>
      <c r="F105" s="91" t="s">
        <v>171</v>
      </c>
      <c r="G105" s="4"/>
      <c r="H105" s="4"/>
      <c r="I105" s="4"/>
    </row>
    <row r="106" spans="1:9" ht="15">
      <c r="A106" s="21">
        <f t="shared" si="2"/>
        <v>19</v>
      </c>
      <c r="B106" s="19" t="s">
        <v>172</v>
      </c>
      <c r="C106" s="85" t="str">
        <f ca="1">IFERROR(__xludf.DUMMYFUNCTION("GOOGLETRANSLATE(B106:B121,""RU"",""UK"")"),"Ключ ріжково-накидний Cr-V 10мм")</f>
        <v>Ключ ріжково-накидний Cr-V 10мм</v>
      </c>
      <c r="D106" s="15" t="s">
        <v>6</v>
      </c>
      <c r="E106" s="15">
        <v>0</v>
      </c>
      <c r="F106" s="91" t="s">
        <v>173</v>
      </c>
      <c r="G106" s="4"/>
      <c r="H106" s="4"/>
      <c r="I106" s="4"/>
    </row>
    <row r="107" spans="1:9" ht="15">
      <c r="A107" s="21">
        <f t="shared" si="2"/>
        <v>20</v>
      </c>
      <c r="B107" s="14" t="s">
        <v>174</v>
      </c>
      <c r="C107" s="85" t="str">
        <f ca="1">IFERROR(__xludf.DUMMYFUNCTION("GOOGLETRANSLATE(B107:B122,""RU"",""UK"")"),"Ключ ріжково-накидний 11мм")</f>
        <v>Ключ ріжково-накидний 11мм</v>
      </c>
      <c r="D107" s="15" t="s">
        <v>6</v>
      </c>
      <c r="E107" s="15">
        <v>4</v>
      </c>
      <c r="F107" s="91" t="s">
        <v>175</v>
      </c>
      <c r="G107" s="4"/>
      <c r="H107" s="4"/>
      <c r="I107" s="4"/>
    </row>
    <row r="108" spans="1:9" ht="15">
      <c r="A108" s="21">
        <f t="shared" si="2"/>
        <v>21</v>
      </c>
      <c r="B108" s="19" t="s">
        <v>176</v>
      </c>
      <c r="C108" s="85" t="str">
        <f ca="1">IFERROR(__xludf.DUMMYFUNCTION("GOOGLETRANSLATE(B108:B123,""RU"",""UK"")"),"Ключ ріжково-накидний Cr-V 12мм")</f>
        <v>Ключ ріжково-накидний Cr-V 12мм</v>
      </c>
      <c r="D108" s="15" t="s">
        <v>6</v>
      </c>
      <c r="E108" s="15">
        <v>0</v>
      </c>
      <c r="F108" s="91" t="s">
        <v>177</v>
      </c>
      <c r="G108" s="4"/>
      <c r="H108" s="4"/>
      <c r="I108" s="4"/>
    </row>
    <row r="109" spans="1:9" ht="15">
      <c r="A109" s="21">
        <f t="shared" si="2"/>
        <v>22</v>
      </c>
      <c r="B109" s="19" t="s">
        <v>178</v>
      </c>
      <c r="C109" s="85" t="str">
        <f ca="1">IFERROR(__xludf.DUMMYFUNCTION("GOOGLETRANSLATE(B109:B124,""RU"",""UK"")"),"Ключ ріжково-накидний Cr-V 13мм")</f>
        <v>Ключ ріжково-накидний Cr-V 13мм</v>
      </c>
      <c r="D109" s="15" t="s">
        <v>6</v>
      </c>
      <c r="E109" s="15">
        <v>0</v>
      </c>
      <c r="F109" s="91" t="s">
        <v>179</v>
      </c>
      <c r="G109" s="4"/>
      <c r="H109" s="4"/>
      <c r="I109" s="4"/>
    </row>
    <row r="110" spans="1:9" ht="15">
      <c r="A110" s="21">
        <f t="shared" si="2"/>
        <v>23</v>
      </c>
      <c r="B110" s="19" t="s">
        <v>180</v>
      </c>
      <c r="C110" s="85" t="str">
        <f ca="1">IFERROR(__xludf.DUMMYFUNCTION("GOOGLETRANSLATE(B110:B125,""RU"",""UK"")"),"Ключ ріжково-накидний Cr-V 14мм")</f>
        <v>Ключ ріжково-накидний Cr-V 14мм</v>
      </c>
      <c r="D110" s="15" t="s">
        <v>6</v>
      </c>
      <c r="E110" s="15">
        <v>0</v>
      </c>
      <c r="F110" s="91" t="s">
        <v>181</v>
      </c>
      <c r="G110" s="4"/>
      <c r="H110" s="4"/>
      <c r="I110" s="4"/>
    </row>
    <row r="111" spans="1:9" ht="15">
      <c r="A111" s="21">
        <f t="shared" si="2"/>
        <v>24</v>
      </c>
      <c r="B111" s="16" t="s">
        <v>182</v>
      </c>
      <c r="C111" s="85" t="str">
        <f ca="1">IFERROR(__xludf.DUMMYFUNCTION("GOOGLETRANSLATE(B111:B126,""RU"",""UK"")"),"Ключ ріжково-накидний Cr-V 15мм")</f>
        <v>Ключ ріжково-накидний Cr-V 15мм</v>
      </c>
      <c r="D111" s="15" t="s">
        <v>6</v>
      </c>
      <c r="E111" s="15">
        <v>1</v>
      </c>
      <c r="F111" s="91" t="s">
        <v>183</v>
      </c>
      <c r="G111" s="4"/>
      <c r="H111" s="4"/>
      <c r="I111" s="4"/>
    </row>
    <row r="112" spans="1:9" ht="15">
      <c r="A112" s="21">
        <f t="shared" si="2"/>
        <v>25</v>
      </c>
      <c r="B112" s="16" t="s">
        <v>184</v>
      </c>
      <c r="C112" s="85" t="str">
        <f ca="1">IFERROR(__xludf.DUMMYFUNCTION("GOOGLETRANSLATE(B112:B127,""RU"",""UK"")"),"Ключ ріжково-накидний Cr-V 17мм")</f>
        <v>Ключ ріжково-накидний Cr-V 17мм</v>
      </c>
      <c r="D112" s="15" t="s">
        <v>6</v>
      </c>
      <c r="E112" s="15">
        <v>1</v>
      </c>
      <c r="F112" s="91" t="s">
        <v>185</v>
      </c>
      <c r="G112" s="4"/>
      <c r="H112" s="4"/>
      <c r="I112" s="4"/>
    </row>
    <row r="113" spans="1:9" ht="15">
      <c r="A113" s="21">
        <f t="shared" si="2"/>
        <v>26</v>
      </c>
      <c r="B113" s="16" t="s">
        <v>186</v>
      </c>
      <c r="C113" s="85" t="str">
        <f ca="1">IFERROR(__xludf.DUMMYFUNCTION("GOOGLETRANSLATE(B113:B128,""RU"",""UK"")"),"Ключ ріжково-накидний Cr-V 19мм")</f>
        <v>Ключ ріжково-накидний Cr-V 19мм</v>
      </c>
      <c r="D113" s="15" t="s">
        <v>6</v>
      </c>
      <c r="E113" s="15">
        <v>1</v>
      </c>
      <c r="F113" s="91" t="s">
        <v>187</v>
      </c>
      <c r="G113" s="4"/>
      <c r="H113" s="4"/>
      <c r="I113" s="4"/>
    </row>
    <row r="114" spans="1:9" ht="15">
      <c r="A114" s="21">
        <f t="shared" si="2"/>
        <v>27</v>
      </c>
      <c r="B114" s="14" t="s">
        <v>188</v>
      </c>
      <c r="C114" s="85" t="str">
        <f ca="1">IFERROR(__xludf.DUMMYFUNCTION("GOOGLETRANSLATE(B114:B129,""RU"",""UK"")"),"Ключ ріжково-накидний 20мм")</f>
        <v>Ключ ріжково-накидний 20мм</v>
      </c>
      <c r="D114" s="15" t="s">
        <v>6</v>
      </c>
      <c r="E114" s="15">
        <v>3</v>
      </c>
      <c r="F114" s="91" t="s">
        <v>189</v>
      </c>
      <c r="G114" s="4"/>
      <c r="H114" s="4"/>
      <c r="I114" s="4"/>
    </row>
    <row r="115" spans="1:9" ht="15">
      <c r="A115" s="21">
        <f t="shared" si="2"/>
        <v>28</v>
      </c>
      <c r="B115" s="14" t="s">
        <v>190</v>
      </c>
      <c r="C115" s="85" t="str">
        <f ca="1">IFERROR(__xludf.DUMMYFUNCTION("GOOGLETRANSLATE(B115:B130,""RU"",""UK"")"),"Ключ ріжково-накидний 21мм")</f>
        <v>Ключ ріжково-накидний 21мм</v>
      </c>
      <c r="D115" s="15" t="s">
        <v>6</v>
      </c>
      <c r="E115" s="15">
        <v>2</v>
      </c>
      <c r="F115" s="91" t="s">
        <v>189</v>
      </c>
      <c r="G115" s="4"/>
      <c r="H115" s="4"/>
      <c r="I115" s="4"/>
    </row>
    <row r="116" spans="1:9" ht="15">
      <c r="A116" s="21">
        <f t="shared" si="2"/>
        <v>29</v>
      </c>
      <c r="B116" s="14" t="s">
        <v>191</v>
      </c>
      <c r="C116" s="85" t="str">
        <f ca="1">IFERROR(__xludf.DUMMYFUNCTION("GOOGLETRANSLATE(B116:B131,""RU"",""UK"")"),"Ключ ріжково-накидний 23мм")</f>
        <v>Ключ ріжково-накидний 23мм</v>
      </c>
      <c r="D116" s="15" t="s">
        <v>6</v>
      </c>
      <c r="E116" s="15">
        <v>2</v>
      </c>
      <c r="F116" s="91" t="s">
        <v>192</v>
      </c>
      <c r="G116" s="4"/>
      <c r="H116" s="4"/>
      <c r="I116" s="4"/>
    </row>
    <row r="117" spans="1:9" ht="15">
      <c r="A117" s="21">
        <f t="shared" si="2"/>
        <v>30</v>
      </c>
      <c r="B117" s="19" t="s">
        <v>193</v>
      </c>
      <c r="C117" s="85" t="str">
        <f ca="1">IFERROR(__xludf.DUMMYFUNCTION("GOOGLETRANSLATE(B117:B132,""RU"",""UK"")"),"Ключ ріжково-накидний Cr-V 24мм")</f>
        <v>Ключ ріжково-накидний Cr-V 24мм</v>
      </c>
      <c r="D117" s="15" t="s">
        <v>6</v>
      </c>
      <c r="E117" s="15">
        <v>0</v>
      </c>
      <c r="F117" s="91" t="s">
        <v>194</v>
      </c>
      <c r="G117" s="4"/>
      <c r="H117" s="4"/>
      <c r="I117" s="4"/>
    </row>
    <row r="118" spans="1:9" ht="15">
      <c r="A118" s="21">
        <f t="shared" si="2"/>
        <v>31</v>
      </c>
      <c r="B118" s="14" t="s">
        <v>195</v>
      </c>
      <c r="C118" s="85" t="str">
        <f ca="1">IFERROR(__xludf.DUMMYFUNCTION("GOOGLETRANSLATE(B118:B133,""RU"",""UK"")"),"Ключ ріжково-накидний 26мм")</f>
        <v>Ключ ріжково-накидний 26мм</v>
      </c>
      <c r="D118" s="15" t="s">
        <v>6</v>
      </c>
      <c r="E118" s="15">
        <v>13</v>
      </c>
      <c r="F118" s="91" t="s">
        <v>196</v>
      </c>
      <c r="G118" s="4"/>
      <c r="H118" s="4"/>
      <c r="I118" s="4"/>
    </row>
    <row r="119" spans="1:9" ht="15">
      <c r="A119" s="21">
        <f t="shared" si="2"/>
        <v>32</v>
      </c>
      <c r="B119" s="14" t="s">
        <v>197</v>
      </c>
      <c r="C119" s="85" t="str">
        <f ca="1">IFERROR(__xludf.DUMMYFUNCTION("GOOGLETRANSLATE(B119:B134,""RU"",""UK"")"),"Ключ ріжково-накидний 27мм")</f>
        <v>Ключ ріжково-накидний 27мм</v>
      </c>
      <c r="D119" s="15" t="s">
        <v>6</v>
      </c>
      <c r="E119" s="15">
        <v>1</v>
      </c>
      <c r="F119" s="91" t="s">
        <v>196</v>
      </c>
      <c r="G119" s="4"/>
      <c r="H119" s="4"/>
      <c r="I119" s="4"/>
    </row>
    <row r="120" spans="1:9" ht="15">
      <c r="A120" s="21">
        <f t="shared" si="2"/>
        <v>33</v>
      </c>
      <c r="B120" s="14" t="s">
        <v>198</v>
      </c>
      <c r="C120" s="85" t="str">
        <f ca="1">IFERROR(__xludf.DUMMYFUNCTION("GOOGLETRANSLATE(B120:B135,""RU"",""UK"")"),"Ключ ріжково-накидний 29мм")</f>
        <v>Ключ ріжково-накидний 29мм</v>
      </c>
      <c r="D120" s="15" t="s">
        <v>6</v>
      </c>
      <c r="E120" s="15">
        <v>6</v>
      </c>
      <c r="F120" s="91" t="s">
        <v>199</v>
      </c>
      <c r="G120" s="4"/>
      <c r="H120" s="4"/>
      <c r="I120" s="4"/>
    </row>
    <row r="121" spans="1:9" ht="15">
      <c r="A121" s="21">
        <f t="shared" si="2"/>
        <v>34</v>
      </c>
      <c r="B121" s="19" t="s">
        <v>200</v>
      </c>
      <c r="C121" s="85" t="str">
        <f ca="1">IFERROR(__xludf.DUMMYFUNCTION("GOOGLETRANSLATE(B121:B136,""RU"",""UK"")"),"Ключ накидний Cr-V 6х7мм")</f>
        <v>Ключ накидний Cr-V 6х7мм</v>
      </c>
      <c r="D121" s="15" t="s">
        <v>6</v>
      </c>
      <c r="E121" s="15">
        <v>0</v>
      </c>
      <c r="F121" s="91" t="s">
        <v>201</v>
      </c>
      <c r="G121" s="4"/>
      <c r="H121" s="4"/>
      <c r="I121" s="4"/>
    </row>
    <row r="122" spans="1:9" ht="15">
      <c r="A122" s="21">
        <f t="shared" si="2"/>
        <v>35</v>
      </c>
      <c r="B122" s="14" t="s">
        <v>202</v>
      </c>
      <c r="C122" s="85" t="str">
        <f ca="1">IFERROR(__xludf.DUMMYFUNCTION("GOOGLETRANSLATE(B122:B137,""RU"",""UK"")"),"Ключ накидний 8х10мм")</f>
        <v>Ключ накидний 8х10мм</v>
      </c>
      <c r="D122" s="15" t="s">
        <v>6</v>
      </c>
      <c r="E122" s="15">
        <v>0</v>
      </c>
      <c r="F122" s="91" t="s">
        <v>203</v>
      </c>
      <c r="G122" s="4"/>
      <c r="H122" s="4"/>
      <c r="I122" s="4"/>
    </row>
    <row r="123" spans="1:9" ht="15">
      <c r="A123" s="21">
        <f t="shared" si="2"/>
        <v>36</v>
      </c>
      <c r="B123" s="14" t="s">
        <v>204</v>
      </c>
      <c r="C123" s="85" t="str">
        <f ca="1">IFERROR(__xludf.DUMMYFUNCTION("GOOGLETRANSLATE(B123:B138,""RU"",""UK"")"),"Ключ накидний 10х12мм")</f>
        <v>Ключ накидний 10х12мм</v>
      </c>
      <c r="D123" s="15" t="s">
        <v>6</v>
      </c>
      <c r="E123" s="15">
        <v>2</v>
      </c>
      <c r="F123" s="91" t="s">
        <v>205</v>
      </c>
      <c r="G123" s="4"/>
      <c r="H123" s="4"/>
      <c r="I123" s="4"/>
    </row>
    <row r="124" spans="1:9" ht="15">
      <c r="A124" s="21">
        <f t="shared" si="2"/>
        <v>37</v>
      </c>
      <c r="B124" s="19" t="s">
        <v>206</v>
      </c>
      <c r="C124" s="85" t="str">
        <f ca="1">IFERROR(__xludf.DUMMYFUNCTION("GOOGLETRANSLATE(B124:B139,""RU"",""UK"")"),"Ключ накидний 12х13мм")</f>
        <v>Ключ накидний 12х13мм</v>
      </c>
      <c r="D124" s="15" t="s">
        <v>6</v>
      </c>
      <c r="E124" s="15">
        <v>0</v>
      </c>
      <c r="F124" s="91" t="s">
        <v>207</v>
      </c>
      <c r="G124" s="4"/>
      <c r="H124" s="4"/>
      <c r="I124" s="4"/>
    </row>
    <row r="125" spans="1:9" ht="15">
      <c r="A125" s="21">
        <f t="shared" si="2"/>
        <v>38</v>
      </c>
      <c r="B125" s="19" t="s">
        <v>208</v>
      </c>
      <c r="C125" s="85" t="str">
        <f ca="1">IFERROR(__xludf.DUMMYFUNCTION("GOOGLETRANSLATE(B125:B140,""RU"",""UK"")"),"Ключ накидний 14х15мм")</f>
        <v>Ключ накидний 14х15мм</v>
      </c>
      <c r="D125" s="15" t="s">
        <v>6</v>
      </c>
      <c r="E125" s="15">
        <v>0</v>
      </c>
      <c r="F125" s="91" t="s">
        <v>209</v>
      </c>
      <c r="G125" s="4"/>
      <c r="H125" s="4"/>
      <c r="I125" s="4"/>
    </row>
    <row r="126" spans="1:9" ht="15">
      <c r="A126" s="21">
        <f t="shared" si="2"/>
        <v>39</v>
      </c>
      <c r="B126" s="16" t="s">
        <v>210</v>
      </c>
      <c r="C126" s="85" t="str">
        <f ca="1">IFERROR(__xludf.DUMMYFUNCTION("GOOGLETRANSLATE(B126:B141,""RU"",""UK"")"),"Ключ накидний 14х17мм/14х19мм")</f>
        <v>Ключ накидний 14х17мм/14х19мм</v>
      </c>
      <c r="D126" s="15" t="s">
        <v>6</v>
      </c>
      <c r="E126" s="15" t="s">
        <v>211</v>
      </c>
      <c r="F126" s="91" t="s">
        <v>212</v>
      </c>
      <c r="G126" s="4"/>
      <c r="H126" s="4"/>
      <c r="I126" s="4"/>
    </row>
    <row r="127" spans="1:9" ht="15">
      <c r="A127" s="21">
        <f t="shared" si="2"/>
        <v>40</v>
      </c>
      <c r="B127" s="14" t="s">
        <v>213</v>
      </c>
      <c r="C127" s="85" t="str">
        <f ca="1">IFERROR(__xludf.DUMMYFUNCTION("GOOGLETRANSLATE(B127:B142,""RU"",""UK"")"),"Ключ накидний 17х19 мм")</f>
        <v>Ключ накидний 17х19 мм</v>
      </c>
      <c r="D127" s="15" t="s">
        <v>6</v>
      </c>
      <c r="E127" s="15">
        <v>1</v>
      </c>
      <c r="F127" s="91" t="s">
        <v>214</v>
      </c>
      <c r="G127" s="4"/>
      <c r="H127" s="4"/>
      <c r="I127" s="4"/>
    </row>
    <row r="128" spans="1:9" ht="15">
      <c r="A128" s="21">
        <f t="shared" si="2"/>
        <v>41</v>
      </c>
      <c r="B128" s="14" t="s">
        <v>215</v>
      </c>
      <c r="C128" s="85" t="str">
        <f ca="1">IFERROR(__xludf.DUMMYFUNCTION("GOOGLETRANSLATE(B128:B143,""RU"",""UK"")"),"Ключ накидний 19х22мм")</f>
        <v>Ключ накидний 19х22мм</v>
      </c>
      <c r="D128" s="15" t="s">
        <v>6</v>
      </c>
      <c r="E128" s="15">
        <v>2</v>
      </c>
      <c r="F128" s="91" t="s">
        <v>216</v>
      </c>
      <c r="G128" s="4"/>
      <c r="H128" s="4"/>
      <c r="I128" s="4"/>
    </row>
    <row r="129" spans="1:9" ht="15">
      <c r="A129" s="21">
        <f t="shared" si="2"/>
        <v>42</v>
      </c>
      <c r="B129" s="16" t="s">
        <v>217</v>
      </c>
      <c r="C129" s="85" t="str">
        <f ca="1">IFERROR(__xludf.DUMMYFUNCTION("GOOGLETRANSLATE(B129:B144,""RU"",""UK"")"),"Ключ накидний 20х22мм")</f>
        <v>Ключ накидний 20х22мм</v>
      </c>
      <c r="D129" s="15" t="s">
        <v>6</v>
      </c>
      <c r="E129" s="15">
        <v>4</v>
      </c>
      <c r="F129" s="91" t="s">
        <v>218</v>
      </c>
      <c r="G129" s="4"/>
      <c r="H129" s="4"/>
      <c r="I129" s="4"/>
    </row>
    <row r="130" spans="1:9" ht="15">
      <c r="A130" s="21">
        <f t="shared" si="2"/>
        <v>43</v>
      </c>
      <c r="B130" s="19" t="s">
        <v>219</v>
      </c>
      <c r="C130" s="85" t="str">
        <f ca="1">IFERROR(__xludf.DUMMYFUNCTION("GOOGLETRANSLATE(B130:B145,""RU"",""UK"")"),"Ключ накидний 24х27мм")</f>
        <v>Ключ накидний 24х27мм</v>
      </c>
      <c r="D130" s="15" t="s">
        <v>6</v>
      </c>
      <c r="E130" s="15">
        <v>0</v>
      </c>
      <c r="F130" s="91" t="s">
        <v>220</v>
      </c>
      <c r="G130" s="4"/>
      <c r="H130" s="4"/>
      <c r="I130" s="4"/>
    </row>
    <row r="131" spans="1:9" ht="15">
      <c r="A131" s="21">
        <f t="shared" si="2"/>
        <v>44</v>
      </c>
      <c r="B131" s="19" t="s">
        <v>221</v>
      </c>
      <c r="C131" s="85" t="str">
        <f ca="1">IFERROR(__xludf.DUMMYFUNCTION("GOOGLETRANSLATE(B131:B146,""RU"",""UK"")"),"Ключ накидний 27х30мм")</f>
        <v>Ключ накидний 27х30мм</v>
      </c>
      <c r="D131" s="15" t="s">
        <v>6</v>
      </c>
      <c r="E131" s="15">
        <v>0</v>
      </c>
      <c r="F131" s="91" t="s">
        <v>222</v>
      </c>
      <c r="G131" s="4"/>
      <c r="H131" s="4"/>
      <c r="I131" s="4"/>
    </row>
    <row r="132" spans="1:9" ht="15">
      <c r="A132" s="21">
        <f t="shared" si="2"/>
        <v>45</v>
      </c>
      <c r="B132" s="19" t="s">
        <v>223</v>
      </c>
      <c r="C132" s="85" t="str">
        <f ca="1">IFERROR(__xludf.DUMMYFUNCTION("GOOGLETRANSLATE(B132:B147,""RU"",""UK"")"),"Ключ накидний 30х32мм")</f>
        <v>Ключ накидний 30х32мм</v>
      </c>
      <c r="D132" s="15" t="s">
        <v>6</v>
      </c>
      <c r="E132" s="15">
        <v>0</v>
      </c>
      <c r="F132" s="91" t="s">
        <v>224</v>
      </c>
      <c r="G132" s="4"/>
      <c r="H132" s="4"/>
      <c r="I132" s="4"/>
    </row>
    <row r="133" spans="1:9" ht="15">
      <c r="A133" s="21">
        <f t="shared" si="2"/>
        <v>46</v>
      </c>
      <c r="B133" s="14" t="s">
        <v>225</v>
      </c>
      <c r="C133" s="85" t="str">
        <f ca="1">IFERROR(__xludf.DUMMYFUNCTION("GOOGLETRANSLATE(B133:B148,""RU"",""UK"")"),"Ключ накидний короткий 32мм")</f>
        <v>Ключ накидний короткий 32мм</v>
      </c>
      <c r="D133" s="15" t="s">
        <v>6</v>
      </c>
      <c r="E133" s="15">
        <v>2</v>
      </c>
      <c r="F133" s="91" t="s">
        <v>226</v>
      </c>
      <c r="G133" s="4"/>
      <c r="H133" s="4"/>
      <c r="I133" s="4"/>
    </row>
    <row r="134" spans="1:9" ht="15">
      <c r="A134" s="21">
        <f t="shared" si="2"/>
        <v>47</v>
      </c>
      <c r="B134" s="14" t="s">
        <v>227</v>
      </c>
      <c r="C134" s="85" t="str">
        <f ca="1">IFERROR(__xludf.DUMMYFUNCTION("GOOGLETRANSLATE(B134:B149,""RU"",""UK"")"),"Ключ накидний ударний 17мм")</f>
        <v>Ключ накидний ударний 17мм</v>
      </c>
      <c r="D134" s="15" t="s">
        <v>6</v>
      </c>
      <c r="E134" s="15">
        <v>7</v>
      </c>
      <c r="F134" s="91" t="s">
        <v>140</v>
      </c>
      <c r="G134" s="4"/>
      <c r="H134" s="4"/>
      <c r="I134" s="4"/>
    </row>
    <row r="135" spans="1:9" ht="15">
      <c r="A135" s="21">
        <f t="shared" si="2"/>
        <v>48</v>
      </c>
      <c r="B135" s="14" t="s">
        <v>228</v>
      </c>
      <c r="C135" s="85" t="str">
        <f ca="1">IFERROR(__xludf.DUMMYFUNCTION("GOOGLETRANSLATE(B135:B150,""RU"",""UK"")"),"Ключ накидний ударний 32мм")</f>
        <v>Ключ накидний ударний 32мм</v>
      </c>
      <c r="D135" s="15" t="s">
        <v>6</v>
      </c>
      <c r="E135" s="15">
        <v>1</v>
      </c>
      <c r="F135" s="91" t="s">
        <v>16</v>
      </c>
      <c r="G135" s="4"/>
      <c r="H135" s="4"/>
      <c r="I135" s="4"/>
    </row>
    <row r="136" spans="1:9" ht="15">
      <c r="A136" s="21">
        <f t="shared" si="2"/>
        <v>49</v>
      </c>
      <c r="B136" s="14" t="s">
        <v>229</v>
      </c>
      <c r="C136" s="85" t="str">
        <f ca="1">IFERROR(__xludf.DUMMYFUNCTION("GOOGLETRANSLATE(B136:B151,""RU"",""UK"")"),"Ключ накидний ударний 50мм")</f>
        <v>Ключ накидний ударний 50мм</v>
      </c>
      <c r="D136" s="15" t="s">
        <v>6</v>
      </c>
      <c r="E136" s="15">
        <v>8</v>
      </c>
      <c r="F136" s="91" t="s">
        <v>63</v>
      </c>
      <c r="G136" s="4"/>
      <c r="H136" s="4"/>
      <c r="I136" s="4"/>
    </row>
    <row r="137" spans="1:9" ht="15">
      <c r="A137" s="21">
        <f t="shared" si="2"/>
        <v>50</v>
      </c>
      <c r="B137" s="14" t="s">
        <v>230</v>
      </c>
      <c r="C137" s="85" t="str">
        <f ca="1">IFERROR(__xludf.DUMMYFUNCTION("GOOGLETRANSLATE(B137:B152,""RU"",""UK"")"),"Ключ накидний ударний 70мм")</f>
        <v>Ключ накидний ударний 70мм</v>
      </c>
      <c r="D137" s="15" t="s">
        <v>6</v>
      </c>
      <c r="E137" s="15">
        <v>2</v>
      </c>
      <c r="F137" s="91" t="s">
        <v>231</v>
      </c>
      <c r="G137" s="4"/>
      <c r="H137" s="4"/>
      <c r="I137" s="4"/>
    </row>
    <row r="138" spans="1:9" ht="15">
      <c r="A138" s="21">
        <f t="shared" si="2"/>
        <v>51</v>
      </c>
      <c r="B138" s="14" t="s">
        <v>232</v>
      </c>
      <c r="C138" s="85" t="str">
        <f ca="1">IFERROR(__xludf.DUMMYFUNCTION("GOOGLETRANSLATE(B138:B153,""RU"",""UK"")"),"Ключ накидний ударний 75мм")</f>
        <v>Ключ накидний ударний 75мм</v>
      </c>
      <c r="D138" s="15" t="s">
        <v>6</v>
      </c>
      <c r="E138" s="15">
        <v>2</v>
      </c>
      <c r="F138" s="91" t="s">
        <v>233</v>
      </c>
      <c r="G138" s="4"/>
      <c r="H138" s="4"/>
      <c r="I138" s="4"/>
    </row>
    <row r="139" spans="1:9" ht="15">
      <c r="A139" s="21">
        <f t="shared" si="2"/>
        <v>52</v>
      </c>
      <c r="B139" s="14" t="s">
        <v>234</v>
      </c>
      <c r="C139" s="85" t="str">
        <f ca="1">IFERROR(__xludf.DUMMYFUNCTION("GOOGLETRANSLATE(B139:B154,""RU"",""UK"")"),"Ключ накидний ударний 136мм")</f>
        <v>Ключ накидний ударний 136мм</v>
      </c>
      <c r="D139" s="15" t="s">
        <v>6</v>
      </c>
      <c r="E139" s="15">
        <v>1</v>
      </c>
      <c r="F139" s="91" t="s">
        <v>235</v>
      </c>
      <c r="G139" s="4"/>
      <c r="H139" s="4"/>
      <c r="I139" s="4"/>
    </row>
    <row r="140" spans="1:9" ht="15">
      <c r="A140" s="21">
        <f t="shared" si="2"/>
        <v>53</v>
      </c>
      <c r="B140" s="16" t="s">
        <v>236</v>
      </c>
      <c r="C140" s="85" t="str">
        <f ca="1">IFERROR(__xludf.DUMMYFUNCTION("GOOGLETRANSLATE(B140:B155,""RU"",""UK"")"),"Ключ накидний ударний 145мм")</f>
        <v>Ключ накидний ударний 145мм</v>
      </c>
      <c r="D140" s="15" t="s">
        <v>6</v>
      </c>
      <c r="E140" s="15">
        <v>1</v>
      </c>
      <c r="F140" s="91" t="s">
        <v>237</v>
      </c>
      <c r="G140" s="4"/>
      <c r="H140" s="4"/>
      <c r="I140" s="4"/>
    </row>
    <row r="141" spans="1:9" ht="15">
      <c r="A141" s="21">
        <f t="shared" si="2"/>
        <v>54</v>
      </c>
      <c r="B141" s="14" t="s">
        <v>238</v>
      </c>
      <c r="C141" s="85" t="str">
        <f ca="1">IFERROR(__xludf.DUMMYFUNCTION("GOOGLETRANSLATE(B141:B156,""RU"",""UK"")"),"Ключ ріжковий 4х5мм")</f>
        <v>Ключ ріжковий 4х5мм</v>
      </c>
      <c r="D141" s="15" t="s">
        <v>6</v>
      </c>
      <c r="E141" s="15">
        <v>77</v>
      </c>
      <c r="F141" s="91" t="s">
        <v>239</v>
      </c>
      <c r="G141" s="4"/>
      <c r="H141" s="4"/>
      <c r="I141" s="4"/>
    </row>
    <row r="142" spans="1:9" ht="15">
      <c r="A142" s="21">
        <f t="shared" si="2"/>
        <v>55</v>
      </c>
      <c r="B142" s="14" t="s">
        <v>240</v>
      </c>
      <c r="C142" s="85" t="str">
        <f ca="1">IFERROR(__xludf.DUMMYFUNCTION("GOOGLETRANSLATE(B142:B157,""RU"",""UK"")"),"Ключ ріжковий 5.5х7мм")</f>
        <v>Ключ ріжковий 5.5х7мм</v>
      </c>
      <c r="D142" s="15" t="s">
        <v>6</v>
      </c>
      <c r="E142" s="15">
        <v>49</v>
      </c>
      <c r="F142" s="91" t="s">
        <v>241</v>
      </c>
      <c r="G142" s="4"/>
      <c r="H142" s="4"/>
      <c r="I142" s="4"/>
    </row>
    <row r="143" spans="1:9" ht="15">
      <c r="A143" s="21">
        <f t="shared" si="2"/>
        <v>56</v>
      </c>
      <c r="B143" s="14" t="s">
        <v>242</v>
      </c>
      <c r="C143" s="85" t="str">
        <f ca="1">IFERROR(__xludf.DUMMYFUNCTION("GOOGLETRANSLATE(B143:B158,""RU"",""UK"")"),"Ключ ріжковий 7х8мм")</f>
        <v>Ключ ріжковий 7х8мм</v>
      </c>
      <c r="D143" s="15" t="s">
        <v>6</v>
      </c>
      <c r="E143" s="15">
        <v>22</v>
      </c>
      <c r="F143" s="91" t="s">
        <v>243</v>
      </c>
      <c r="G143" s="4"/>
      <c r="H143" s="4"/>
      <c r="I143" s="4"/>
    </row>
    <row r="144" spans="1:9" ht="15">
      <c r="A144" s="21">
        <f t="shared" si="2"/>
        <v>57</v>
      </c>
      <c r="B144" s="14" t="s">
        <v>244</v>
      </c>
      <c r="C144" s="85" t="str">
        <f ca="1">IFERROR(__xludf.DUMMYFUNCTION("GOOGLETRANSLATE(B144:B159,""RU"",""UK"")"),"Ключ ріжковий 8х10мм")</f>
        <v>Ключ ріжковий 8х10мм</v>
      </c>
      <c r="D144" s="15" t="s">
        <v>6</v>
      </c>
      <c r="E144" s="15">
        <v>202</v>
      </c>
      <c r="F144" s="91" t="s">
        <v>245</v>
      </c>
      <c r="G144" s="4"/>
      <c r="H144" s="4"/>
      <c r="I144" s="4"/>
    </row>
    <row r="145" spans="1:9" ht="15">
      <c r="A145" s="21">
        <f t="shared" si="2"/>
        <v>58</v>
      </c>
      <c r="B145" s="14" t="s">
        <v>246</v>
      </c>
      <c r="C145" s="85" t="str">
        <f ca="1">IFERROR(__xludf.DUMMYFUNCTION("GOOGLETRANSLATE(B145:B160,""RU"",""UK"")"),"Ключ ріжковий 9х11мм")</f>
        <v>Ключ ріжковий 9х11мм</v>
      </c>
      <c r="D145" s="15" t="s">
        <v>6</v>
      </c>
      <c r="E145" s="15">
        <v>4</v>
      </c>
      <c r="F145" s="91" t="s">
        <v>124</v>
      </c>
      <c r="G145" s="4"/>
      <c r="H145" s="4"/>
      <c r="I145" s="4"/>
    </row>
    <row r="146" spans="1:9" ht="15">
      <c r="A146" s="21">
        <f t="shared" si="2"/>
        <v>59</v>
      </c>
      <c r="B146" s="14" t="s">
        <v>247</v>
      </c>
      <c r="C146" s="85" t="str">
        <f ca="1">IFERROR(__xludf.DUMMYFUNCTION("GOOGLETRANSLATE(B146:B161,""RU"",""UK"")"),"Ключ ріжковий 10х12мм")</f>
        <v>Ключ ріжковий 10х12мм</v>
      </c>
      <c r="D146" s="15" t="s">
        <v>6</v>
      </c>
      <c r="E146" s="15">
        <v>55</v>
      </c>
      <c r="F146" s="91" t="s">
        <v>248</v>
      </c>
      <c r="G146" s="4"/>
      <c r="H146" s="4"/>
      <c r="I146" s="4"/>
    </row>
    <row r="147" spans="1:9" ht="15">
      <c r="A147" s="21">
        <f t="shared" si="2"/>
        <v>60</v>
      </c>
      <c r="B147" s="14" t="s">
        <v>249</v>
      </c>
      <c r="C147" s="85" t="str">
        <f ca="1">IFERROR(__xludf.DUMMYFUNCTION("GOOGLETRANSLATE(B147:B162,""RU"",""UK"")"),"Ключ ріжковий 12х13мм")</f>
        <v>Ключ ріжковий 12х13мм</v>
      </c>
      <c r="D147" s="15" t="s">
        <v>6</v>
      </c>
      <c r="E147" s="15">
        <v>19</v>
      </c>
      <c r="F147" s="91" t="s">
        <v>169</v>
      </c>
      <c r="G147" s="4"/>
      <c r="H147" s="4"/>
      <c r="I147" s="4"/>
    </row>
    <row r="148" spans="1:9" ht="15">
      <c r="A148" s="21">
        <f t="shared" si="2"/>
        <v>61</v>
      </c>
      <c r="B148" s="14" t="s">
        <v>250</v>
      </c>
      <c r="C148" s="85" t="str">
        <f ca="1">IFERROR(__xludf.DUMMYFUNCTION("GOOGLETRANSLATE(B148:B163,""RU"",""UK"")"),"Ключ ріжковий 12х14мм")</f>
        <v>Ключ ріжковий 12х14мм</v>
      </c>
      <c r="D148" s="15" t="s">
        <v>6</v>
      </c>
      <c r="E148" s="15">
        <v>1297</v>
      </c>
      <c r="F148" s="91" t="s">
        <v>201</v>
      </c>
      <c r="G148" s="4"/>
      <c r="H148" s="4"/>
      <c r="I148" s="4"/>
    </row>
    <row r="149" spans="1:9" ht="15">
      <c r="A149" s="21">
        <f t="shared" si="2"/>
        <v>62</v>
      </c>
      <c r="B149" s="14" t="s">
        <v>251</v>
      </c>
      <c r="C149" s="85" t="str">
        <f ca="1">IFERROR(__xludf.DUMMYFUNCTION("GOOGLETRANSLATE(B149:B164,""RU"",""UK"")"),"Ключ ріжковий 13х14мм/13х17мм")</f>
        <v>Ключ ріжковий 13х14мм/13х17мм</v>
      </c>
      <c r="D149" s="15" t="s">
        <v>6</v>
      </c>
      <c r="E149" s="15" t="s">
        <v>252</v>
      </c>
      <c r="F149" s="91" t="s">
        <v>253</v>
      </c>
      <c r="G149" s="4"/>
      <c r="H149" s="4"/>
      <c r="I149" s="4"/>
    </row>
    <row r="150" spans="1:9" ht="15">
      <c r="A150" s="21">
        <f t="shared" si="2"/>
        <v>63</v>
      </c>
      <c r="B150" s="14" t="s">
        <v>254</v>
      </c>
      <c r="C150" s="85" t="str">
        <f ca="1">IFERROR(__xludf.DUMMYFUNCTION("GOOGLETRANSLATE(B150:B165,""RU"",""UK"")"),"Ключ ріжковий 14х17мм")</f>
        <v>Ключ ріжковий 14х17мм</v>
      </c>
      <c r="D150" s="15" t="s">
        <v>6</v>
      </c>
      <c r="E150" s="15">
        <v>297</v>
      </c>
      <c r="F150" s="91" t="s">
        <v>255</v>
      </c>
      <c r="G150" s="4"/>
      <c r="H150" s="4"/>
      <c r="I150" s="4"/>
    </row>
    <row r="151" spans="1:9" ht="15">
      <c r="A151" s="21">
        <f t="shared" si="2"/>
        <v>64</v>
      </c>
      <c r="B151" s="14" t="s">
        <v>256</v>
      </c>
      <c r="C151" s="85" t="str">
        <f ca="1">IFERROR(__xludf.DUMMYFUNCTION("GOOGLETRANSLATE(B151:B166,""RU"",""UK"")"),"Ключ ріжковий 17х19мм")</f>
        <v>Ключ ріжковий 17х19мм</v>
      </c>
      <c r="D151" s="15" t="s">
        <v>6</v>
      </c>
      <c r="E151" s="15">
        <v>189</v>
      </c>
      <c r="F151" s="91" t="s">
        <v>257</v>
      </c>
      <c r="G151" s="4"/>
      <c r="H151" s="4"/>
      <c r="I151" s="4"/>
    </row>
    <row r="152" spans="1:9" ht="15">
      <c r="A152" s="21">
        <f t="shared" si="2"/>
        <v>65</v>
      </c>
      <c r="B152" s="14" t="s">
        <v>258</v>
      </c>
      <c r="C152" s="85" t="str">
        <f ca="1">IFERROR(__xludf.DUMMYFUNCTION("GOOGLETRANSLATE(B152:B167,""RU"",""UK"")"),"Ключ ріжковий 17х22мм")</f>
        <v>Ключ ріжковий 17х22мм</v>
      </c>
      <c r="D152" s="15" t="s">
        <v>6</v>
      </c>
      <c r="E152" s="15">
        <v>17</v>
      </c>
      <c r="F152" s="91" t="s">
        <v>212</v>
      </c>
      <c r="G152" s="4"/>
      <c r="H152" s="4"/>
      <c r="I152" s="4"/>
    </row>
    <row r="153" spans="1:9" ht="15">
      <c r="A153" s="21">
        <f t="shared" si="2"/>
        <v>66</v>
      </c>
      <c r="B153" s="14" t="s">
        <v>259</v>
      </c>
      <c r="C153" s="85" t="str">
        <f ca="1">IFERROR(__xludf.DUMMYFUNCTION("GOOGLETRANSLATE(B153:B168,""RU"",""UK"")"),"Ключ ріжковий 19х22мм")</f>
        <v>Ключ ріжковий 19х22мм</v>
      </c>
      <c r="D153" s="15" t="s">
        <v>6</v>
      </c>
      <c r="E153" s="15">
        <v>461</v>
      </c>
      <c r="F153" s="91" t="s">
        <v>136</v>
      </c>
      <c r="G153" s="4"/>
      <c r="H153" s="4"/>
      <c r="I153" s="4"/>
    </row>
    <row r="154" spans="1:9" ht="15">
      <c r="A154" s="21">
        <f t="shared" ref="A154:A217" si="3">A153+1</f>
        <v>67</v>
      </c>
      <c r="B154" s="14" t="s">
        <v>260</v>
      </c>
      <c r="C154" s="85" t="str">
        <f ca="1">IFERROR(__xludf.DUMMYFUNCTION("GOOGLETRANSLATE(B154:B169,""RU"",""UK"")"),"Ключ ріжковий 22х24мм")</f>
        <v>Ключ ріжковий 22х24мм</v>
      </c>
      <c r="D154" s="15" t="s">
        <v>6</v>
      </c>
      <c r="E154" s="15">
        <v>249</v>
      </c>
      <c r="F154" s="91" t="s">
        <v>261</v>
      </c>
      <c r="G154" s="4"/>
      <c r="H154" s="4"/>
      <c r="I154" s="4"/>
    </row>
    <row r="155" spans="1:9" ht="15">
      <c r="A155" s="21">
        <f t="shared" si="3"/>
        <v>68</v>
      </c>
      <c r="B155" s="14" t="s">
        <v>262</v>
      </c>
      <c r="C155" s="85" t="str">
        <f ca="1">IFERROR(__xludf.DUMMYFUNCTION("GOOGLETRANSLATE(B155:B170,""RU"",""UK"")"),"Ключ ріжковий 24х27мм")</f>
        <v>Ключ ріжковий 24х27мм</v>
      </c>
      <c r="D155" s="15" t="s">
        <v>6</v>
      </c>
      <c r="E155" s="15">
        <v>325</v>
      </c>
      <c r="F155" s="91" t="s">
        <v>263</v>
      </c>
      <c r="G155" s="4"/>
      <c r="H155" s="4"/>
      <c r="I155" s="4"/>
    </row>
    <row r="156" spans="1:9" ht="15">
      <c r="A156" s="21">
        <f t="shared" si="3"/>
        <v>69</v>
      </c>
      <c r="B156" s="14" t="s">
        <v>264</v>
      </c>
      <c r="C156" s="85" t="str">
        <f ca="1">IFERROR(__xludf.DUMMYFUNCTION("GOOGLETRANSLATE(B156:B171,""RU"",""UK"")"),"Ключ ріжковий 25х28мм")</f>
        <v>Ключ ріжковий 25х28мм</v>
      </c>
      <c r="D156" s="15" t="s">
        <v>6</v>
      </c>
      <c r="E156" s="15">
        <v>2</v>
      </c>
      <c r="F156" s="91" t="s">
        <v>265</v>
      </c>
      <c r="G156" s="4"/>
      <c r="H156" s="4"/>
      <c r="I156" s="4"/>
    </row>
    <row r="157" spans="1:9" ht="15">
      <c r="A157" s="21">
        <f t="shared" si="3"/>
        <v>70</v>
      </c>
      <c r="B157" s="14" t="s">
        <v>266</v>
      </c>
      <c r="C157" s="85" t="str">
        <f ca="1">IFERROR(__xludf.DUMMYFUNCTION("GOOGLETRANSLATE(B157:B172,""RU"",""UK"")"),"Ключ ріжковий 27х30мм")</f>
        <v>Ключ ріжковий 27х30мм</v>
      </c>
      <c r="D157" s="15" t="s">
        <v>6</v>
      </c>
      <c r="E157" s="15">
        <v>437</v>
      </c>
      <c r="F157" s="91" t="s">
        <v>119</v>
      </c>
      <c r="G157" s="4"/>
      <c r="H157" s="4"/>
      <c r="I157" s="4"/>
    </row>
    <row r="158" spans="1:9" ht="15">
      <c r="A158" s="21">
        <f t="shared" si="3"/>
        <v>71</v>
      </c>
      <c r="B158" s="14" t="s">
        <v>267</v>
      </c>
      <c r="C158" s="85" t="str">
        <f ca="1">IFERROR(__xludf.DUMMYFUNCTION("GOOGLETRANSLATE(B158:B173,""RU"",""UK"")"),"Ключ ріжковий 30х32мм")</f>
        <v>Ключ ріжковий 30х32мм</v>
      </c>
      <c r="D158" s="15" t="s">
        <v>6</v>
      </c>
      <c r="E158" s="15">
        <v>521</v>
      </c>
      <c r="F158" s="91" t="s">
        <v>20</v>
      </c>
      <c r="G158" s="4"/>
      <c r="H158" s="4"/>
      <c r="I158" s="4"/>
    </row>
    <row r="159" spans="1:9" ht="15">
      <c r="A159" s="21">
        <f t="shared" si="3"/>
        <v>72</v>
      </c>
      <c r="B159" s="19" t="s">
        <v>268</v>
      </c>
      <c r="C159" s="85" t="str">
        <f ca="1">IFERROR(__xludf.DUMMYFUNCTION("GOOGLETRANSLATE(B159:B174,""RU"",""UK"")"),"Ключ ріжковий 32х36мм")</f>
        <v>Ключ ріжковий 32х36мм</v>
      </c>
      <c r="D159" s="15" t="s">
        <v>6</v>
      </c>
      <c r="E159" s="15">
        <v>0</v>
      </c>
      <c r="F159" s="91" t="s">
        <v>24</v>
      </c>
      <c r="G159" s="4"/>
      <c r="H159" s="4"/>
      <c r="I159" s="4"/>
    </row>
    <row r="160" spans="1:9" ht="15">
      <c r="A160" s="21">
        <f t="shared" si="3"/>
        <v>73</v>
      </c>
      <c r="B160" s="14" t="s">
        <v>269</v>
      </c>
      <c r="C160" s="85" t="str">
        <f ca="1">IFERROR(__xludf.DUMMYFUNCTION("GOOGLETRANSLATE(B160:B175,""RU"",""UK"")"),"Ключ ріжковий 36х41мм")</f>
        <v>Ключ ріжковий 36х41мм</v>
      </c>
      <c r="D160" s="15" t="s">
        <v>6</v>
      </c>
      <c r="E160" s="15">
        <v>290</v>
      </c>
      <c r="F160" s="91" t="s">
        <v>162</v>
      </c>
      <c r="G160" s="4"/>
      <c r="H160" s="4"/>
      <c r="I160" s="4"/>
    </row>
    <row r="161" spans="1:9" ht="15">
      <c r="A161" s="21">
        <f t="shared" si="3"/>
        <v>74</v>
      </c>
      <c r="B161" s="14" t="s">
        <v>270</v>
      </c>
      <c r="C161" s="85" t="str">
        <f ca="1">IFERROR(__xludf.DUMMYFUNCTION("GOOGLETRANSLATE(B161:B176,""RU"",""UK"")"),"Ключ ріжковий 41х46мм")</f>
        <v>Ключ ріжковий 41х46мм</v>
      </c>
      <c r="D161" s="15" t="s">
        <v>6</v>
      </c>
      <c r="E161" s="15">
        <v>32</v>
      </c>
      <c r="F161" s="91" t="s">
        <v>16</v>
      </c>
      <c r="G161" s="4"/>
      <c r="H161" s="4"/>
      <c r="I161" s="4"/>
    </row>
    <row r="162" spans="1:9" ht="15">
      <c r="A162" s="21">
        <f t="shared" si="3"/>
        <v>75</v>
      </c>
      <c r="B162" s="14" t="s">
        <v>271</v>
      </c>
      <c r="C162" s="85" t="str">
        <f ca="1">IFERROR(__xludf.DUMMYFUNCTION("GOOGLETRANSLATE(B162:B177,""RU"",""UK"")"),"Ключ ріжковий 46х50мм")</f>
        <v>Ключ ріжковий 46х50мм</v>
      </c>
      <c r="D162" s="15" t="s">
        <v>6</v>
      </c>
      <c r="E162" s="15">
        <v>76</v>
      </c>
      <c r="F162" s="91" t="s">
        <v>272</v>
      </c>
      <c r="G162" s="4"/>
      <c r="H162" s="4"/>
      <c r="I162" s="4"/>
    </row>
    <row r="163" spans="1:9" ht="15">
      <c r="A163" s="21">
        <f t="shared" si="3"/>
        <v>76</v>
      </c>
      <c r="B163" s="14" t="s">
        <v>273</v>
      </c>
      <c r="C163" s="85" t="str">
        <f ca="1">IFERROR(__xludf.DUMMYFUNCTION("GOOGLETRANSLATE(B163:B178,""RU"",""UK"")"),"Ключ ріжковий 50х55мм")</f>
        <v>Ключ ріжковий 50х55мм</v>
      </c>
      <c r="D163" s="15" t="s">
        <v>6</v>
      </c>
      <c r="E163" s="15">
        <v>34</v>
      </c>
      <c r="F163" s="91" t="s">
        <v>27</v>
      </c>
      <c r="G163" s="4"/>
      <c r="H163" s="4"/>
      <c r="I163" s="4"/>
    </row>
    <row r="164" spans="1:9" ht="15">
      <c r="A164" s="21">
        <f t="shared" si="3"/>
        <v>77</v>
      </c>
      <c r="B164" s="14" t="s">
        <v>274</v>
      </c>
      <c r="C164" s="85" t="str">
        <f ca="1">IFERROR(__xludf.DUMMYFUNCTION("GOOGLETRANSLATE(B164:B179,""RU"",""UK"")"),"Ключ ріжковий 65х70мм")</f>
        <v>Ключ ріжковий 65х70мм</v>
      </c>
      <c r="D164" s="15" t="s">
        <v>6</v>
      </c>
      <c r="E164" s="15">
        <v>2</v>
      </c>
      <c r="F164" s="91" t="s">
        <v>102</v>
      </c>
      <c r="G164" s="4"/>
      <c r="H164" s="4"/>
      <c r="I164" s="4"/>
    </row>
    <row r="165" spans="1:9" ht="15">
      <c r="A165" s="21">
        <f t="shared" si="3"/>
        <v>78</v>
      </c>
      <c r="B165" s="14" t="s">
        <v>275</v>
      </c>
      <c r="C165" s="85" t="str">
        <f ca="1">IFERROR(__xludf.DUMMYFUNCTION("GOOGLETRANSLATE(B165:B180,""RU"",""UK"")"),"Ключ ріжковий 41мм")</f>
        <v>Ключ ріжковий 41мм</v>
      </c>
      <c r="D165" s="15" t="s">
        <v>6</v>
      </c>
      <c r="E165" s="15">
        <v>1</v>
      </c>
      <c r="F165" s="91" t="s">
        <v>276</v>
      </c>
      <c r="G165" s="4"/>
      <c r="H165" s="4"/>
      <c r="I165" s="4"/>
    </row>
    <row r="166" spans="1:9" ht="15">
      <c r="A166" s="21">
        <f t="shared" si="3"/>
        <v>79</v>
      </c>
      <c r="B166" s="14" t="s">
        <v>277</v>
      </c>
      <c r="C166" s="85" t="str">
        <f ca="1">IFERROR(__xludf.DUMMYFUNCTION("GOOGLETRANSLATE(B166:B181,""RU"",""UK"")"),"Ключ ріжковий 46мм")</f>
        <v>Ключ ріжковий 46мм</v>
      </c>
      <c r="D166" s="15" t="s">
        <v>6</v>
      </c>
      <c r="E166" s="15">
        <v>62</v>
      </c>
      <c r="F166" s="91" t="s">
        <v>140</v>
      </c>
      <c r="G166" s="4"/>
      <c r="H166" s="4"/>
      <c r="I166" s="4"/>
    </row>
    <row r="167" spans="1:9" ht="15">
      <c r="A167" s="21">
        <f t="shared" si="3"/>
        <v>80</v>
      </c>
      <c r="B167" s="14" t="s">
        <v>278</v>
      </c>
      <c r="C167" s="85" t="str">
        <f ca="1">IFERROR(__xludf.DUMMYFUNCTION("GOOGLETRANSLATE(B167:B182,""RU"",""UK"")"),"Ключ ріжковий 50мм")</f>
        <v>Ключ ріжковий 50мм</v>
      </c>
      <c r="D167" s="15" t="s">
        <v>6</v>
      </c>
      <c r="E167" s="15">
        <v>14</v>
      </c>
      <c r="F167" s="91" t="s">
        <v>106</v>
      </c>
      <c r="G167" s="4"/>
      <c r="H167" s="4"/>
      <c r="I167" s="4"/>
    </row>
    <row r="168" spans="1:9" ht="15">
      <c r="A168" s="21">
        <f t="shared" si="3"/>
        <v>81</v>
      </c>
      <c r="B168" s="14" t="s">
        <v>279</v>
      </c>
      <c r="C168" s="85" t="str">
        <f ca="1">IFERROR(__xludf.DUMMYFUNCTION("GOOGLETRANSLATE(B168:B183,""RU"",""UK"")"),"Ключ ріжковий 55мм")</f>
        <v>Ключ ріжковий 55мм</v>
      </c>
      <c r="D168" s="15" t="s">
        <v>6</v>
      </c>
      <c r="E168" s="15">
        <v>124</v>
      </c>
      <c r="F168" s="91" t="s">
        <v>16</v>
      </c>
      <c r="G168" s="4"/>
      <c r="H168" s="4"/>
      <c r="I168" s="4"/>
    </row>
    <row r="169" spans="1:9" ht="15">
      <c r="A169" s="21">
        <f t="shared" si="3"/>
        <v>82</v>
      </c>
      <c r="B169" s="16" t="s">
        <v>280</v>
      </c>
      <c r="C169" s="85" t="str">
        <f ca="1">IFERROR(__xludf.DUMMYFUNCTION("GOOGLETRANSLATE(B169:B184,""RU"",""UK"")"),"Ключ ріжковий 60мм")</f>
        <v>Ключ ріжковий 60мм</v>
      </c>
      <c r="D169" s="15" t="s">
        <v>6</v>
      </c>
      <c r="E169" s="15">
        <v>0</v>
      </c>
      <c r="F169" s="91" t="s">
        <v>53</v>
      </c>
      <c r="G169" s="4"/>
      <c r="H169" s="4"/>
      <c r="I169" s="4"/>
    </row>
    <row r="170" spans="1:9" ht="15">
      <c r="A170" s="21">
        <f t="shared" si="3"/>
        <v>83</v>
      </c>
      <c r="B170" s="16" t="s">
        <v>281</v>
      </c>
      <c r="C170" s="85" t="str">
        <f ca="1">IFERROR(__xludf.DUMMYFUNCTION("GOOGLETRANSLATE(B170:B185,""RU"",""UK"")"),"Ключ ріжковий 65мм")</f>
        <v>Ключ ріжковий 65мм</v>
      </c>
      <c r="D170" s="15" t="s">
        <v>6</v>
      </c>
      <c r="E170" s="15">
        <v>7</v>
      </c>
      <c r="F170" s="91" t="s">
        <v>102</v>
      </c>
      <c r="G170" s="4"/>
      <c r="H170" s="4"/>
      <c r="I170" s="4"/>
    </row>
    <row r="171" spans="1:9" ht="15">
      <c r="A171" s="21">
        <f t="shared" si="3"/>
        <v>84</v>
      </c>
      <c r="B171" s="14" t="s">
        <v>282</v>
      </c>
      <c r="C171" s="85" t="str">
        <f ca="1">IFERROR(__xludf.DUMMYFUNCTION("GOOGLETRANSLATE(B171:B186,""RU"",""UK"")"),"Ключ ріжковий 70мм")</f>
        <v>Ключ ріжковий 70мм</v>
      </c>
      <c r="D171" s="15" t="s">
        <v>6</v>
      </c>
      <c r="E171" s="15">
        <v>30</v>
      </c>
      <c r="F171" s="91" t="s">
        <v>283</v>
      </c>
      <c r="G171" s="4"/>
      <c r="H171" s="4"/>
      <c r="I171" s="4"/>
    </row>
    <row r="172" spans="1:9" ht="15">
      <c r="A172" s="21">
        <f t="shared" si="3"/>
        <v>85</v>
      </c>
      <c r="B172" s="14" t="s">
        <v>284</v>
      </c>
      <c r="C172" s="85" t="str">
        <f ca="1">IFERROR(__xludf.DUMMYFUNCTION("GOOGLETRANSLATE(B172:B187,""RU"",""UK"")"),"Ключ ріжковий 75мм")</f>
        <v>Ключ ріжковий 75мм</v>
      </c>
      <c r="D172" s="15" t="s">
        <v>6</v>
      </c>
      <c r="E172" s="15">
        <v>1</v>
      </c>
      <c r="F172" s="91" t="s">
        <v>102</v>
      </c>
      <c r="G172" s="4"/>
      <c r="H172" s="4"/>
      <c r="I172" s="4"/>
    </row>
    <row r="173" spans="1:9" ht="15">
      <c r="A173" s="21">
        <f t="shared" si="3"/>
        <v>86</v>
      </c>
      <c r="B173" s="14" t="s">
        <v>285</v>
      </c>
      <c r="C173" s="85" t="str">
        <f ca="1">IFERROR(__xludf.DUMMYFUNCTION("GOOGLETRANSLATE(B173:B188,""RU"",""UK"")"),"Ключ торцевий ізогн. 4мм")</f>
        <v>Ключ торцевий ізогн. 4мм</v>
      </c>
      <c r="D173" s="15" t="s">
        <v>6</v>
      </c>
      <c r="E173" s="15">
        <v>5</v>
      </c>
      <c r="F173" s="91" t="s">
        <v>286</v>
      </c>
      <c r="G173" s="4"/>
      <c r="H173" s="4"/>
      <c r="I173" s="4"/>
    </row>
    <row r="174" spans="1:9" ht="15">
      <c r="A174" s="21">
        <f t="shared" si="3"/>
        <v>87</v>
      </c>
      <c r="B174" s="14" t="s">
        <v>287</v>
      </c>
      <c r="C174" s="85" t="str">
        <f ca="1">IFERROR(__xludf.DUMMYFUNCTION("GOOGLETRANSLATE(B174:B189,""RU"",""UK"")"),"Ключ торцевий (викрутка) 4мм")</f>
        <v>Ключ торцевий (викрутка) 4мм</v>
      </c>
      <c r="D174" s="15" t="s">
        <v>6</v>
      </c>
      <c r="E174" s="15">
        <v>5</v>
      </c>
      <c r="F174" s="91" t="s">
        <v>167</v>
      </c>
      <c r="G174" s="4"/>
      <c r="H174" s="4"/>
      <c r="I174" s="4"/>
    </row>
    <row r="175" spans="1:9" ht="15">
      <c r="A175" s="21">
        <f t="shared" si="3"/>
        <v>88</v>
      </c>
      <c r="B175" s="14" t="s">
        <v>288</v>
      </c>
      <c r="C175" s="85" t="str">
        <f ca="1">IFERROR(__xludf.DUMMYFUNCTION("GOOGLETRANSLATE(B175:B190,""RU"",""UK"")"),"Ключ торцевий (викрутка) 5мм")</f>
        <v>Ключ торцевий (викрутка) 5мм</v>
      </c>
      <c r="D175" s="15" t="s">
        <v>6</v>
      </c>
      <c r="E175" s="15">
        <v>3</v>
      </c>
      <c r="F175" s="91" t="s">
        <v>167</v>
      </c>
      <c r="G175" s="4"/>
      <c r="H175" s="4"/>
      <c r="I175" s="4"/>
    </row>
    <row r="176" spans="1:9" ht="15">
      <c r="A176" s="21">
        <f t="shared" si="3"/>
        <v>89</v>
      </c>
      <c r="B176" s="14" t="s">
        <v>289</v>
      </c>
      <c r="C176" s="85" t="str">
        <f ca="1">IFERROR(__xludf.DUMMYFUNCTION("GOOGLETRANSLATE(B176:B191,""RU"",""UK"")"),"Ключ торцевий ізогн. 8мм")</f>
        <v>Ключ торцевий ізогн. 8мм</v>
      </c>
      <c r="D176" s="15" t="s">
        <v>6</v>
      </c>
      <c r="E176" s="15">
        <v>72</v>
      </c>
      <c r="F176" s="91" t="s">
        <v>290</v>
      </c>
      <c r="G176" s="4"/>
      <c r="H176" s="4"/>
      <c r="I176" s="4"/>
    </row>
    <row r="177" spans="1:9" ht="15">
      <c r="A177" s="21">
        <f t="shared" si="3"/>
        <v>90</v>
      </c>
      <c r="B177" s="14" t="s">
        <v>291</v>
      </c>
      <c r="C177" s="85" t="str">
        <f ca="1">IFERROR(__xludf.DUMMYFUNCTION("GOOGLETRANSLATE(B177:B192,""RU"",""UK"")"),"Ключ торцевий ізогн. 10мм")</f>
        <v>Ключ торцевий ізогн. 10мм</v>
      </c>
      <c r="D177" s="15" t="s">
        <v>6</v>
      </c>
      <c r="E177" s="15">
        <v>18</v>
      </c>
      <c r="F177" s="91" t="s">
        <v>292</v>
      </c>
      <c r="G177" s="4"/>
      <c r="H177" s="4"/>
      <c r="I177" s="4"/>
    </row>
    <row r="178" spans="1:9" ht="15">
      <c r="A178" s="21">
        <f t="shared" si="3"/>
        <v>91</v>
      </c>
      <c r="B178" s="14" t="s">
        <v>293</v>
      </c>
      <c r="C178" s="85" t="str">
        <f ca="1">IFERROR(__xludf.DUMMYFUNCTION("GOOGLETRANSLATE(B178:B193,""RU"",""UK"")"),"Ключ торцевий прямий. 10мм")</f>
        <v>Ключ торцевий прямий. 10мм</v>
      </c>
      <c r="D178" s="15" t="s">
        <v>6</v>
      </c>
      <c r="E178" s="15">
        <v>3</v>
      </c>
      <c r="F178" s="91" t="s">
        <v>290</v>
      </c>
      <c r="G178" s="4"/>
      <c r="H178" s="4"/>
      <c r="I178" s="4"/>
    </row>
    <row r="179" spans="1:9" ht="15">
      <c r="A179" s="21">
        <f t="shared" si="3"/>
        <v>92</v>
      </c>
      <c r="B179" s="14" t="s">
        <v>294</v>
      </c>
      <c r="C179" s="85" t="str">
        <f ca="1">IFERROR(__xludf.DUMMYFUNCTION("GOOGLETRANSLATE(B179:B194,""RU"",""UK"")"),"Ключ торцевий прямий. 11мм")</f>
        <v>Ключ торцевий прямий. 11мм</v>
      </c>
      <c r="D179" s="15" t="s">
        <v>6</v>
      </c>
      <c r="E179" s="15">
        <v>2</v>
      </c>
      <c r="F179" s="91" t="s">
        <v>290</v>
      </c>
      <c r="G179" s="4"/>
      <c r="H179" s="4"/>
      <c r="I179" s="4"/>
    </row>
    <row r="180" spans="1:9" ht="15">
      <c r="A180" s="21">
        <f t="shared" si="3"/>
        <v>93</v>
      </c>
      <c r="B180" s="14" t="s">
        <v>295</v>
      </c>
      <c r="C180" s="85" t="str">
        <f ca="1">IFERROR(__xludf.DUMMYFUNCTION("GOOGLETRANSLATE(B180:B195,""RU"",""UK"")"),"Ключ торцевий 11мм Т-обр")</f>
        <v>Ключ торцевий 11мм Т-обр</v>
      </c>
      <c r="D180" s="15" t="s">
        <v>6</v>
      </c>
      <c r="E180" s="15">
        <v>5</v>
      </c>
      <c r="F180" s="91" t="s">
        <v>290</v>
      </c>
      <c r="G180" s="4"/>
      <c r="H180" s="4"/>
      <c r="I180" s="4"/>
    </row>
    <row r="181" spans="1:9" ht="15">
      <c r="A181" s="21">
        <f t="shared" si="3"/>
        <v>94</v>
      </c>
      <c r="B181" s="14" t="s">
        <v>296</v>
      </c>
      <c r="C181" s="85" t="str">
        <f ca="1">IFERROR(__xludf.DUMMYFUNCTION("GOOGLETRANSLATE(B181:B196,""RU"",""UK"")"),"Ключ торцевий карданний 10мм")</f>
        <v>Ключ торцевий карданний 10мм</v>
      </c>
      <c r="D181" s="15" t="s">
        <v>6</v>
      </c>
      <c r="E181" s="15">
        <v>12</v>
      </c>
      <c r="F181" s="91" t="s">
        <v>297</v>
      </c>
      <c r="G181" s="4"/>
      <c r="H181" s="4"/>
      <c r="I181" s="4"/>
    </row>
    <row r="182" spans="1:9" ht="15">
      <c r="A182" s="21">
        <f t="shared" si="3"/>
        <v>95</v>
      </c>
      <c r="B182" s="14" t="s">
        <v>298</v>
      </c>
      <c r="C182" s="85" t="str">
        <f ca="1">IFERROR(__xludf.DUMMYFUNCTION("GOOGLETRANSLATE(B182:B197,""RU"",""UK"")"),"Ключ торцевий ізогн. 14мм")</f>
        <v>Ключ торцевий ізогн. 14мм</v>
      </c>
      <c r="D182" s="15" t="s">
        <v>6</v>
      </c>
      <c r="E182" s="15">
        <v>4</v>
      </c>
      <c r="F182" s="91" t="s">
        <v>299</v>
      </c>
      <c r="G182" s="4"/>
      <c r="H182" s="4"/>
      <c r="I182" s="4"/>
    </row>
    <row r="183" spans="1:9" ht="15">
      <c r="A183" s="21">
        <f t="shared" si="3"/>
        <v>96</v>
      </c>
      <c r="B183" s="14" t="s">
        <v>300</v>
      </c>
      <c r="C183" s="85" t="str">
        <f ca="1">IFERROR(__xludf.DUMMYFUNCTION("GOOGLETRANSLATE(B183:B198,""RU"",""UK"")"),"Ключ торцевий ізогн. 14мм т-обр")</f>
        <v>Ключ торцевий ізогн. 14мм т-обр</v>
      </c>
      <c r="D183" s="15" t="s">
        <v>6</v>
      </c>
      <c r="E183" s="15">
        <v>4</v>
      </c>
      <c r="F183" s="91" t="s">
        <v>299</v>
      </c>
      <c r="G183" s="4"/>
      <c r="H183" s="4"/>
      <c r="I183" s="4"/>
    </row>
    <row r="184" spans="1:9" ht="15">
      <c r="A184" s="21">
        <f t="shared" si="3"/>
        <v>97</v>
      </c>
      <c r="B184" s="14" t="s">
        <v>301</v>
      </c>
      <c r="C184" s="85" t="str">
        <f ca="1">IFERROR(__xludf.DUMMYFUNCTION("GOOGLETRANSLATE(B184:B199,""RU"",""UK"")"),"Ключ торцевий прямий 13мм")</f>
        <v>Ключ торцевий прямий 13мм</v>
      </c>
      <c r="D184" s="15" t="s">
        <v>6</v>
      </c>
      <c r="E184" s="15">
        <v>31</v>
      </c>
      <c r="F184" s="91" t="s">
        <v>302</v>
      </c>
      <c r="G184" s="4"/>
      <c r="H184" s="4"/>
      <c r="I184" s="4"/>
    </row>
    <row r="185" spans="1:9" ht="15">
      <c r="A185" s="21">
        <f t="shared" si="3"/>
        <v>98</v>
      </c>
      <c r="B185" s="14" t="s">
        <v>303</v>
      </c>
      <c r="C185" s="85" t="str">
        <f ca="1">IFERROR(__xludf.DUMMYFUNCTION("GOOGLETRANSLATE(B185:B200,""RU"",""UK"")"),"Ключ торцевий ізогн. 17мм")</f>
        <v>Ключ торцевий ізогн. 17мм</v>
      </c>
      <c r="D185" s="15" t="s">
        <v>6</v>
      </c>
      <c r="E185" s="15">
        <v>5</v>
      </c>
      <c r="F185" s="91" t="s">
        <v>304</v>
      </c>
      <c r="G185" s="4"/>
      <c r="H185" s="4"/>
      <c r="I185" s="4"/>
    </row>
    <row r="186" spans="1:9" ht="15">
      <c r="A186" s="21">
        <f t="shared" si="3"/>
        <v>99</v>
      </c>
      <c r="B186" s="14" t="s">
        <v>305</v>
      </c>
      <c r="C186" s="85" t="str">
        <f ca="1">IFERROR(__xludf.DUMMYFUNCTION("GOOGLETRANSLATE(B186:B201,""RU"",""UK"")"),"Ключ торцевий ізогн. 19мм")</f>
        <v>Ключ торцевий ізогн. 19мм</v>
      </c>
      <c r="D186" s="15" t="s">
        <v>6</v>
      </c>
      <c r="E186" s="15">
        <v>8</v>
      </c>
      <c r="F186" s="91" t="s">
        <v>304</v>
      </c>
      <c r="G186" s="4"/>
      <c r="H186" s="4"/>
      <c r="I186" s="4"/>
    </row>
    <row r="187" spans="1:9" ht="15">
      <c r="A187" s="21">
        <f t="shared" si="3"/>
        <v>100</v>
      </c>
      <c r="B187" s="14" t="s">
        <v>306</v>
      </c>
      <c r="C187" s="85" t="str">
        <f ca="1">IFERROR(__xludf.DUMMYFUNCTION("GOOGLETRANSLATE(B187:B202,""RU"",""UK"")"),"Ключ торцевий ізогн. 7х8")</f>
        <v>Ключ торцевий ізогн. 7х8</v>
      </c>
      <c r="D187" s="15" t="s">
        <v>6</v>
      </c>
      <c r="E187" s="15">
        <v>11</v>
      </c>
      <c r="F187" s="91" t="s">
        <v>307</v>
      </c>
      <c r="G187" s="4"/>
      <c r="H187" s="4"/>
      <c r="I187" s="4"/>
    </row>
    <row r="188" spans="1:9" ht="15">
      <c r="A188" s="21">
        <f t="shared" si="3"/>
        <v>101</v>
      </c>
      <c r="B188" s="14" t="s">
        <v>308</v>
      </c>
      <c r="C188" s="85" t="str">
        <f ca="1">IFERROR(__xludf.DUMMYFUNCTION("GOOGLETRANSLATE(B188:B203,""RU"",""UK"")"),"Ключ торцевий ізогн. 10х12")</f>
        <v>Ключ торцевий ізогн. 10х12</v>
      </c>
      <c r="D188" s="15" t="s">
        <v>6</v>
      </c>
      <c r="E188" s="15">
        <v>3</v>
      </c>
      <c r="F188" s="91" t="s">
        <v>309</v>
      </c>
      <c r="G188" s="4"/>
      <c r="H188" s="4"/>
      <c r="I188" s="4"/>
    </row>
    <row r="189" spans="1:9" ht="15">
      <c r="A189" s="21">
        <f t="shared" si="3"/>
        <v>102</v>
      </c>
      <c r="B189" s="14" t="s">
        <v>310</v>
      </c>
      <c r="C189" s="85" t="str">
        <f ca="1">IFERROR(__xludf.DUMMYFUNCTION("GOOGLETRANSLATE(B189:B204,""RU"",""UK"")"),"Ключ торцевий ізогн. 12х14")</f>
        <v>Ключ торцевий ізогн. 12х14</v>
      </c>
      <c r="D189" s="15" t="s">
        <v>6</v>
      </c>
      <c r="E189" s="15">
        <v>3</v>
      </c>
      <c r="F189" s="91" t="s">
        <v>201</v>
      </c>
      <c r="G189" s="4"/>
      <c r="H189" s="4"/>
      <c r="I189" s="4"/>
    </row>
    <row r="190" spans="1:9" ht="15">
      <c r="A190" s="21">
        <f t="shared" si="3"/>
        <v>103</v>
      </c>
      <c r="B190" s="14" t="s">
        <v>311</v>
      </c>
      <c r="C190" s="85" t="str">
        <f ca="1">IFERROR(__xludf.DUMMYFUNCTION("GOOGLETRANSLATE(B190:B205,""RU"",""UK"")"),"Ключ торцевий ізогн. 14х17")</f>
        <v>Ключ торцевий ізогн. 14х17</v>
      </c>
      <c r="D190" s="15" t="s">
        <v>6</v>
      </c>
      <c r="E190" s="15">
        <v>1</v>
      </c>
      <c r="F190" s="91" t="s">
        <v>253</v>
      </c>
      <c r="G190" s="4"/>
      <c r="H190" s="4"/>
      <c r="I190" s="4"/>
    </row>
    <row r="191" spans="1:9" ht="15">
      <c r="A191" s="21">
        <f t="shared" si="3"/>
        <v>104</v>
      </c>
      <c r="B191" s="14" t="s">
        <v>312</v>
      </c>
      <c r="C191" s="85" t="str">
        <f ca="1">IFERROR(__xludf.DUMMYFUNCTION("GOOGLETRANSLATE(B191:B206,""RU"",""UK"")"),"Ключ торцевий ізогн. 15х17")</f>
        <v>Ключ торцевий ізогн. 15х17</v>
      </c>
      <c r="D191" s="15" t="s">
        <v>6</v>
      </c>
      <c r="E191" s="15">
        <v>1</v>
      </c>
      <c r="F191" s="91" t="s">
        <v>253</v>
      </c>
      <c r="G191" s="4"/>
      <c r="H191" s="4"/>
      <c r="I191" s="4"/>
    </row>
    <row r="192" spans="1:9" ht="15">
      <c r="A192" s="21">
        <f t="shared" si="3"/>
        <v>105</v>
      </c>
      <c r="B192" s="14" t="s">
        <v>313</v>
      </c>
      <c r="C192" s="85" t="str">
        <f ca="1">IFERROR(__xludf.DUMMYFUNCTION("GOOGLETRANSLATE(B192:B207,""RU"",""UK"")"),"Ключ торцевий прямий 14х17")</f>
        <v>Ключ торцевий прямий 14х17</v>
      </c>
      <c r="D192" s="15" t="s">
        <v>6</v>
      </c>
      <c r="E192" s="15">
        <v>6</v>
      </c>
      <c r="F192" s="91" t="s">
        <v>314</v>
      </c>
      <c r="G192" s="4"/>
      <c r="H192" s="4"/>
      <c r="I192" s="4"/>
    </row>
    <row r="193" spans="1:9" ht="15">
      <c r="A193" s="21">
        <f t="shared" si="3"/>
        <v>106</v>
      </c>
      <c r="B193" s="14" t="s">
        <v>315</v>
      </c>
      <c r="C193" s="85" t="str">
        <f ca="1">IFERROR(__xludf.DUMMYFUNCTION("GOOGLETRANSLATE(B193:B208,""RU"",""UK"")"),"Ключ торцевий прямий 17")</f>
        <v>Ключ торцевий прямий 17</v>
      </c>
      <c r="D193" s="15" t="s">
        <v>6</v>
      </c>
      <c r="E193" s="15">
        <v>2</v>
      </c>
      <c r="F193" s="91" t="s">
        <v>255</v>
      </c>
      <c r="G193" s="4"/>
      <c r="H193" s="4"/>
      <c r="I193" s="4"/>
    </row>
    <row r="194" spans="1:9" ht="15">
      <c r="A194" s="21">
        <f t="shared" si="3"/>
        <v>107</v>
      </c>
      <c r="B194" s="14" t="s">
        <v>316</v>
      </c>
      <c r="C194" s="85" t="str">
        <f ca="1">IFERROR(__xludf.DUMMYFUNCTION("GOOGLETRANSLATE(B194:B209,""RU"",""UK"")"),"Ключ торцевий ізогн. 17х19")</f>
        <v>Ключ торцевий ізогн. 17х19</v>
      </c>
      <c r="D194" s="15" t="s">
        <v>6</v>
      </c>
      <c r="E194" s="15">
        <v>3</v>
      </c>
      <c r="F194" s="91" t="s">
        <v>317</v>
      </c>
      <c r="G194" s="4"/>
      <c r="H194" s="4"/>
      <c r="I194" s="4"/>
    </row>
    <row r="195" spans="1:9" ht="15">
      <c r="A195" s="21">
        <f t="shared" si="3"/>
        <v>108</v>
      </c>
      <c r="B195" s="14" t="s">
        <v>318</v>
      </c>
      <c r="C195" s="85" t="str">
        <f ca="1">IFERROR(__xludf.DUMMYFUNCTION("GOOGLETRANSLATE(B195:B210,""RU"",""UK"")"),"Ключ торцевий ізогн. 17х22")</f>
        <v>Ключ торцевий ізогн. 17х22</v>
      </c>
      <c r="D195" s="15" t="s">
        <v>6</v>
      </c>
      <c r="E195" s="15">
        <v>6</v>
      </c>
      <c r="F195" s="91" t="s">
        <v>319</v>
      </c>
      <c r="G195" s="4"/>
      <c r="H195" s="4"/>
      <c r="I195" s="4"/>
    </row>
    <row r="196" spans="1:9" ht="15">
      <c r="A196" s="21">
        <f t="shared" si="3"/>
        <v>109</v>
      </c>
      <c r="B196" s="14" t="s">
        <v>320</v>
      </c>
      <c r="C196" s="85" t="str">
        <f ca="1">IFERROR(__xludf.DUMMYFUNCTION("GOOGLETRANSLATE(B196:B211,""RU"",""UK"")"),"Ключ торцевий ізогн. 19х22")</f>
        <v>Ключ торцевий ізогн. 19х22</v>
      </c>
      <c r="D196" s="15" t="s">
        <v>6</v>
      </c>
      <c r="E196" s="15">
        <v>15</v>
      </c>
      <c r="F196" s="91" t="s">
        <v>319</v>
      </c>
      <c r="G196" s="4"/>
      <c r="H196" s="4"/>
      <c r="I196" s="4"/>
    </row>
    <row r="197" spans="1:9" ht="15">
      <c r="A197" s="21">
        <f t="shared" si="3"/>
        <v>110</v>
      </c>
      <c r="B197" s="14" t="s">
        <v>321</v>
      </c>
      <c r="C197" s="85" t="str">
        <f ca="1">IFERROR(__xludf.DUMMYFUNCTION("GOOGLETRANSLATE(B197:B212,""RU"",""UK"")"),"Ключ торцевий прямий 19х22")</f>
        <v>Ключ торцевий прямий 19х22</v>
      </c>
      <c r="D197" s="15" t="s">
        <v>6</v>
      </c>
      <c r="E197" s="15">
        <v>10</v>
      </c>
      <c r="F197" s="91" t="s">
        <v>136</v>
      </c>
      <c r="G197" s="4"/>
      <c r="H197" s="4"/>
      <c r="I197" s="4"/>
    </row>
    <row r="198" spans="1:9" ht="15">
      <c r="A198" s="21">
        <f t="shared" si="3"/>
        <v>111</v>
      </c>
      <c r="B198" s="14" t="s">
        <v>322</v>
      </c>
      <c r="C198" s="85" t="str">
        <f ca="1">IFERROR(__xludf.DUMMYFUNCTION("GOOGLETRANSLATE(B198:B213,""RU"",""UK"")"),"Ключ торцевий ізогн. 22х22")</f>
        <v>Ключ торцевий ізогн. 22х22</v>
      </c>
      <c r="D198" s="15" t="s">
        <v>6</v>
      </c>
      <c r="E198" s="15">
        <v>3</v>
      </c>
      <c r="F198" s="91" t="s">
        <v>119</v>
      </c>
      <c r="G198" s="4"/>
      <c r="H198" s="4"/>
      <c r="I198" s="4"/>
    </row>
    <row r="199" spans="1:9" ht="15">
      <c r="A199" s="21">
        <f t="shared" si="3"/>
        <v>112</v>
      </c>
      <c r="B199" s="14" t="s">
        <v>323</v>
      </c>
      <c r="C199" s="85" t="str">
        <f ca="1">IFERROR(__xludf.DUMMYFUNCTION("GOOGLETRANSLATE(B199:B214,""RU"",""UK"")"),"Ключ торцевий 22 / торцевий ізогн. 22")</f>
        <v>Ключ торцевий 22 / торцевий ізогн. 22</v>
      </c>
      <c r="D199" s="15" t="s">
        <v>6</v>
      </c>
      <c r="E199" s="15" t="s">
        <v>324</v>
      </c>
      <c r="F199" s="91" t="s">
        <v>319</v>
      </c>
      <c r="G199" s="4"/>
      <c r="H199" s="4"/>
      <c r="I199" s="4"/>
    </row>
    <row r="200" spans="1:9" ht="15">
      <c r="A200" s="21">
        <f t="shared" si="3"/>
        <v>113</v>
      </c>
      <c r="B200" s="14" t="s">
        <v>325</v>
      </c>
      <c r="C200" s="85" t="str">
        <f ca="1">IFERROR(__xludf.DUMMYFUNCTION("GOOGLETRANSLATE(B200:B215,""RU"",""UK"")"),"Ключ торцевий 27")</f>
        <v>Ключ торцевий 27</v>
      </c>
      <c r="D200" s="15" t="s">
        <v>6</v>
      </c>
      <c r="E200" s="15">
        <v>12</v>
      </c>
      <c r="F200" s="91" t="s">
        <v>319</v>
      </c>
      <c r="G200" s="4"/>
      <c r="H200" s="4"/>
      <c r="I200" s="4"/>
    </row>
    <row r="201" spans="1:9" ht="15">
      <c r="A201" s="21">
        <f t="shared" si="3"/>
        <v>114</v>
      </c>
      <c r="B201" s="14" t="s">
        <v>326</v>
      </c>
      <c r="C201" s="85" t="str">
        <f ca="1">IFERROR(__xludf.DUMMYFUNCTION("GOOGLETRANSLATE(B201:B216,""RU"",""UK"")"),"Ключ торцевий ізогн. 22х24")</f>
        <v>Ключ торцевий ізогн. 22х24</v>
      </c>
      <c r="D201" s="15" t="s">
        <v>6</v>
      </c>
      <c r="E201" s="15">
        <v>1</v>
      </c>
      <c r="F201" s="91" t="s">
        <v>327</v>
      </c>
      <c r="G201" s="4"/>
      <c r="H201" s="4"/>
      <c r="I201" s="4"/>
    </row>
    <row r="202" spans="1:9" ht="15">
      <c r="A202" s="21">
        <f t="shared" si="3"/>
        <v>115</v>
      </c>
      <c r="B202" s="14" t="s">
        <v>328</v>
      </c>
      <c r="C202" s="85" t="str">
        <f ca="1">IFERROR(__xludf.DUMMYFUNCTION("GOOGLETRANSLATE(B202:B217,""RU"",""UK"")"),"Ключ торцевий балонний 24х27")</f>
        <v>Ключ торцевий балонний 24х27</v>
      </c>
      <c r="D202" s="15" t="s">
        <v>6</v>
      </c>
      <c r="E202" s="15">
        <v>2</v>
      </c>
      <c r="F202" s="91" t="s">
        <v>140</v>
      </c>
      <c r="G202" s="4"/>
      <c r="H202" s="4"/>
      <c r="I202" s="4"/>
    </row>
    <row r="203" spans="1:9" ht="15">
      <c r="A203" s="21">
        <f t="shared" si="3"/>
        <v>116</v>
      </c>
      <c r="B203" s="14" t="s">
        <v>329</v>
      </c>
      <c r="C203" s="85" t="str">
        <f ca="1">IFERROR(__xludf.DUMMYFUNCTION("GOOGLETRANSLATE(B203:B218,""RU"",""UK"")"),"Ключ торцевий ізогн. 24х27прямий")</f>
        <v>Ключ торцевий ізогн. 24х27прямий</v>
      </c>
      <c r="D203" s="15" t="s">
        <v>6</v>
      </c>
      <c r="E203" s="15">
        <v>1</v>
      </c>
      <c r="F203" s="91" t="s">
        <v>119</v>
      </c>
      <c r="G203" s="4"/>
      <c r="H203" s="4"/>
      <c r="I203" s="4"/>
    </row>
    <row r="204" spans="1:9" ht="15">
      <c r="A204" s="21">
        <f t="shared" si="3"/>
        <v>117</v>
      </c>
      <c r="B204" s="14" t="s">
        <v>330</v>
      </c>
      <c r="C204" s="85" t="str">
        <f ca="1">IFERROR(__xludf.DUMMYFUNCTION("GOOGLETRANSLATE(B204:B219,""RU"",""UK"")"),"Ключ торцевий ізогн. 27х30")</f>
        <v>Ключ торцевий ізогн. 27х30</v>
      </c>
      <c r="D204" s="15" t="s">
        <v>6</v>
      </c>
      <c r="E204" s="15">
        <v>2</v>
      </c>
      <c r="F204" s="91" t="s">
        <v>140</v>
      </c>
      <c r="G204" s="4"/>
      <c r="H204" s="4"/>
      <c r="I204" s="4"/>
    </row>
    <row r="205" spans="1:9" ht="15">
      <c r="A205" s="21">
        <f t="shared" si="3"/>
        <v>118</v>
      </c>
      <c r="B205" s="14" t="s">
        <v>331</v>
      </c>
      <c r="C205" s="85" t="str">
        <f ca="1">IFERROR(__xludf.DUMMYFUNCTION("GOOGLETRANSLATE(B205:B220,""RU"",""UK"")"),"Ключ торцевий ізогн. 46мм")</f>
        <v>Ключ торцевий ізогн. 46мм</v>
      </c>
      <c r="D205" s="15" t="s">
        <v>6</v>
      </c>
      <c r="E205" s="15">
        <v>2</v>
      </c>
      <c r="F205" s="91" t="s">
        <v>16</v>
      </c>
      <c r="G205" s="4"/>
      <c r="H205" s="4"/>
      <c r="I205" s="4"/>
    </row>
    <row r="206" spans="1:9" ht="15">
      <c r="A206" s="21">
        <f t="shared" si="3"/>
        <v>119</v>
      </c>
      <c r="B206" s="14" t="s">
        <v>332</v>
      </c>
      <c r="C206" s="85" t="str">
        <f ca="1">IFERROR(__xludf.DUMMYFUNCTION("GOOGLETRANSLATE(B206:B221,""RU"",""UK"")"),"Ключ торцевий ізогн. 52мм")</f>
        <v>Ключ торцевий ізогн. 52мм</v>
      </c>
      <c r="D206" s="15" t="s">
        <v>6</v>
      </c>
      <c r="E206" s="15">
        <v>1</v>
      </c>
      <c r="F206" s="91" t="s">
        <v>272</v>
      </c>
      <c r="G206" s="4"/>
      <c r="H206" s="4"/>
      <c r="I206" s="4"/>
    </row>
    <row r="207" spans="1:9" ht="15">
      <c r="A207" s="21">
        <f t="shared" si="3"/>
        <v>120</v>
      </c>
      <c r="B207" s="14" t="s">
        <v>333</v>
      </c>
      <c r="C207" s="85" t="str">
        <f ca="1">IFERROR(__xludf.DUMMYFUNCTION("GOOGLETRANSLATE(B207:B222,""RU"",""UK"")"),"Ключ торцевий ізогн. 70мм")</f>
        <v>Ключ торцевий ізогн. 70мм</v>
      </c>
      <c r="D207" s="15" t="s">
        <v>6</v>
      </c>
      <c r="E207" s="15">
        <v>1</v>
      </c>
      <c r="F207" s="91" t="s">
        <v>138</v>
      </c>
      <c r="G207" s="4"/>
      <c r="H207" s="4"/>
      <c r="I207" s="4"/>
    </row>
    <row r="208" spans="1:9" ht="15">
      <c r="A208" s="21">
        <f t="shared" si="3"/>
        <v>121</v>
      </c>
      <c r="B208" s="14" t="s">
        <v>334</v>
      </c>
      <c r="C208" s="85" t="str">
        <f ca="1">IFERROR(__xludf.DUMMYFUNCTION("GOOGLETRANSLATE(B208:B223,""RU"",""UK"")"),"Ключ свічковий трубчастий 14х21")</f>
        <v>Ключ свічковий трубчастий 14х21</v>
      </c>
      <c r="D208" s="15" t="s">
        <v>6</v>
      </c>
      <c r="E208" s="15">
        <v>26</v>
      </c>
      <c r="F208" s="91" t="s">
        <v>335</v>
      </c>
      <c r="G208" s="4"/>
      <c r="H208" s="4"/>
      <c r="I208" s="4"/>
    </row>
    <row r="209" spans="1:9" ht="15">
      <c r="A209" s="21">
        <f t="shared" si="3"/>
        <v>122</v>
      </c>
      <c r="B209" s="14" t="s">
        <v>336</v>
      </c>
      <c r="C209" s="85" t="str">
        <f ca="1">IFERROR(__xludf.DUMMYFUNCTION("GOOGLETRANSLATE(B209:B224,""RU"",""UK"")"),"Ключ свічковий трубчастий 21х22")</f>
        <v>Ключ свічковий трубчастий 21х22</v>
      </c>
      <c r="D209" s="15" t="s">
        <v>6</v>
      </c>
      <c r="E209" s="15">
        <v>1</v>
      </c>
      <c r="F209" s="91" t="s">
        <v>335</v>
      </c>
      <c r="G209" s="4"/>
      <c r="H209" s="4"/>
      <c r="I209" s="4"/>
    </row>
    <row r="210" spans="1:9" ht="15">
      <c r="A210" s="21">
        <f t="shared" si="3"/>
        <v>123</v>
      </c>
      <c r="B210" s="14" t="s">
        <v>337</v>
      </c>
      <c r="C210" s="85" t="str">
        <f ca="1">IFERROR(__xludf.DUMMYFUNCTION("GOOGLETRANSLATE(B210:B225,""RU"",""UK"")"),"Ключ для круглих шліцьових гайок 22-26мм")</f>
        <v>Ключ для круглих шліцьових гайок 22-26мм</v>
      </c>
      <c r="D210" s="15" t="s">
        <v>6</v>
      </c>
      <c r="E210" s="15">
        <v>106</v>
      </c>
      <c r="F210" s="91" t="s">
        <v>338</v>
      </c>
      <c r="G210" s="4"/>
      <c r="H210" s="4"/>
      <c r="I210" s="4"/>
    </row>
    <row r="211" spans="1:9" ht="15">
      <c r="A211" s="21">
        <f t="shared" si="3"/>
        <v>124</v>
      </c>
      <c r="B211" s="14" t="s">
        <v>339</v>
      </c>
      <c r="C211" s="85" t="str">
        <f ca="1">IFERROR(__xludf.DUMMYFUNCTION("GOOGLETRANSLATE(B211:B226,""RU"",""UK"")"),"Ключ для круглих шліцьових гайок 22-60мм")</f>
        <v>Ключ для круглих шліцьових гайок 22-60мм</v>
      </c>
      <c r="D211" s="15" t="s">
        <v>6</v>
      </c>
      <c r="E211" s="15">
        <v>4</v>
      </c>
      <c r="F211" s="91" t="s">
        <v>338</v>
      </c>
      <c r="G211" s="4"/>
      <c r="H211" s="4"/>
      <c r="I211" s="4"/>
    </row>
    <row r="212" spans="1:9" ht="15">
      <c r="A212" s="21">
        <f t="shared" si="3"/>
        <v>125</v>
      </c>
      <c r="B212" s="14" t="s">
        <v>340</v>
      </c>
      <c r="C212" s="85" t="str">
        <f ca="1">IFERROR(__xludf.DUMMYFUNCTION("GOOGLETRANSLATE(B212:B227,""RU"",""UK"")"),"Ключ для круглих шліцьових гайок 30-34мм")</f>
        <v>Ключ для круглих шліцьових гайок 30-34мм</v>
      </c>
      <c r="D212" s="15" t="s">
        <v>6</v>
      </c>
      <c r="E212" s="15">
        <v>17</v>
      </c>
      <c r="F212" s="91" t="s">
        <v>212</v>
      </c>
      <c r="G212" s="4"/>
      <c r="H212" s="4"/>
      <c r="I212" s="4"/>
    </row>
    <row r="213" spans="1:9" ht="15">
      <c r="A213" s="21">
        <f t="shared" si="3"/>
        <v>126</v>
      </c>
      <c r="B213" s="14" t="s">
        <v>341</v>
      </c>
      <c r="C213" s="85" t="str">
        <f ca="1">IFERROR(__xludf.DUMMYFUNCTION("GOOGLETRANSLATE(B213:B228,""RU"",""UK"")"),"Ключ для круглих шліцьових гайок 34-36мм")</f>
        <v>Ключ для круглих шліцьових гайок 34-36мм</v>
      </c>
      <c r="D213" s="15" t="s">
        <v>6</v>
      </c>
      <c r="E213" s="15">
        <v>3</v>
      </c>
      <c r="F213" s="91" t="s">
        <v>185</v>
      </c>
      <c r="G213" s="4"/>
      <c r="H213" s="4"/>
      <c r="I213" s="4"/>
    </row>
    <row r="214" spans="1:9" ht="15">
      <c r="A214" s="21">
        <f t="shared" si="3"/>
        <v>127</v>
      </c>
      <c r="B214" s="14" t="s">
        <v>342</v>
      </c>
      <c r="C214" s="85" t="str">
        <f ca="1">IFERROR(__xludf.DUMMYFUNCTION("GOOGLETRANSLATE(B214:B229,""RU"",""UK"")"),"Ключ для круглих шліцьових гайок 38-42мм")</f>
        <v>Ключ для круглих шліцьових гайок 38-42мм</v>
      </c>
      <c r="D214" s="15" t="s">
        <v>6</v>
      </c>
      <c r="E214" s="15">
        <v>37</v>
      </c>
      <c r="F214" s="91" t="s">
        <v>136</v>
      </c>
      <c r="G214" s="4"/>
      <c r="H214" s="4"/>
      <c r="I214" s="4"/>
    </row>
    <row r="215" spans="1:9" ht="15">
      <c r="A215" s="21">
        <f t="shared" si="3"/>
        <v>128</v>
      </c>
      <c r="B215" s="14" t="s">
        <v>343</v>
      </c>
      <c r="C215" s="85" t="str">
        <f ca="1">IFERROR(__xludf.DUMMYFUNCTION("GOOGLETRANSLATE(B215:B230,""RU"",""UK"")"),"Ключ для круглих шліцьових гайок 45-52мм")</f>
        <v>Ключ для круглих шліцьових гайок 45-52мм</v>
      </c>
      <c r="D215" s="15" t="s">
        <v>6</v>
      </c>
      <c r="E215" s="15">
        <v>11</v>
      </c>
      <c r="F215" s="91" t="s">
        <v>344</v>
      </c>
      <c r="G215" s="4"/>
      <c r="H215" s="4"/>
      <c r="I215" s="4"/>
    </row>
    <row r="216" spans="1:9" ht="15">
      <c r="A216" s="21">
        <f t="shared" si="3"/>
        <v>129</v>
      </c>
      <c r="B216" s="14" t="s">
        <v>345</v>
      </c>
      <c r="C216" s="85" t="str">
        <f ca="1">IFERROR(__xludf.DUMMYFUNCTION("GOOGLETRANSLATE(B216:B231,""RU"",""UK"")"),"Ключ для круглих шліцьових гайок 55-60мм")</f>
        <v>Ключ для круглих шліцьових гайок 55-60мм</v>
      </c>
      <c r="D216" s="15" t="s">
        <v>6</v>
      </c>
      <c r="E216" s="15">
        <v>81</v>
      </c>
      <c r="F216" s="91" t="s">
        <v>346</v>
      </c>
      <c r="G216" s="4"/>
      <c r="H216" s="4"/>
      <c r="I216" s="4"/>
    </row>
    <row r="217" spans="1:9" ht="15">
      <c r="A217" s="21">
        <f t="shared" si="3"/>
        <v>130</v>
      </c>
      <c r="B217" s="14" t="s">
        <v>347</v>
      </c>
      <c r="C217" s="85" t="str">
        <f ca="1">IFERROR(__xludf.DUMMYFUNCTION("GOOGLETRANSLATE(B217:B232,""RU"",""UK"")"),"Ключ для круглих шліцьових гайок 55-62мм")</f>
        <v>Ключ для круглих шліцьових гайок 55-62мм</v>
      </c>
      <c r="D217" s="15" t="s">
        <v>6</v>
      </c>
      <c r="E217" s="15">
        <v>200</v>
      </c>
      <c r="F217" s="91" t="s">
        <v>348</v>
      </c>
      <c r="G217" s="4"/>
      <c r="H217" s="4"/>
      <c r="I217" s="4"/>
    </row>
    <row r="218" spans="1:9" ht="15">
      <c r="A218" s="21">
        <f t="shared" ref="A218:A281" si="4">A217+1</f>
        <v>131</v>
      </c>
      <c r="B218" s="14" t="s">
        <v>349</v>
      </c>
      <c r="C218" s="85" t="str">
        <f ca="1">IFERROR(__xludf.DUMMYFUNCTION("GOOGLETRANSLATE(B218:B233,""RU"",""UK"")"),"Ключ для круглих шліцьових гайок 65-70мм")</f>
        <v>Ключ для круглих шліцьових гайок 65-70мм</v>
      </c>
      <c r="D218" s="15" t="s">
        <v>6</v>
      </c>
      <c r="E218" s="15">
        <v>14</v>
      </c>
      <c r="F218" s="91" t="s">
        <v>319</v>
      </c>
      <c r="G218" s="4"/>
      <c r="H218" s="4"/>
      <c r="I218" s="4"/>
    </row>
    <row r="219" spans="1:9" ht="15">
      <c r="A219" s="21">
        <f t="shared" si="4"/>
        <v>132</v>
      </c>
      <c r="B219" s="14" t="s">
        <v>350</v>
      </c>
      <c r="C219" s="85" t="str">
        <f ca="1">IFERROR(__xludf.DUMMYFUNCTION("GOOGLETRANSLATE(B219:B234,""RU"",""UK"")"),"Ключ для круглих шліцьових гайок 68-72мм")</f>
        <v>Ключ для круглих шліцьових гайок 68-72мм</v>
      </c>
      <c r="D219" s="15" t="s">
        <v>6</v>
      </c>
      <c r="E219" s="15">
        <v>9</v>
      </c>
      <c r="F219" s="91" t="s">
        <v>351</v>
      </c>
      <c r="G219" s="4"/>
      <c r="H219" s="4"/>
      <c r="I219" s="4"/>
    </row>
    <row r="220" spans="1:9" ht="15">
      <c r="A220" s="21">
        <f t="shared" si="4"/>
        <v>133</v>
      </c>
      <c r="B220" s="14" t="s">
        <v>352</v>
      </c>
      <c r="C220" s="85" t="str">
        <f ca="1">IFERROR(__xludf.DUMMYFUNCTION("GOOGLETRANSLATE(B220:B235,""RU"",""UK"")"),"Ключ для круглих шліцьових гайок 75-85мм")</f>
        <v>Ключ для круглих шліцьових гайок 75-85мм</v>
      </c>
      <c r="D220" s="15" t="s">
        <v>6</v>
      </c>
      <c r="E220" s="15">
        <v>7</v>
      </c>
      <c r="F220" s="91" t="s">
        <v>353</v>
      </c>
      <c r="G220" s="4"/>
      <c r="H220" s="4"/>
      <c r="I220" s="4"/>
    </row>
    <row r="221" spans="1:9" ht="15">
      <c r="A221" s="21">
        <f t="shared" si="4"/>
        <v>134</v>
      </c>
      <c r="B221" s="16" t="s">
        <v>354</v>
      </c>
      <c r="C221" s="85" t="str">
        <f ca="1">IFERROR(__xludf.DUMMYFUNCTION("GOOGLETRANSLATE(B221:B236,""RU"",""UK"")"),"Ключ для круглих шліцьових гайок 90-95мм")</f>
        <v>Ключ для круглих шліцьових гайок 90-95мм</v>
      </c>
      <c r="D221" s="15" t="s">
        <v>6</v>
      </c>
      <c r="E221" s="15">
        <v>11</v>
      </c>
      <c r="F221" s="91" t="s">
        <v>119</v>
      </c>
      <c r="G221" s="4"/>
      <c r="H221" s="4"/>
      <c r="I221" s="4"/>
    </row>
    <row r="222" spans="1:9" ht="15">
      <c r="A222" s="21">
        <f t="shared" si="4"/>
        <v>135</v>
      </c>
      <c r="B222" s="14" t="s">
        <v>355</v>
      </c>
      <c r="C222" s="85" t="str">
        <f ca="1">IFERROR(__xludf.DUMMYFUNCTION("GOOGLETRANSLATE(B222:B237,""RU"",""UK"")"),"Ключ для круглих шліцьових гайок 100-110мм")</f>
        <v>Ключ для круглих шліцьових гайок 100-110мм</v>
      </c>
      <c r="D222" s="15" t="s">
        <v>6</v>
      </c>
      <c r="E222" s="15">
        <v>14</v>
      </c>
      <c r="F222" s="91" t="s">
        <v>222</v>
      </c>
      <c r="G222" s="4"/>
      <c r="H222" s="4"/>
      <c r="I222" s="4"/>
    </row>
    <row r="223" spans="1:9" ht="15">
      <c r="A223" s="21">
        <f t="shared" si="4"/>
        <v>136</v>
      </c>
      <c r="B223" s="14" t="s">
        <v>356</v>
      </c>
      <c r="C223" s="85" t="str">
        <f ca="1">IFERROR(__xludf.DUMMYFUNCTION("GOOGLETRANSLATE(B223:B238,""RU"",""UK"")"),"Ключ для круглих шліцьових гайок 115-130мм")</f>
        <v>Ключ для круглих шліцьових гайок 115-130мм</v>
      </c>
      <c r="D223" s="15" t="s">
        <v>6</v>
      </c>
      <c r="E223" s="15">
        <v>103</v>
      </c>
      <c r="F223" s="91" t="s">
        <v>327</v>
      </c>
      <c r="G223" s="4"/>
      <c r="H223" s="4"/>
      <c r="I223" s="4"/>
    </row>
    <row r="224" spans="1:9" ht="15">
      <c r="A224" s="21">
        <f t="shared" si="4"/>
        <v>137</v>
      </c>
      <c r="B224" s="14" t="s">
        <v>357</v>
      </c>
      <c r="C224" s="85" t="str">
        <f ca="1">IFERROR(__xludf.DUMMYFUNCTION("GOOGLETRANSLATE(B224:B239,""RU"",""UK"")"),"Ключ для круглих шліцьових гайок 105-140мм")</f>
        <v>Ключ для круглих шліцьових гайок 105-140мм</v>
      </c>
      <c r="D224" s="15" t="s">
        <v>6</v>
      </c>
      <c r="E224" s="15">
        <v>2</v>
      </c>
      <c r="F224" s="91" t="s">
        <v>140</v>
      </c>
      <c r="G224" s="4"/>
      <c r="H224" s="4"/>
      <c r="I224" s="4"/>
    </row>
    <row r="225" spans="1:9" ht="15">
      <c r="A225" s="21">
        <f t="shared" si="4"/>
        <v>138</v>
      </c>
      <c r="B225" s="14" t="s">
        <v>358</v>
      </c>
      <c r="C225" s="85" t="str">
        <f ca="1">IFERROR(__xludf.DUMMYFUNCTION("GOOGLETRANSLATE(B225:B240,""RU"",""UK"")"),"Ключ для круглих шліцьових гайок 135-145мм")</f>
        <v>Ключ для круглих шліцьових гайок 135-145мм</v>
      </c>
      <c r="D225" s="15" t="s">
        <v>6</v>
      </c>
      <c r="E225" s="15">
        <v>7</v>
      </c>
      <c r="F225" s="91" t="s">
        <v>20</v>
      </c>
      <c r="G225" s="4"/>
      <c r="H225" s="4"/>
      <c r="I225" s="4"/>
    </row>
    <row r="226" spans="1:9" ht="15">
      <c r="A226" s="21">
        <f t="shared" si="4"/>
        <v>139</v>
      </c>
      <c r="B226" s="14" t="s">
        <v>359</v>
      </c>
      <c r="C226" s="85" t="str">
        <f ca="1">IFERROR(__xludf.DUMMYFUNCTION("GOOGLETRANSLATE(B226:B241,""RU"",""UK"")"),"Ключ для круглих шліцьових гайок 205-220мм")</f>
        <v>Ключ для круглих шліцьових гайок 205-220мм</v>
      </c>
      <c r="D226" s="15" t="s">
        <v>6</v>
      </c>
      <c r="E226" s="15">
        <v>2</v>
      </c>
      <c r="F226" s="91" t="s">
        <v>24</v>
      </c>
      <c r="G226" s="4"/>
      <c r="H226" s="4"/>
      <c r="I226" s="4"/>
    </row>
    <row r="227" spans="1:9" ht="15">
      <c r="A227" s="21">
        <f t="shared" si="4"/>
        <v>140</v>
      </c>
      <c r="B227" s="14" t="s">
        <v>360</v>
      </c>
      <c r="C227" s="85" t="str">
        <f ca="1">IFERROR(__xludf.DUMMYFUNCTION("GOOGLETRANSLATE(B227:B242,""RU"",""UK"")"),"Ключ шестигранний 4мм")</f>
        <v>Ключ шестигранний 4мм</v>
      </c>
      <c r="D227" s="15" t="s">
        <v>6</v>
      </c>
      <c r="E227" s="15">
        <v>58</v>
      </c>
      <c r="F227" s="91" t="s">
        <v>361</v>
      </c>
      <c r="G227" s="4"/>
      <c r="H227" s="4"/>
      <c r="I227" s="4"/>
    </row>
    <row r="228" spans="1:9" ht="15">
      <c r="A228" s="21">
        <f t="shared" si="4"/>
        <v>141</v>
      </c>
      <c r="B228" s="14" t="s">
        <v>362</v>
      </c>
      <c r="C228" s="85" t="str">
        <f ca="1">IFERROR(__xludf.DUMMYFUNCTION("GOOGLETRANSLATE(B228:B243,""RU"",""UK"")"),"Ключ шестигранний 5мм")</f>
        <v>Ключ шестигранний 5мм</v>
      </c>
      <c r="D228" s="15" t="s">
        <v>6</v>
      </c>
      <c r="E228" s="15">
        <v>436</v>
      </c>
      <c r="F228" s="91" t="s">
        <v>286</v>
      </c>
      <c r="G228" s="4"/>
      <c r="H228" s="4"/>
      <c r="I228" s="4"/>
    </row>
    <row r="229" spans="1:9" ht="15">
      <c r="A229" s="21">
        <f t="shared" si="4"/>
        <v>142</v>
      </c>
      <c r="B229" s="14" t="s">
        <v>363</v>
      </c>
      <c r="C229" s="85" t="str">
        <f ca="1">IFERROR(__xludf.DUMMYFUNCTION("GOOGLETRANSLATE(B229:B244,""RU"",""UK"")"),"Ключ шестигранний 5,5 мм")</f>
        <v>Ключ шестигранний 5,5 мм</v>
      </c>
      <c r="D229" s="15" t="s">
        <v>6</v>
      </c>
      <c r="E229" s="15">
        <v>1</v>
      </c>
      <c r="F229" s="91" t="s">
        <v>286</v>
      </c>
      <c r="G229" s="4"/>
      <c r="H229" s="4"/>
      <c r="I229" s="4"/>
    </row>
    <row r="230" spans="1:9" ht="15">
      <c r="A230" s="21">
        <f t="shared" si="4"/>
        <v>143</v>
      </c>
      <c r="B230" s="14" t="s">
        <v>364</v>
      </c>
      <c r="C230" s="85" t="str">
        <f ca="1">IFERROR(__xludf.DUMMYFUNCTION("GOOGLETRANSLATE(B230:B245,""RU"",""UK"")"),"Ключ шестигранний 6мм")</f>
        <v>Ключ шестигранний 6мм</v>
      </c>
      <c r="D230" s="15" t="s">
        <v>6</v>
      </c>
      <c r="E230" s="15">
        <v>514</v>
      </c>
      <c r="F230" s="91" t="s">
        <v>290</v>
      </c>
      <c r="G230" s="4"/>
      <c r="H230" s="4"/>
      <c r="I230" s="4"/>
    </row>
    <row r="231" spans="1:9" ht="15">
      <c r="A231" s="21">
        <f t="shared" si="4"/>
        <v>144</v>
      </c>
      <c r="B231" s="14" t="s">
        <v>365</v>
      </c>
      <c r="C231" s="85" t="str">
        <f ca="1">IFERROR(__xludf.DUMMYFUNCTION("GOOGLETRANSLATE(B231:B246,""RU"",""UK"")"),"Ключ шестигранний 7мм")</f>
        <v>Ключ шестигранний 7мм</v>
      </c>
      <c r="D231" s="15" t="s">
        <v>6</v>
      </c>
      <c r="E231" s="15">
        <v>71</v>
      </c>
      <c r="F231" s="91" t="s">
        <v>366</v>
      </c>
      <c r="G231" s="4"/>
      <c r="H231" s="4"/>
      <c r="I231" s="4"/>
    </row>
    <row r="232" spans="1:9" ht="15">
      <c r="A232" s="21">
        <f t="shared" si="4"/>
        <v>145</v>
      </c>
      <c r="B232" s="14" t="s">
        <v>367</v>
      </c>
      <c r="C232" s="85" t="str">
        <f ca="1">IFERROR(__xludf.DUMMYFUNCTION("GOOGLETRANSLATE(B232:B247,""RU"",""UK"")"),"Ключ шестигранний 8мм")</f>
        <v>Ключ шестигранний 8мм</v>
      </c>
      <c r="D232" s="15" t="s">
        <v>6</v>
      </c>
      <c r="E232" s="15">
        <v>549</v>
      </c>
      <c r="F232" s="91" t="s">
        <v>167</v>
      </c>
      <c r="G232" s="4"/>
      <c r="H232" s="4"/>
      <c r="I232" s="4"/>
    </row>
    <row r="233" spans="1:9" ht="15">
      <c r="A233" s="21">
        <f t="shared" si="4"/>
        <v>146</v>
      </c>
      <c r="B233" s="14" t="s">
        <v>368</v>
      </c>
      <c r="C233" s="85" t="str">
        <f ca="1">IFERROR(__xludf.DUMMYFUNCTION("GOOGLETRANSLATE(B233:B248,""RU"",""UK"")"),"Ключ шестигранний 10мм")</f>
        <v>Ключ шестигранний 10мм</v>
      </c>
      <c r="D233" s="15" t="s">
        <v>6</v>
      </c>
      <c r="E233" s="15">
        <v>274</v>
      </c>
      <c r="F233" s="91" t="s">
        <v>169</v>
      </c>
      <c r="G233" s="4"/>
      <c r="H233" s="4"/>
      <c r="I233" s="4"/>
    </row>
    <row r="234" spans="1:9" ht="15">
      <c r="A234" s="21">
        <f t="shared" si="4"/>
        <v>147</v>
      </c>
      <c r="B234" s="14" t="s">
        <v>369</v>
      </c>
      <c r="C234" s="85" t="str">
        <f ca="1">IFERROR(__xludf.DUMMYFUNCTION("GOOGLETRANSLATE(B234:B249,""RU"",""UK"")"),"Ключ шестигранний 12мм")</f>
        <v>Ключ шестигранний 12мм</v>
      </c>
      <c r="D234" s="15" t="s">
        <v>6</v>
      </c>
      <c r="E234" s="15">
        <v>208</v>
      </c>
      <c r="F234" s="91" t="s">
        <v>255</v>
      </c>
      <c r="G234" s="4"/>
      <c r="H234" s="4"/>
      <c r="I234" s="4"/>
    </row>
    <row r="235" spans="1:9" ht="15">
      <c r="A235" s="21">
        <f t="shared" si="4"/>
        <v>148</v>
      </c>
      <c r="B235" s="14" t="s">
        <v>370</v>
      </c>
      <c r="C235" s="85" t="str">
        <f ca="1">IFERROR(__xludf.DUMMYFUNCTION("GOOGLETRANSLATE(B235:B250,""RU"",""UK"")"),"Ключ шестигранний 14мм")</f>
        <v>Ключ шестигранний 14мм</v>
      </c>
      <c r="D235" s="15" t="s">
        <v>6</v>
      </c>
      <c r="E235" s="15">
        <v>4</v>
      </c>
      <c r="F235" s="91" t="s">
        <v>371</v>
      </c>
      <c r="G235" s="4"/>
      <c r="H235" s="4"/>
      <c r="I235" s="4"/>
    </row>
    <row r="236" spans="1:9" ht="15">
      <c r="A236" s="21">
        <f t="shared" si="4"/>
        <v>149</v>
      </c>
      <c r="B236" s="14" t="s">
        <v>372</v>
      </c>
      <c r="C236" s="85" t="str">
        <f ca="1">IFERROR(__xludf.DUMMYFUNCTION("GOOGLETRANSLATE(B236:B251,""RU"",""UK"")"),"Ключ шестигранний 17мм")</f>
        <v>Ключ шестигранний 17мм</v>
      </c>
      <c r="D236" s="15" t="s">
        <v>6</v>
      </c>
      <c r="E236" s="15">
        <v>51</v>
      </c>
      <c r="F236" s="91" t="s">
        <v>338</v>
      </c>
      <c r="G236" s="4"/>
      <c r="H236" s="4"/>
      <c r="I236" s="4"/>
    </row>
    <row r="237" spans="1:9" ht="15">
      <c r="A237" s="21">
        <f t="shared" si="4"/>
        <v>150</v>
      </c>
      <c r="B237" s="14" t="s">
        <v>373</v>
      </c>
      <c r="C237" s="85" t="str">
        <f ca="1">IFERROR(__xludf.DUMMYFUNCTION("GOOGLETRANSLATE(B237:B252,""RU"",""UK"")"),"Ключ шестигранний 19мм")</f>
        <v>Ключ шестигранний 19мм</v>
      </c>
      <c r="D237" s="15" t="s">
        <v>6</v>
      </c>
      <c r="E237" s="15">
        <v>143</v>
      </c>
      <c r="F237" s="91" t="s">
        <v>374</v>
      </c>
      <c r="G237" s="4"/>
      <c r="H237" s="4"/>
      <c r="I237" s="4"/>
    </row>
    <row r="238" spans="1:9" ht="15">
      <c r="A238" s="21">
        <f t="shared" si="4"/>
        <v>151</v>
      </c>
      <c r="B238" s="14" t="s">
        <v>375</v>
      </c>
      <c r="C238" s="85" t="str">
        <f ca="1">IFERROR(__xludf.DUMMYFUNCTION("GOOGLETRANSLATE(B238:B253,""RU"",""UK"")"),"Ключ шестигранний 22мм")</f>
        <v>Ключ шестигранний 22мм</v>
      </c>
      <c r="D238" s="15" t="s">
        <v>6</v>
      </c>
      <c r="E238" s="15">
        <v>26</v>
      </c>
      <c r="F238" s="91" t="s">
        <v>136</v>
      </c>
      <c r="G238" s="4"/>
      <c r="H238" s="4"/>
      <c r="I238" s="4"/>
    </row>
    <row r="239" spans="1:9" ht="15">
      <c r="A239" s="21">
        <f t="shared" si="4"/>
        <v>152</v>
      </c>
      <c r="B239" s="14" t="s">
        <v>376</v>
      </c>
      <c r="C239" s="85" t="str">
        <f ca="1">IFERROR(__xludf.DUMMYFUNCTION("GOOGLETRANSLATE(B239:B254,""RU"",""UK"")"),"Ключ шестигранний 24мм")</f>
        <v>Ключ шестигранний 24мм</v>
      </c>
      <c r="D239" s="15" t="s">
        <v>6</v>
      </c>
      <c r="E239" s="15">
        <v>7</v>
      </c>
      <c r="F239" s="91" t="s">
        <v>319</v>
      </c>
      <c r="G239" s="4"/>
      <c r="H239" s="4"/>
      <c r="I239" s="4"/>
    </row>
    <row r="240" spans="1:9" ht="15">
      <c r="A240" s="21">
        <f t="shared" si="4"/>
        <v>153</v>
      </c>
      <c r="B240" s="19" t="s">
        <v>377</v>
      </c>
      <c r="C240" s="85" t="str">
        <f ca="1">IFERROR(__xludf.DUMMYFUNCTION("GOOGLETRANSLATE(B240:B255,""RU"",""UK"")"),"Набір ключів імбусових (6 гранних) удл. 1,5-10мм (10шт)")</f>
        <v>Набір ключів імбусових (6 гранних) удл. 1,5-10мм (10шт)</v>
      </c>
      <c r="D240" s="15" t="s">
        <v>378</v>
      </c>
      <c r="E240" s="15">
        <v>0</v>
      </c>
      <c r="F240" s="91" t="s">
        <v>327</v>
      </c>
      <c r="G240" s="4"/>
      <c r="H240" s="4"/>
      <c r="I240" s="4"/>
    </row>
    <row r="241" spans="1:9" ht="15">
      <c r="A241" s="21">
        <f t="shared" si="4"/>
        <v>154</v>
      </c>
      <c r="B241" s="16" t="s">
        <v>379</v>
      </c>
      <c r="C241" s="85" t="str">
        <f ca="1">IFERROR(__xludf.DUMMYFUNCTION("GOOGLETRANSLATE(B241:B256,""RU"",""UK"")"),"Набір імбусових ключів (6-ти гранних) з кулею удл. 2-10мм (9шт)")</f>
        <v>Набір імбусових ключів (6-ти гранних) з кулею удл. 2-10мм (9шт)</v>
      </c>
      <c r="D241" s="15" t="s">
        <v>378</v>
      </c>
      <c r="E241" s="15">
        <v>3</v>
      </c>
      <c r="F241" s="91" t="s">
        <v>380</v>
      </c>
      <c r="G241" s="4"/>
      <c r="H241" s="4"/>
      <c r="I241" s="4"/>
    </row>
    <row r="242" spans="1:9" ht="15">
      <c r="A242" s="21">
        <f t="shared" si="4"/>
        <v>155</v>
      </c>
      <c r="B242" s="19" t="s">
        <v>381</v>
      </c>
      <c r="C242" s="85" t="str">
        <f ca="1">IFERROR(__xludf.DUMMYFUNCTION("GOOGLETRANSLATE(B242:B257,""RU"",""UK"")"),"Набір ключів TORX, Cr-V, 9шт (T10-T24)")</f>
        <v>Набір ключів TORX, Cr-V, 9шт (T10-T24)</v>
      </c>
      <c r="D242" s="15" t="s">
        <v>378</v>
      </c>
      <c r="E242" s="15">
        <v>0</v>
      </c>
      <c r="F242" s="91" t="s">
        <v>382</v>
      </c>
      <c r="G242" s="4"/>
      <c r="H242" s="4"/>
      <c r="I242" s="4"/>
    </row>
    <row r="243" spans="1:9" ht="15">
      <c r="A243" s="21">
        <f t="shared" si="4"/>
        <v>156</v>
      </c>
      <c r="B243" s="16" t="s">
        <v>383</v>
      </c>
      <c r="C243" s="85" t="str">
        <f ca="1">IFERROR(__xludf.DUMMYFUNCTION("GOOGLETRANSLATE(B243:B258,""RU"",""UK"")"),"Набір торцевих головок 10-30мм (19 попер.)")</f>
        <v>Набір торцевих головок 10-30мм (19 попер.)</v>
      </c>
      <c r="D243" s="15" t="s">
        <v>378</v>
      </c>
      <c r="E243" s="15">
        <v>1</v>
      </c>
      <c r="F243" s="91" t="s">
        <v>88</v>
      </c>
      <c r="G243" s="4"/>
      <c r="H243" s="4"/>
      <c r="I243" s="4"/>
    </row>
    <row r="244" spans="1:9" ht="15">
      <c r="A244" s="21">
        <f t="shared" si="4"/>
        <v>157</v>
      </c>
      <c r="B244" s="19" t="s">
        <v>384</v>
      </c>
      <c r="C244" s="85" t="str">
        <f ca="1">IFERROR(__xludf.DUMMYFUNCTION("GOOGLETRANSLATE(B244:B259,""RU"",""UK"")"),"Набір головок з тріскачкою 1/2"" (10-24мм) Cr-V, 12 предм.")</f>
        <v>Набір головок з тріскачкою 1/2" (10-24мм) Cr-V, 12 предм.</v>
      </c>
      <c r="D244" s="15" t="s">
        <v>378</v>
      </c>
      <c r="E244" s="15">
        <v>0</v>
      </c>
      <c r="F244" s="91" t="s">
        <v>385</v>
      </c>
      <c r="G244" s="4"/>
      <c r="H244" s="4"/>
      <c r="I244" s="4"/>
    </row>
    <row r="245" spans="1:9" ht="15">
      <c r="A245" s="21">
        <f t="shared" si="4"/>
        <v>158</v>
      </c>
      <c r="B245" s="19" t="s">
        <v>386</v>
      </c>
      <c r="C245" s="85" t="str">
        <f ca="1">IFERROR(__xludf.DUMMYFUNCTION("GOOGLETRANSLATE(B245:B260,""RU"",""UK"")"),"Набір головок з тріскач. 1/2 ""(8-32мм) Cr-V, 20 попер. Berg")</f>
        <v>Набір головок з тріскач. 1/2 "(8-32мм) Cr-V, 20 попер. Berg</v>
      </c>
      <c r="D245" s="15" t="s">
        <v>378</v>
      </c>
      <c r="E245" s="15">
        <v>0</v>
      </c>
      <c r="F245" s="91" t="s">
        <v>55</v>
      </c>
      <c r="G245" s="4"/>
      <c r="H245" s="4"/>
      <c r="I245" s="4"/>
    </row>
    <row r="246" spans="1:9" ht="15">
      <c r="A246" s="21">
        <f t="shared" si="4"/>
        <v>159</v>
      </c>
      <c r="B246" s="19" t="s">
        <v>387</v>
      </c>
      <c r="C246" s="85" t="str">
        <f ca="1">IFERROR(__xludf.DUMMYFUNCTION("GOOGLETRANSLATE(B246:B261,""RU"",""UK"")"),"Набір ключів ""Мотор Січ НК-1"" (8-22мм -23 попер.)")</f>
        <v>Набір ключів "Мотор Січ НК-1" (8-22мм -23 попер.)</v>
      </c>
      <c r="D246" s="15" t="s">
        <v>378</v>
      </c>
      <c r="E246" s="15">
        <v>0</v>
      </c>
      <c r="F246" s="91" t="s">
        <v>33</v>
      </c>
      <c r="G246" s="4"/>
      <c r="H246" s="4"/>
      <c r="I246" s="4"/>
    </row>
    <row r="247" spans="1:9" ht="15">
      <c r="A247" s="21">
        <f t="shared" si="4"/>
        <v>160</v>
      </c>
      <c r="B247" s="19" t="s">
        <v>388</v>
      </c>
      <c r="C247" s="85" t="str">
        <f ca="1">IFERROR(__xludf.DUMMYFUNCTION("GOOGLETRANSLATE(B247:B262,""RU"",""UK"")"),"НАБІР КЛЮЧІВ ріжкових Cr-V, 8шт (6-22мм)")</f>
        <v>НАБІР КЛЮЧІВ ріжкових Cr-V, 8шт (6-22мм)</v>
      </c>
      <c r="D247" s="15" t="s">
        <v>378</v>
      </c>
      <c r="E247" s="15">
        <v>0</v>
      </c>
      <c r="F247" s="91" t="s">
        <v>272</v>
      </c>
      <c r="G247" s="4"/>
      <c r="H247" s="4"/>
      <c r="I247" s="4"/>
    </row>
    <row r="248" spans="1:9" ht="15">
      <c r="A248" s="21">
        <f t="shared" si="4"/>
        <v>161</v>
      </c>
      <c r="B248" s="19" t="s">
        <v>389</v>
      </c>
      <c r="C248" s="85" t="str">
        <f ca="1">IFERROR(__xludf.DUMMYFUNCTION("GOOGLETRANSLATE(B248:B263,""RU"",""UK"")"),"НАБІР КЛЮЧІВ ріжково-накидних Cr-V,8шт (6-19мм) Berg")</f>
        <v>НАБІР КЛЮЧІВ ріжково-накидних Cr-V,8шт (6-19мм) Berg</v>
      </c>
      <c r="D248" s="15" t="s">
        <v>378</v>
      </c>
      <c r="E248" s="15">
        <v>0</v>
      </c>
      <c r="F248" s="91" t="s">
        <v>162</v>
      </c>
      <c r="G248" s="4"/>
      <c r="H248" s="4"/>
      <c r="I248" s="4"/>
    </row>
    <row r="249" spans="1:9" ht="15">
      <c r="A249" s="21">
        <f t="shared" si="4"/>
        <v>162</v>
      </c>
      <c r="B249" s="19" t="s">
        <v>390</v>
      </c>
      <c r="C249" s="85" t="str">
        <f ca="1">IFERROR(__xludf.DUMMYFUNCTION("GOOGLETRANSLATE(B249:B264,""RU"",""UK"")"),"НАБІР КЛЮЧІВ ріжково-накидних 10шт (6-22мм)")</f>
        <v>НАБІР КЛЮЧІВ ріжково-накидних 10шт (6-22мм)</v>
      </c>
      <c r="D249" s="15" t="s">
        <v>378</v>
      </c>
      <c r="E249" s="15">
        <v>0</v>
      </c>
      <c r="F249" s="91" t="s">
        <v>391</v>
      </c>
      <c r="G249" s="4"/>
      <c r="H249" s="4"/>
      <c r="I249" s="4"/>
    </row>
    <row r="250" spans="1:9" ht="15">
      <c r="A250" s="21">
        <f t="shared" si="4"/>
        <v>163</v>
      </c>
      <c r="B250" s="19" t="s">
        <v>392</v>
      </c>
      <c r="C250" s="85" t="str">
        <f ca="1">IFERROR(__xludf.DUMMYFUNCTION("GOOGLETRANSLATE(B250:B265,""RU"",""UK"")"),"НАБІР КЛЮЧІВ ріжково-накидних Cr-V,14шт (8-24мм)")</f>
        <v>НАБІР КЛЮЧІВ ріжково-накидних Cr-V,14шт (8-24мм)</v>
      </c>
      <c r="D250" s="15" t="s">
        <v>378</v>
      </c>
      <c r="E250" s="15">
        <v>0</v>
      </c>
      <c r="F250" s="91" t="s">
        <v>393</v>
      </c>
      <c r="G250" s="4"/>
      <c r="H250" s="4"/>
      <c r="I250" s="4"/>
    </row>
    <row r="251" spans="1:9" ht="15">
      <c r="A251" s="21">
        <f t="shared" si="4"/>
        <v>164</v>
      </c>
      <c r="B251" s="14" t="s">
        <v>394</v>
      </c>
      <c r="C251" s="85" t="str">
        <f ca="1">IFERROR(__xludf.DUMMYFUNCTION("GOOGLETRANSLATE(B251:B266,""RU"",""UK"")"),"Набір для карбування")</f>
        <v>Набір для карбування</v>
      </c>
      <c r="D251" s="15" t="s">
        <v>378</v>
      </c>
      <c r="E251" s="15">
        <v>1</v>
      </c>
      <c r="F251" s="91" t="s">
        <v>319</v>
      </c>
      <c r="G251" s="4"/>
      <c r="H251" s="4"/>
      <c r="I251" s="4"/>
    </row>
    <row r="252" spans="1:9" ht="15">
      <c r="A252" s="21">
        <f t="shared" si="4"/>
        <v>165</v>
      </c>
      <c r="B252" s="14" t="s">
        <v>395</v>
      </c>
      <c r="C252" s="85" t="str">
        <f ca="1">IFERROR(__xludf.DUMMYFUNCTION("GOOGLETRANSLATE(B252:B267,""RU"",""UK"")"),"Головка торцева 13мм")</f>
        <v>Головка торцева 13мм</v>
      </c>
      <c r="D252" s="15" t="s">
        <v>6</v>
      </c>
      <c r="E252" s="15">
        <v>1</v>
      </c>
      <c r="F252" s="91" t="s">
        <v>292</v>
      </c>
      <c r="G252" s="4"/>
      <c r="H252" s="4"/>
      <c r="I252" s="4"/>
    </row>
    <row r="253" spans="1:9" ht="15">
      <c r="A253" s="21">
        <f t="shared" si="4"/>
        <v>166</v>
      </c>
      <c r="B253" s="14" t="s">
        <v>396</v>
      </c>
      <c r="C253" s="85" t="str">
        <f ca="1">IFERROR(__xludf.DUMMYFUNCTION("GOOGLETRANSLATE(B253:B268,""RU"",""UK"")"),"Головка торцева 14мм")</f>
        <v>Головка торцева 14мм</v>
      </c>
      <c r="D253" s="15" t="s">
        <v>6</v>
      </c>
      <c r="E253" s="15">
        <v>32</v>
      </c>
      <c r="F253" s="91" t="s">
        <v>366</v>
      </c>
      <c r="G253" s="4"/>
      <c r="H253" s="4"/>
      <c r="I253" s="4"/>
    </row>
    <row r="254" spans="1:9" ht="15">
      <c r="A254" s="21">
        <f t="shared" si="4"/>
        <v>167</v>
      </c>
      <c r="B254" s="14" t="s">
        <v>397</v>
      </c>
      <c r="C254" s="85" t="str">
        <f ca="1">IFERROR(__xludf.DUMMYFUNCTION("GOOGLETRANSLATE(B254:B269,""RU"",""UK"")"),"Головка торцева 15мм")</f>
        <v>Головка торцева 15мм</v>
      </c>
      <c r="D254" s="15" t="s">
        <v>6</v>
      </c>
      <c r="E254" s="15">
        <v>3</v>
      </c>
      <c r="F254" s="91" t="s">
        <v>366</v>
      </c>
      <c r="G254" s="4"/>
      <c r="H254" s="4"/>
      <c r="I254" s="4"/>
    </row>
    <row r="255" spans="1:9" ht="15">
      <c r="A255" s="21">
        <f t="shared" si="4"/>
        <v>168</v>
      </c>
      <c r="B255" s="14" t="s">
        <v>398</v>
      </c>
      <c r="C255" s="85" t="str">
        <f ca="1">IFERROR(__xludf.DUMMYFUNCTION("GOOGLETRANSLATE(B255:B270,""RU"",""UK"")"),"Головка торцева Cr-V, 1/2"" 17мм")</f>
        <v>Головка торцева Cr-V, 1/2" 17мм</v>
      </c>
      <c r="D255" s="15" t="s">
        <v>6</v>
      </c>
      <c r="E255" s="15">
        <v>1</v>
      </c>
      <c r="F255" s="91" t="s">
        <v>177</v>
      </c>
      <c r="G255" s="4"/>
      <c r="H255" s="4"/>
      <c r="I255" s="4"/>
    </row>
    <row r="256" spans="1:9" ht="15">
      <c r="A256" s="21">
        <f t="shared" si="4"/>
        <v>169</v>
      </c>
      <c r="B256" s="14" t="s">
        <v>399</v>
      </c>
      <c r="C256" s="85" t="str">
        <f ca="1">IFERROR(__xludf.DUMMYFUNCTION("GOOGLETRANSLATE(B256:B271,""RU"",""UK"")"),"Головка торцева 18мм")</f>
        <v>Головка торцева 18мм</v>
      </c>
      <c r="D256" s="15" t="s">
        <v>6</v>
      </c>
      <c r="E256" s="15">
        <v>6</v>
      </c>
      <c r="F256" s="91" t="s">
        <v>177</v>
      </c>
      <c r="G256" s="4"/>
      <c r="H256" s="4"/>
      <c r="I256" s="4"/>
    </row>
    <row r="257" spans="1:9" ht="15">
      <c r="A257" s="21">
        <f t="shared" si="4"/>
        <v>170</v>
      </c>
      <c r="B257" s="14" t="s">
        <v>400</v>
      </c>
      <c r="C257" s="85" t="str">
        <f ca="1">IFERROR(__xludf.DUMMYFUNCTION("GOOGLETRANSLATE(B257:B272,""RU"",""UK"")"),"Головка торцева Cr-V, 1/2"" 22мм")</f>
        <v>Головка торцева Cr-V, 1/2" 22мм</v>
      </c>
      <c r="D257" s="15" t="s">
        <v>6</v>
      </c>
      <c r="E257" s="15">
        <v>3</v>
      </c>
      <c r="F257" s="91" t="s">
        <v>205</v>
      </c>
      <c r="G257" s="4"/>
      <c r="H257" s="4"/>
      <c r="I257" s="4"/>
    </row>
    <row r="258" spans="1:9" ht="15">
      <c r="A258" s="21">
        <f t="shared" si="4"/>
        <v>171</v>
      </c>
      <c r="B258" s="14" t="s">
        <v>401</v>
      </c>
      <c r="C258" s="85" t="str">
        <f ca="1">IFERROR(__xludf.DUMMYFUNCTION("GOOGLETRANSLATE(B258:B273,""RU"",""UK"")"),"Головка торцева 23мм")</f>
        <v>Головка торцева 23мм</v>
      </c>
      <c r="D258" s="15" t="s">
        <v>6</v>
      </c>
      <c r="E258" s="15">
        <v>4</v>
      </c>
      <c r="F258" s="91" t="s">
        <v>205</v>
      </c>
      <c r="G258" s="4"/>
      <c r="H258" s="4"/>
      <c r="I258" s="4"/>
    </row>
    <row r="259" spans="1:9" ht="15">
      <c r="A259" s="21">
        <f t="shared" si="4"/>
        <v>172</v>
      </c>
      <c r="B259" s="14" t="s">
        <v>402</v>
      </c>
      <c r="C259" s="85" t="str">
        <f ca="1">IFERROR(__xludf.DUMMYFUNCTION("GOOGLETRANSLATE(B259:B274,""RU"",""UK"")"),"Головка торцева 24мм")</f>
        <v>Головка торцева 24мм</v>
      </c>
      <c r="D259" s="15" t="s">
        <v>6</v>
      </c>
      <c r="E259" s="15">
        <v>1</v>
      </c>
      <c r="F259" s="91" t="s">
        <v>255</v>
      </c>
      <c r="G259" s="4"/>
      <c r="H259" s="4"/>
      <c r="I259" s="4"/>
    </row>
    <row r="260" spans="1:9" ht="15">
      <c r="A260" s="21">
        <f t="shared" si="4"/>
        <v>173</v>
      </c>
      <c r="B260" s="14" t="s">
        <v>403</v>
      </c>
      <c r="C260" s="85" t="str">
        <f ca="1">IFERROR(__xludf.DUMMYFUNCTION("GOOGLETRANSLATE(B260:B275,""RU"",""UK"")"),"Головка торцева 26мм")</f>
        <v>Головка торцева 26мм</v>
      </c>
      <c r="D260" s="15" t="s">
        <v>6</v>
      </c>
      <c r="E260" s="15">
        <v>2</v>
      </c>
      <c r="F260" s="91" t="s">
        <v>255</v>
      </c>
      <c r="G260" s="4"/>
      <c r="H260" s="4"/>
      <c r="I260" s="4"/>
    </row>
    <row r="261" spans="1:9" ht="15">
      <c r="A261" s="21">
        <f t="shared" si="4"/>
        <v>174</v>
      </c>
      <c r="B261" s="14" t="s">
        <v>404</v>
      </c>
      <c r="C261" s="85" t="str">
        <f ca="1">IFERROR(__xludf.DUMMYFUNCTION("GOOGLETRANSLATE(B261:B276,""RU"",""UK"")"),"Головка торцева 27мм")</f>
        <v>Головка торцева 27мм</v>
      </c>
      <c r="D261" s="15" t="s">
        <v>6</v>
      </c>
      <c r="E261" s="15">
        <v>7</v>
      </c>
      <c r="F261" s="91" t="s">
        <v>371</v>
      </c>
      <c r="G261" s="4"/>
      <c r="H261" s="4"/>
      <c r="I261" s="4"/>
    </row>
    <row r="262" spans="1:9" ht="15">
      <c r="A262" s="21">
        <f t="shared" si="4"/>
        <v>175</v>
      </c>
      <c r="B262" s="14" t="s">
        <v>405</v>
      </c>
      <c r="C262" s="85" t="str">
        <f ca="1">IFERROR(__xludf.DUMMYFUNCTION("GOOGLETRANSLATE(B262:B277,""RU"",""UK"")"),"Головка торцева 28мм")</f>
        <v>Головка торцева 28мм</v>
      </c>
      <c r="D262" s="15" t="s">
        <v>6</v>
      </c>
      <c r="E262" s="15">
        <v>1</v>
      </c>
      <c r="F262" s="91" t="s">
        <v>136</v>
      </c>
      <c r="G262" s="4"/>
      <c r="H262" s="4"/>
      <c r="I262" s="4"/>
    </row>
    <row r="263" spans="1:9" ht="15">
      <c r="A263" s="21">
        <f t="shared" si="4"/>
        <v>176</v>
      </c>
      <c r="B263" s="14" t="s">
        <v>406</v>
      </c>
      <c r="C263" s="85" t="str">
        <f ca="1">IFERROR(__xludf.DUMMYFUNCTION("GOOGLETRANSLATE(B263:B278,""RU"",""UK"")"),"Головка торцева 32мм")</f>
        <v>Головка торцева 32мм</v>
      </c>
      <c r="D263" s="15" t="s">
        <v>6</v>
      </c>
      <c r="E263" s="15">
        <v>2</v>
      </c>
      <c r="F263" s="91" t="s">
        <v>327</v>
      </c>
      <c r="G263" s="4"/>
      <c r="H263" s="4"/>
      <c r="I263" s="4"/>
    </row>
    <row r="264" spans="1:9" ht="15">
      <c r="A264" s="21">
        <f t="shared" si="4"/>
        <v>177</v>
      </c>
      <c r="B264" s="14" t="s">
        <v>407</v>
      </c>
      <c r="C264" s="85" t="str">
        <f ca="1">IFERROR(__xludf.DUMMYFUNCTION("GOOGLETRANSLATE(B264:B279,""RU"",""UK"")"),"Головка торцева 41мм")</f>
        <v>Головка торцева 41мм</v>
      </c>
      <c r="D264" s="15" t="s">
        <v>6</v>
      </c>
      <c r="E264" s="15">
        <v>25</v>
      </c>
      <c r="F264" s="91" t="s">
        <v>140</v>
      </c>
      <c r="G264" s="4"/>
      <c r="H264" s="4"/>
      <c r="I264" s="4"/>
    </row>
    <row r="265" spans="1:9" ht="15">
      <c r="A265" s="21">
        <f t="shared" si="4"/>
        <v>178</v>
      </c>
      <c r="B265" s="14" t="s">
        <v>408</v>
      </c>
      <c r="C265" s="85" t="str">
        <f ca="1">IFERROR(__xludf.DUMMYFUNCTION("GOOGLETRANSLATE(B265:B280,""RU"",""UK"")"),"Головка торцева 46мм")</f>
        <v>Головка торцева 46мм</v>
      </c>
      <c r="D265" s="15" t="s">
        <v>6</v>
      </c>
      <c r="E265" s="15">
        <v>35</v>
      </c>
      <c r="F265" s="91" t="s">
        <v>24</v>
      </c>
      <c r="G265" s="4"/>
      <c r="H265" s="4"/>
      <c r="I265" s="4"/>
    </row>
    <row r="266" spans="1:9" ht="15">
      <c r="A266" s="21">
        <f t="shared" si="4"/>
        <v>179</v>
      </c>
      <c r="B266" s="14" t="s">
        <v>409</v>
      </c>
      <c r="C266" s="85" t="str">
        <f ca="1">IFERROR(__xludf.DUMMYFUNCTION("GOOGLETRANSLATE(B266:B281,""RU"",""UK"")"),"Головка торцева 55мм")</f>
        <v>Головка торцева 55мм</v>
      </c>
      <c r="D266" s="15" t="s">
        <v>6</v>
      </c>
      <c r="E266" s="15">
        <v>1</v>
      </c>
      <c r="F266" s="91" t="s">
        <v>106</v>
      </c>
      <c r="G266" s="4"/>
      <c r="H266" s="4"/>
      <c r="I266" s="4"/>
    </row>
    <row r="267" spans="1:9" ht="15">
      <c r="A267" s="21">
        <f t="shared" si="4"/>
        <v>180</v>
      </c>
      <c r="B267" s="14" t="s">
        <v>410</v>
      </c>
      <c r="C267" s="85" t="str">
        <f ca="1">IFERROR(__xludf.DUMMYFUNCTION("GOOGLETRANSLATE(B267:B282,""RU"",""UK"")"),"Головка торцева 60мм")</f>
        <v>Головка торцева 60мм</v>
      </c>
      <c r="D267" s="15" t="s">
        <v>6</v>
      </c>
      <c r="E267" s="15">
        <v>1</v>
      </c>
      <c r="F267" s="91" t="s">
        <v>16</v>
      </c>
      <c r="G267" s="4"/>
      <c r="H267" s="4"/>
      <c r="I267" s="4"/>
    </row>
    <row r="268" spans="1:9" ht="15">
      <c r="A268" s="21">
        <f t="shared" si="4"/>
        <v>181</v>
      </c>
      <c r="B268" s="16" t="s">
        <v>411</v>
      </c>
      <c r="C268" s="85" t="str">
        <f ca="1">IFERROR(__xludf.DUMMYFUNCTION("GOOGLETRANSLATE(B268:B283,""RU"",""UK"")"),"Головка торцева 95мм")</f>
        <v>Головка торцева 95мм</v>
      </c>
      <c r="D268" s="15" t="s">
        <v>6</v>
      </c>
      <c r="E268" s="15">
        <v>1</v>
      </c>
      <c r="F268" s="91" t="s">
        <v>272</v>
      </c>
      <c r="G268" s="4"/>
      <c r="H268" s="4"/>
      <c r="I268" s="4"/>
    </row>
    <row r="269" spans="1:9" ht="15">
      <c r="A269" s="21">
        <f t="shared" si="4"/>
        <v>182</v>
      </c>
      <c r="B269" s="14" t="s">
        <v>412</v>
      </c>
      <c r="C269" s="85" t="str">
        <f ca="1">IFERROR(__xludf.DUMMYFUNCTION("GOOGLETRANSLATE(B269:B284,""RU"",""UK"")"),"Головка торцева 118мм")</f>
        <v>Головка торцева 118мм</v>
      </c>
      <c r="D269" s="15" t="s">
        <v>6</v>
      </c>
      <c r="E269" s="15">
        <v>1</v>
      </c>
      <c r="F269" s="91" t="s">
        <v>413</v>
      </c>
      <c r="G269" s="4"/>
      <c r="H269" s="4"/>
      <c r="I269" s="4"/>
    </row>
    <row r="270" spans="1:9" ht="15">
      <c r="A270" s="21">
        <f t="shared" si="4"/>
        <v>183</v>
      </c>
      <c r="B270" s="16" t="s">
        <v>414</v>
      </c>
      <c r="C270" s="85" t="str">
        <f ca="1">IFERROR(__xludf.DUMMYFUNCTION("GOOGLETRANSLATE(B270:B285,""RU"",""UK"")"),"Вороток для торцевих головок 1/2""")</f>
        <v>Вороток для торцевих головок 1/2"</v>
      </c>
      <c r="D270" s="17" t="s">
        <v>6</v>
      </c>
      <c r="E270" s="17">
        <v>2</v>
      </c>
      <c r="F270" s="92" t="s">
        <v>194</v>
      </c>
      <c r="G270" s="4"/>
      <c r="H270" s="4"/>
      <c r="I270" s="4"/>
    </row>
    <row r="271" spans="1:9" ht="15">
      <c r="A271" s="21">
        <f t="shared" si="4"/>
        <v>184</v>
      </c>
      <c r="B271" s="14" t="s">
        <v>415</v>
      </c>
      <c r="C271" s="85" t="str">
        <f ca="1">IFERROR(__xludf.DUMMYFUNCTION("GOOGLETRANSLATE(B271:B286,""RU"",""UK"")"),"Набір викруток вартових")</f>
        <v>Набір викруток вартових</v>
      </c>
      <c r="D271" s="15" t="s">
        <v>6</v>
      </c>
      <c r="E271" s="15">
        <v>29</v>
      </c>
      <c r="F271" s="91" t="s">
        <v>167</v>
      </c>
      <c r="G271" s="4"/>
      <c r="H271" s="4"/>
      <c r="I271" s="4"/>
    </row>
    <row r="272" spans="1:9" ht="15">
      <c r="A272" s="21">
        <f t="shared" si="4"/>
        <v>185</v>
      </c>
      <c r="B272" s="14" t="s">
        <v>416</v>
      </c>
      <c r="C272" s="85" t="str">
        <f ca="1">IFERROR(__xludf.DUMMYFUNCTION("GOOGLETRANSLATE(B272:B287,""RU"",""UK"")"),"Викрутка 95х0,3")</f>
        <v>Викрутка 95х0,3</v>
      </c>
      <c r="D272" s="15" t="s">
        <v>6</v>
      </c>
      <c r="E272" s="15">
        <v>15</v>
      </c>
      <c r="F272" s="91" t="s">
        <v>417</v>
      </c>
      <c r="G272" s="4"/>
      <c r="H272" s="4"/>
      <c r="I272" s="4"/>
    </row>
    <row r="273" spans="1:9" ht="15">
      <c r="A273" s="21">
        <f t="shared" si="4"/>
        <v>186</v>
      </c>
      <c r="B273" s="14" t="s">
        <v>418</v>
      </c>
      <c r="C273" s="85" t="str">
        <f ca="1">IFERROR(__xludf.DUMMYFUNCTION("GOOGLETRANSLATE(B273:B288,""RU"",""UK"")"),"Викрутка 160х4х0,6")</f>
        <v>Викрутка 160х4х0,6</v>
      </c>
      <c r="D273" s="15" t="s">
        <v>6</v>
      </c>
      <c r="E273" s="15">
        <v>520</v>
      </c>
      <c r="F273" s="91" t="s">
        <v>124</v>
      </c>
      <c r="G273" s="4"/>
      <c r="H273" s="4"/>
      <c r="I273" s="4"/>
    </row>
    <row r="274" spans="1:9" ht="15">
      <c r="A274" s="21">
        <f t="shared" si="4"/>
        <v>187</v>
      </c>
      <c r="B274" s="14" t="s">
        <v>419</v>
      </c>
      <c r="C274" s="85" t="str">
        <f ca="1">IFERROR(__xludf.DUMMYFUNCTION("GOOGLETRANSLATE(B274:B289,""RU"",""UK"")"),"Викрутка 190х6х1.0")</f>
        <v>Викрутка 190х6х1.0</v>
      </c>
      <c r="D274" s="15" t="s">
        <v>6</v>
      </c>
      <c r="E274" s="15">
        <v>585</v>
      </c>
      <c r="F274" s="91" t="s">
        <v>167</v>
      </c>
      <c r="G274" s="4"/>
      <c r="H274" s="4"/>
      <c r="I274" s="4"/>
    </row>
    <row r="275" spans="1:9" ht="15">
      <c r="A275" s="21">
        <f t="shared" si="4"/>
        <v>188</v>
      </c>
      <c r="B275" s="14" t="s">
        <v>420</v>
      </c>
      <c r="C275" s="85" t="str">
        <f ca="1">IFERROR(__xludf.DUMMYFUNCTION("GOOGLETRANSLATE(B275:B290,""RU"",""UK"")"),"Викрутка 200х8х1,2")</f>
        <v>Викрутка 200х8х1,2</v>
      </c>
      <c r="D275" s="15" t="s">
        <v>6</v>
      </c>
      <c r="E275" s="15">
        <v>130</v>
      </c>
      <c r="F275" s="91" t="s">
        <v>248</v>
      </c>
      <c r="G275" s="4"/>
      <c r="H275" s="4"/>
      <c r="I275" s="4"/>
    </row>
    <row r="276" spans="1:9" ht="15">
      <c r="A276" s="21">
        <f t="shared" si="4"/>
        <v>189</v>
      </c>
      <c r="B276" s="14" t="s">
        <v>421</v>
      </c>
      <c r="C276" s="85" t="str">
        <f ca="1">IFERROR(__xludf.DUMMYFUNCTION("GOOGLETRANSLATE(B276:B291,""RU"",""UK"")"),"Викрутка 250х10х1,6")</f>
        <v>Викрутка 250х10х1,6</v>
      </c>
      <c r="D276" s="15" t="s">
        <v>6</v>
      </c>
      <c r="E276" s="15">
        <v>457</v>
      </c>
      <c r="F276" s="91" t="s">
        <v>169</v>
      </c>
      <c r="G276" s="4"/>
      <c r="H276" s="4"/>
      <c r="I276" s="4"/>
    </row>
    <row r="277" spans="1:9" ht="15">
      <c r="A277" s="21">
        <f t="shared" si="4"/>
        <v>190</v>
      </c>
      <c r="B277" s="14" t="s">
        <v>422</v>
      </c>
      <c r="C277" s="85" t="str">
        <f ca="1">IFERROR(__xludf.DUMMYFUNCTION("GOOGLETRANSLATE(B277:B292,""RU"",""UK"")"),"Викрутка 260х10х1,6")</f>
        <v>Викрутка 260х10х1,6</v>
      </c>
      <c r="D277" s="15" t="s">
        <v>6</v>
      </c>
      <c r="E277" s="15">
        <v>185</v>
      </c>
      <c r="F277" s="91" t="s">
        <v>304</v>
      </c>
      <c r="G277" s="4"/>
      <c r="H277" s="4"/>
      <c r="I277" s="4"/>
    </row>
    <row r="278" spans="1:9" ht="15">
      <c r="A278" s="21">
        <f t="shared" si="4"/>
        <v>191</v>
      </c>
      <c r="B278" s="14" t="s">
        <v>423</v>
      </c>
      <c r="C278" s="85" t="str">
        <f ca="1">IFERROR(__xludf.DUMMYFUNCTION("GOOGLETRANSLATE(B278:B293,""RU"",""UK"")"),"Викрутка 300х12х1, 6")</f>
        <v>Викрутка 300х12х1, 6</v>
      </c>
      <c r="D278" s="15" t="s">
        <v>6</v>
      </c>
      <c r="E278" s="15">
        <v>4</v>
      </c>
      <c r="F278" s="91" t="s">
        <v>255</v>
      </c>
      <c r="G278" s="4"/>
      <c r="H278" s="4"/>
      <c r="I278" s="4"/>
    </row>
    <row r="279" spans="1:9" ht="15">
      <c r="A279" s="21">
        <f t="shared" si="4"/>
        <v>192</v>
      </c>
      <c r="B279" s="14" t="s">
        <v>424</v>
      </c>
      <c r="C279" s="85" t="str">
        <f ca="1">IFERROR(__xludf.DUMMYFUNCTION("GOOGLETRANSLATE(B279:B294,""RU"",""UK"")"),"Викрутка 350х8")</f>
        <v>Викрутка 350х8</v>
      </c>
      <c r="D279" s="15" t="s">
        <v>6</v>
      </c>
      <c r="E279" s="15">
        <v>75</v>
      </c>
      <c r="F279" s="91" t="s">
        <v>209</v>
      </c>
      <c r="G279" s="4"/>
      <c r="H279" s="4"/>
      <c r="I279" s="4"/>
    </row>
    <row r="280" spans="1:9" ht="15">
      <c r="A280" s="21">
        <f t="shared" si="4"/>
        <v>193</v>
      </c>
      <c r="B280" s="19" t="s">
        <v>425</v>
      </c>
      <c r="C280" s="85" t="str">
        <f ca="1">IFERROR(__xludf.DUMMYFUNCTION("GOOGLETRANSLATE(B280:B295,""RU"",""UK"")"),"Викрутка Turn, ""-"" Cr-V, SL5,5х125 мм Berg")</f>
        <v>Викрутка Turn, "-" Cr-V, SL5,5х125 мм Berg</v>
      </c>
      <c r="D280" s="15" t="s">
        <v>6</v>
      </c>
      <c r="E280" s="15">
        <v>0</v>
      </c>
      <c r="F280" s="91">
        <v>0</v>
      </c>
      <c r="G280" s="4"/>
      <c r="H280" s="4"/>
      <c r="I280" s="4"/>
    </row>
    <row r="281" spans="1:9" ht="15">
      <c r="A281" s="21">
        <f t="shared" si="4"/>
        <v>194</v>
      </c>
      <c r="B281" s="19" t="s">
        <v>426</v>
      </c>
      <c r="C281" s="85" t="str">
        <f ca="1">IFERROR(__xludf.DUMMYFUNCTION("GOOGLETRANSLATE(B281:B296,""RU"",""UK"")"),"Викрутка Turn, ""-"" Cr-V, SL6,5х150 мм Berg")</f>
        <v>Викрутка Turn, "-" Cr-V, SL6,5х150 мм Berg</v>
      </c>
      <c r="D281" s="15" t="s">
        <v>6</v>
      </c>
      <c r="E281" s="15">
        <v>0</v>
      </c>
      <c r="F281" s="91">
        <v>0</v>
      </c>
      <c r="G281" s="4"/>
      <c r="H281" s="4"/>
      <c r="I281" s="4"/>
    </row>
    <row r="282" spans="1:9" ht="15">
      <c r="A282" s="21">
        <f t="shared" ref="A282:A345" si="5">A281+1</f>
        <v>195</v>
      </c>
      <c r="B282" s="16" t="s">
        <v>427</v>
      </c>
      <c r="C282" s="85" t="str">
        <f ca="1">IFERROR(__xludf.DUMMYFUNCTION("GOOGLETRANSLATE(B282:B297,""RU"",""UK"")"),"Викрутка Turn, ""+"" Cr-V, РН № 1х100 мм Berg")</f>
        <v>Викрутка Turn, "+" Cr-V, РН № 1х100 мм Berg</v>
      </c>
      <c r="D282" s="15" t="s">
        <v>6</v>
      </c>
      <c r="E282" s="15">
        <v>1</v>
      </c>
      <c r="F282" s="91" t="s">
        <v>428</v>
      </c>
      <c r="G282" s="4"/>
      <c r="H282" s="4"/>
      <c r="I282" s="4"/>
    </row>
    <row r="283" spans="1:9" ht="15">
      <c r="A283" s="21">
        <f t="shared" si="5"/>
        <v>196</v>
      </c>
      <c r="B283" s="19" t="s">
        <v>429</v>
      </c>
      <c r="C283" s="85" t="str">
        <f ca="1">IFERROR(__xludf.DUMMYFUNCTION("GOOGLETRANSLATE(B283:B298,""RU"",""UK"")"),"Викрутка Turn, ""+"" Cr-V, РН №3х150 мм Berg")</f>
        <v>Викрутка Turn, "+" Cr-V, РН №3х150 мм Berg</v>
      </c>
      <c r="D283" s="15" t="s">
        <v>6</v>
      </c>
      <c r="E283" s="15">
        <v>0</v>
      </c>
      <c r="F283" s="91">
        <v>0</v>
      </c>
      <c r="G283" s="4"/>
      <c r="H283" s="4"/>
      <c r="I283" s="4"/>
    </row>
    <row r="284" spans="1:9" ht="15">
      <c r="A284" s="21">
        <f t="shared" si="5"/>
        <v>197</v>
      </c>
      <c r="B284" s="19" t="s">
        <v>430</v>
      </c>
      <c r="C284" s="85" t="str">
        <f ca="1">IFERROR(__xludf.DUMMYFUNCTION("GOOGLETRANSLATE(B284:B299,""RU"",""UK"")"),"Викрутка ударна + насадок, мет. футляр Cr-V")</f>
        <v>Викрутка ударна + насадок, мет. футляр Cr-V</v>
      </c>
      <c r="D284" s="15" t="s">
        <v>6</v>
      </c>
      <c r="E284" s="15">
        <v>0</v>
      </c>
      <c r="F284" s="91" t="s">
        <v>431</v>
      </c>
      <c r="G284" s="4"/>
      <c r="H284" s="4"/>
      <c r="I284" s="4"/>
    </row>
    <row r="285" spans="1:9" ht="15">
      <c r="A285" s="21">
        <f t="shared" si="5"/>
        <v>198</v>
      </c>
      <c r="B285" s="14" t="s">
        <v>432</v>
      </c>
      <c r="C285" s="85" t="str">
        <f ca="1">IFERROR(__xludf.DUMMYFUNCTION("GOOGLETRANSLATE(B285:B300,""RU"",""UK"")"),"Викрутка хрестова 160 №1")</f>
        <v>Викрутка хрестова 160 №1</v>
      </c>
      <c r="D285" s="15" t="s">
        <v>6</v>
      </c>
      <c r="E285" s="15">
        <v>703</v>
      </c>
      <c r="F285" s="91" t="s">
        <v>167</v>
      </c>
      <c r="G285" s="4"/>
      <c r="H285" s="4"/>
      <c r="I285" s="4"/>
    </row>
    <row r="286" spans="1:9" ht="15">
      <c r="A286" s="21">
        <f t="shared" si="5"/>
        <v>199</v>
      </c>
      <c r="B286" s="14" t="s">
        <v>433</v>
      </c>
      <c r="C286" s="85" t="str">
        <f ca="1">IFERROR(__xludf.DUMMYFUNCTION("GOOGLETRANSLATE(B286:B301,""RU"",""UK"")"),"Викрутка хрестова 200 №2")</f>
        <v>Викрутка хрестова 200 №2</v>
      </c>
      <c r="D286" s="15" t="s">
        <v>6</v>
      </c>
      <c r="E286" s="15">
        <v>69</v>
      </c>
      <c r="F286" s="91" t="s">
        <v>169</v>
      </c>
      <c r="G286" s="4"/>
      <c r="H286" s="4"/>
      <c r="I286" s="4"/>
    </row>
    <row r="287" spans="1:9" ht="15">
      <c r="A287" s="21">
        <f t="shared" si="5"/>
        <v>200</v>
      </c>
      <c r="B287" s="14" t="s">
        <v>434</v>
      </c>
      <c r="C287" s="85" t="str">
        <f ca="1">IFERROR(__xludf.DUMMYFUNCTION("GOOGLETRANSLATE(B287:B302,""RU"",""UK"")"),"Викрутка хрестова 250 №3")</f>
        <v>Викрутка хрестова 250 №3</v>
      </c>
      <c r="D287" s="15" t="s">
        <v>6</v>
      </c>
      <c r="E287" s="15">
        <v>200</v>
      </c>
      <c r="F287" s="91" t="s">
        <v>304</v>
      </c>
      <c r="G287" s="4"/>
      <c r="H287" s="4"/>
      <c r="I287" s="4"/>
    </row>
    <row r="288" spans="1:9" ht="15">
      <c r="A288" s="21">
        <f t="shared" si="5"/>
        <v>201</v>
      </c>
      <c r="B288" s="19" t="s">
        <v>435</v>
      </c>
      <c r="C288" s="85" t="str">
        <f ca="1">IFERROR(__xludf.DUMMYFUNCTION("GOOGLETRANSLATE(B288:B303,""RU"",""UK"")"),"НАБІР ВИКРУТОК Cr-V, 5шт Berg")</f>
        <v>НАБІР ВИКРУТОК Cr-V, 5шт Berg</v>
      </c>
      <c r="D288" s="15" t="s">
        <v>6</v>
      </c>
      <c r="E288" s="15">
        <v>0</v>
      </c>
      <c r="F288" s="91" t="s">
        <v>431</v>
      </c>
      <c r="G288" s="4"/>
      <c r="H288" s="4"/>
      <c r="I288" s="4"/>
    </row>
    <row r="289" spans="1:9" ht="15">
      <c r="A289" s="21">
        <f t="shared" si="5"/>
        <v>202</v>
      </c>
      <c r="B289" s="19" t="s">
        <v>436</v>
      </c>
      <c r="C289" s="85" t="str">
        <f ca="1">IFERROR(__xludf.DUMMYFUNCTION("GOOGLETRANSLATE(B289:B304,""RU"",""UK"")"),"Набір викруток Cr-V, 5шт")</f>
        <v>Набір викруток Cr-V, 5шт</v>
      </c>
      <c r="D289" s="17" t="s">
        <v>6</v>
      </c>
      <c r="E289" s="17">
        <v>0</v>
      </c>
      <c r="F289" s="92" t="s">
        <v>224</v>
      </c>
      <c r="G289" s="4"/>
      <c r="H289" s="4"/>
      <c r="I289" s="4"/>
    </row>
    <row r="290" spans="1:9" ht="15">
      <c r="A290" s="21">
        <f t="shared" si="5"/>
        <v>203</v>
      </c>
      <c r="B290" s="14" t="s">
        <v>437</v>
      </c>
      <c r="C290" s="85" t="str">
        <f ca="1">IFERROR(__xludf.DUMMYFUNCTION("GOOGLETRANSLATE(B290:B305,""RU"",""UK"")"),"Насадка (Біта) S=10мм магнітна / S=12мм магнітна")</f>
        <v>Насадка (Біта) S=10мм магнітна / S=12мм магнітна</v>
      </c>
      <c r="D290" s="15" t="s">
        <v>6</v>
      </c>
      <c r="E290" s="15" t="s">
        <v>438</v>
      </c>
      <c r="F290" s="91" t="s">
        <v>290</v>
      </c>
      <c r="G290" s="4"/>
      <c r="H290" s="4"/>
      <c r="I290" s="4"/>
    </row>
    <row r="291" spans="1:9" ht="15">
      <c r="A291" s="21">
        <f t="shared" si="5"/>
        <v>204</v>
      </c>
      <c r="B291" s="14" t="s">
        <v>439</v>
      </c>
      <c r="C291" s="85" t="str">
        <f ca="1">IFERROR(__xludf.DUMMYFUNCTION("GOOGLETRANSLATE(B291:B306,""RU"",""UK"")"),"Напильник ромбічний 150мм")</f>
        <v>Напильник ромбічний 150мм</v>
      </c>
      <c r="D291" s="15" t="s">
        <v>6</v>
      </c>
      <c r="E291" s="15">
        <v>257</v>
      </c>
      <c r="F291" s="91" t="s">
        <v>371</v>
      </c>
      <c r="G291" s="4"/>
      <c r="H291" s="4"/>
      <c r="I291" s="4"/>
    </row>
    <row r="292" spans="1:9" ht="15">
      <c r="A292" s="21">
        <f t="shared" si="5"/>
        <v>205</v>
      </c>
      <c r="B292" s="14" t="s">
        <v>440</v>
      </c>
      <c r="C292" s="85" t="str">
        <f ca="1">IFERROR(__xludf.DUMMYFUNCTION("GOOGLETRANSLATE(B292:B307,""RU"",""UK"")"),"Напилок тригранний 150мм")</f>
        <v>Напилок тригранний 150мм</v>
      </c>
      <c r="D292" s="15" t="s">
        <v>6</v>
      </c>
      <c r="E292" s="15">
        <v>310</v>
      </c>
      <c r="F292" s="91" t="s">
        <v>371</v>
      </c>
      <c r="G292" s="4"/>
      <c r="H292" s="4"/>
      <c r="I292" s="4"/>
    </row>
    <row r="293" spans="1:9" ht="15">
      <c r="A293" s="21">
        <f t="shared" si="5"/>
        <v>206</v>
      </c>
      <c r="B293" s="14" t="s">
        <v>441</v>
      </c>
      <c r="C293" s="85" t="str">
        <f ca="1">IFERROR(__xludf.DUMMYFUNCTION("GOOGLETRANSLATE(B293:B308,""RU"",""UK"")"),"Напилок тригранний 200мм")</f>
        <v>Напилок тригранний 200мм</v>
      </c>
      <c r="D293" s="15" t="s">
        <v>6</v>
      </c>
      <c r="E293" s="15">
        <v>99</v>
      </c>
      <c r="F293" s="91" t="s">
        <v>348</v>
      </c>
      <c r="G293" s="4"/>
      <c r="H293" s="4"/>
      <c r="I293" s="4"/>
    </row>
    <row r="294" spans="1:9" ht="15">
      <c r="A294" s="21">
        <f t="shared" si="5"/>
        <v>207</v>
      </c>
      <c r="B294" s="14" t="s">
        <v>442</v>
      </c>
      <c r="C294" s="85" t="str">
        <f ca="1">IFERROR(__xludf.DUMMYFUNCTION("GOOGLETRANSLATE(B294:B309,""RU"",""UK"")"),"Напилок тригранний 250мм")</f>
        <v>Напилок тригранний 250мм</v>
      </c>
      <c r="D294" s="15" t="s">
        <v>6</v>
      </c>
      <c r="E294" s="15">
        <v>361</v>
      </c>
      <c r="F294" s="91" t="s">
        <v>218</v>
      </c>
      <c r="G294" s="4"/>
      <c r="H294" s="4"/>
      <c r="I294" s="4"/>
    </row>
    <row r="295" spans="1:9" ht="15">
      <c r="A295" s="21">
        <f t="shared" si="5"/>
        <v>208</v>
      </c>
      <c r="B295" s="14" t="s">
        <v>443</v>
      </c>
      <c r="C295" s="85" t="str">
        <f ca="1">IFERROR(__xludf.DUMMYFUNCTION("GOOGLETRANSLATE(B295:B310,""RU"",""UK"")"),"Напилок тригранний 300мм")</f>
        <v>Напилок тригранний 300мм</v>
      </c>
      <c r="D295" s="15" t="s">
        <v>6</v>
      </c>
      <c r="E295" s="15">
        <v>403</v>
      </c>
      <c r="F295" s="91" t="s">
        <v>263</v>
      </c>
      <c r="G295" s="4"/>
      <c r="H295" s="4"/>
      <c r="I295" s="4"/>
    </row>
    <row r="296" spans="1:9" ht="15">
      <c r="A296" s="21">
        <f t="shared" si="5"/>
        <v>209</v>
      </c>
      <c r="B296" s="14" t="s">
        <v>444</v>
      </c>
      <c r="C296" s="85" t="str">
        <f ca="1">IFERROR(__xludf.DUMMYFUNCTION("GOOGLETRANSLATE(B296:B311,""RU"",""UK"")"),"Напилок тригранний 400мм")</f>
        <v>Напилок тригранний 400мм</v>
      </c>
      <c r="D296" s="15" t="s">
        <v>6</v>
      </c>
      <c r="E296" s="15">
        <v>16</v>
      </c>
      <c r="F296" s="91" t="s">
        <v>445</v>
      </c>
      <c r="G296" s="4"/>
      <c r="H296" s="4"/>
      <c r="I296" s="4"/>
    </row>
    <row r="297" spans="1:9" ht="15">
      <c r="A297" s="21">
        <f t="shared" si="5"/>
        <v>210</v>
      </c>
      <c r="B297" s="14" t="s">
        <v>446</v>
      </c>
      <c r="C297" s="85" t="str">
        <f ca="1">IFERROR(__xludf.DUMMYFUNCTION("GOOGLETRANSLATE(B297:B312,""RU"",""UK"")"),"Напильник напівкруглий 150мм")</f>
        <v>Напильник напівкруглий 150мм</v>
      </c>
      <c r="D297" s="15" t="s">
        <v>6</v>
      </c>
      <c r="E297" s="15">
        <v>21</v>
      </c>
      <c r="F297" s="91" t="s">
        <v>212</v>
      </c>
      <c r="G297" s="4"/>
      <c r="H297" s="4"/>
      <c r="I297" s="4"/>
    </row>
    <row r="298" spans="1:9" ht="15">
      <c r="A298" s="21">
        <f t="shared" si="5"/>
        <v>211</v>
      </c>
      <c r="B298" s="14" t="s">
        <v>447</v>
      </c>
      <c r="C298" s="85" t="str">
        <f ca="1">IFERROR(__xludf.DUMMYFUNCTION("GOOGLETRANSLATE(B298:B313,""RU"",""UK"")"),"Напильник напівкруглий 200мм")</f>
        <v>Напильник напівкруглий 200мм</v>
      </c>
      <c r="D298" s="15" t="s">
        <v>6</v>
      </c>
      <c r="E298" s="15">
        <v>13</v>
      </c>
      <c r="F298" s="91" t="s">
        <v>348</v>
      </c>
      <c r="G298" s="4"/>
      <c r="H298" s="4"/>
      <c r="I298" s="4"/>
    </row>
    <row r="299" spans="1:9" ht="15">
      <c r="A299" s="21">
        <f t="shared" si="5"/>
        <v>212</v>
      </c>
      <c r="B299" s="14" t="s">
        <v>448</v>
      </c>
      <c r="C299" s="85" t="str">
        <f ca="1">IFERROR(__xludf.DUMMYFUNCTION("GOOGLETRANSLATE(B299:B314,""RU"",""UK"")"),"Напилок круглий 150мм")</f>
        <v>Напилок круглий 150мм</v>
      </c>
      <c r="D299" s="15" t="s">
        <v>6</v>
      </c>
      <c r="E299" s="15">
        <v>6</v>
      </c>
      <c r="F299" s="91" t="s">
        <v>371</v>
      </c>
      <c r="G299" s="4"/>
      <c r="H299" s="4"/>
      <c r="I299" s="4"/>
    </row>
    <row r="300" spans="1:9" ht="15">
      <c r="A300" s="21">
        <f t="shared" si="5"/>
        <v>213</v>
      </c>
      <c r="B300" s="14" t="s">
        <v>449</v>
      </c>
      <c r="C300" s="85" t="str">
        <f ca="1">IFERROR(__xludf.DUMMYFUNCTION("GOOGLETRANSLATE(B300:B315,""RU"",""UK"")"),"Напилок круглий 200мм")</f>
        <v>Напилок круглий 200мм</v>
      </c>
      <c r="D300" s="15" t="s">
        <v>6</v>
      </c>
      <c r="E300" s="15">
        <v>42</v>
      </c>
      <c r="F300" s="91" t="s">
        <v>348</v>
      </c>
      <c r="G300" s="4"/>
      <c r="H300" s="4"/>
      <c r="I300" s="4"/>
    </row>
    <row r="301" spans="1:9" ht="15">
      <c r="A301" s="21">
        <f t="shared" si="5"/>
        <v>214</v>
      </c>
      <c r="B301" s="14" t="s">
        <v>450</v>
      </c>
      <c r="C301" s="85" t="str">
        <f ca="1">IFERROR(__xludf.DUMMYFUNCTION("GOOGLETRANSLATE(B301:B316,""RU"",""UK"")"),"Напилок круглий 250мм")</f>
        <v>Напилок круглий 250мм</v>
      </c>
      <c r="D301" s="15" t="s">
        <v>6</v>
      </c>
      <c r="E301" s="15">
        <v>5</v>
      </c>
      <c r="F301" s="91" t="s">
        <v>218</v>
      </c>
      <c r="G301" s="4"/>
      <c r="H301" s="4"/>
      <c r="I301" s="4"/>
    </row>
    <row r="302" spans="1:9" ht="15">
      <c r="A302" s="21">
        <f t="shared" si="5"/>
        <v>215</v>
      </c>
      <c r="B302" s="14" t="s">
        <v>451</v>
      </c>
      <c r="C302" s="85" t="str">
        <f ca="1">IFERROR(__xludf.DUMMYFUNCTION("GOOGLETRANSLATE(B302:B317,""RU"",""UK"")"),"Напилок круглий 300мм №1 / №2")</f>
        <v>Напилок круглий 300мм №1 / №2</v>
      </c>
      <c r="D302" s="15" t="s">
        <v>6</v>
      </c>
      <c r="E302" s="15">
        <v>13</v>
      </c>
      <c r="F302" s="91" t="s">
        <v>353</v>
      </c>
      <c r="G302" s="4"/>
      <c r="H302" s="4"/>
      <c r="I302" s="4"/>
    </row>
    <row r="303" spans="1:9" ht="15">
      <c r="A303" s="21">
        <f t="shared" si="5"/>
        <v>216</v>
      </c>
      <c r="B303" s="14" t="s">
        <v>452</v>
      </c>
      <c r="C303" s="85" t="str">
        <f ca="1">IFERROR(__xludf.DUMMYFUNCTION("GOOGLETRANSLATE(B303:B318,""RU"",""UK"")"),"Напилок круглий 400мм")</f>
        <v>Напилок круглий 400мм</v>
      </c>
      <c r="D303" s="15" t="s">
        <v>6</v>
      </c>
      <c r="E303" s="15">
        <v>145</v>
      </c>
      <c r="F303" s="91" t="s">
        <v>445</v>
      </c>
      <c r="G303" s="4"/>
      <c r="H303" s="4"/>
      <c r="I303" s="4"/>
    </row>
    <row r="304" spans="1:9" ht="15">
      <c r="A304" s="21">
        <f t="shared" si="5"/>
        <v>217</v>
      </c>
      <c r="B304" s="14" t="s">
        <v>453</v>
      </c>
      <c r="C304" s="85" t="str">
        <f ca="1">IFERROR(__xludf.DUMMYFUNCTION("GOOGLETRANSLATE(B304:B319,""RU"",""UK"")"),"Напильник плоский 150мм")</f>
        <v>Напильник плоский 150мм</v>
      </c>
      <c r="D304" s="15" t="s">
        <v>6</v>
      </c>
      <c r="E304" s="15">
        <v>636</v>
      </c>
      <c r="F304" s="91" t="s">
        <v>371</v>
      </c>
      <c r="G304" s="4"/>
      <c r="H304" s="4"/>
      <c r="I304" s="4"/>
    </row>
    <row r="305" spans="1:9" ht="15">
      <c r="A305" s="21">
        <f t="shared" si="5"/>
        <v>218</v>
      </c>
      <c r="B305" s="14" t="s">
        <v>454</v>
      </c>
      <c r="C305" s="85" t="str">
        <f ca="1">IFERROR(__xludf.DUMMYFUNCTION("GOOGLETRANSLATE(B305:B320,""RU"",""UK"")"),"Напильник плоский 200мм №2 / №3")</f>
        <v>Напильник плоский 200мм №2 / №3</v>
      </c>
      <c r="D305" s="15" t="s">
        <v>6</v>
      </c>
      <c r="E305" s="15" t="s">
        <v>455</v>
      </c>
      <c r="F305" s="91" t="s">
        <v>348</v>
      </c>
      <c r="G305" s="4"/>
      <c r="H305" s="4"/>
      <c r="I305" s="4"/>
    </row>
    <row r="306" spans="1:9" ht="15">
      <c r="A306" s="21">
        <f t="shared" si="5"/>
        <v>219</v>
      </c>
      <c r="B306" s="16" t="s">
        <v>456</v>
      </c>
      <c r="C306" s="85" t="str">
        <f ca="1">IFERROR(__xludf.DUMMYFUNCTION("GOOGLETRANSLATE(B306:B321,""RU"",""UK"")"),"Напильник плоский 250мм №2 / №3")</f>
        <v>Напильник плоский 250мм №2 / №3</v>
      </c>
      <c r="D306" s="15" t="s">
        <v>6</v>
      </c>
      <c r="E306" s="15">
        <v>62</v>
      </c>
      <c r="F306" s="91" t="s">
        <v>218</v>
      </c>
      <c r="G306" s="4"/>
      <c r="H306" s="4"/>
      <c r="I306" s="4"/>
    </row>
    <row r="307" spans="1:9" ht="15">
      <c r="A307" s="21">
        <f t="shared" si="5"/>
        <v>220</v>
      </c>
      <c r="B307" s="16" t="s">
        <v>457</v>
      </c>
      <c r="C307" s="85" t="str">
        <f ca="1">IFERROR(__xludf.DUMMYFUNCTION("GOOGLETRANSLATE(B307:B322,""RU"",""UK"")"),"Напильник плоский 250мм №3 з ручкою")</f>
        <v>Напильник плоский 250мм №3 з ручкою</v>
      </c>
      <c r="D307" s="15" t="s">
        <v>6</v>
      </c>
      <c r="E307" s="15">
        <v>30</v>
      </c>
      <c r="F307" s="91" t="s">
        <v>263</v>
      </c>
      <c r="G307" s="4"/>
      <c r="H307" s="4"/>
      <c r="I307" s="4"/>
    </row>
    <row r="308" spans="1:9" ht="15">
      <c r="A308" s="21">
        <f t="shared" si="5"/>
        <v>221</v>
      </c>
      <c r="B308" s="16" t="s">
        <v>458</v>
      </c>
      <c r="C308" s="85" t="str">
        <f ca="1">IFERROR(__xludf.DUMMYFUNCTION("GOOGLETRANSLATE(B308:B323,""RU"",""UK"")"),"Напильник плоский 300мм №1 / №3")</f>
        <v>Напильник плоский 300мм №1 / №3</v>
      </c>
      <c r="D308" s="15" t="s">
        <v>6</v>
      </c>
      <c r="E308" s="15" t="s">
        <v>459</v>
      </c>
      <c r="F308" s="91" t="s">
        <v>353</v>
      </c>
      <c r="G308" s="4"/>
      <c r="H308" s="4"/>
      <c r="I308" s="4"/>
    </row>
    <row r="309" spans="1:9" ht="15">
      <c r="A309" s="21">
        <f t="shared" si="5"/>
        <v>222</v>
      </c>
      <c r="B309" s="16" t="s">
        <v>460</v>
      </c>
      <c r="C309" s="85" t="str">
        <f ca="1">IFERROR(__xludf.DUMMYFUNCTION("GOOGLETRANSLATE(B309:B324,""RU"",""UK"")"),"Напильник плоский 350мм №2")</f>
        <v>Напильник плоский 350мм №2</v>
      </c>
      <c r="D309" s="15" t="s">
        <v>6</v>
      </c>
      <c r="E309" s="15">
        <v>0</v>
      </c>
      <c r="F309" s="91" t="s">
        <v>461</v>
      </c>
      <c r="G309" s="4"/>
      <c r="H309" s="4"/>
      <c r="I309" s="4"/>
    </row>
    <row r="310" spans="1:9" ht="15">
      <c r="A310" s="21">
        <f t="shared" si="5"/>
        <v>223</v>
      </c>
      <c r="B310" s="14" t="s">
        <v>462</v>
      </c>
      <c r="C310" s="85" t="str">
        <f ca="1">IFERROR(__xludf.DUMMYFUNCTION("GOOGLETRANSLATE(B310:B325,""RU"",""UK"")"),"Напильник плоский 400мм №2 / №3")</f>
        <v>Напильник плоский 400мм №2 / №3</v>
      </c>
      <c r="D310" s="15" t="s">
        <v>6</v>
      </c>
      <c r="E310" s="15">
        <v>30</v>
      </c>
      <c r="F310" s="91" t="s">
        <v>445</v>
      </c>
      <c r="G310" s="4"/>
      <c r="H310" s="4"/>
      <c r="I310" s="4"/>
    </row>
    <row r="311" spans="1:9" ht="15">
      <c r="A311" s="21">
        <f t="shared" si="5"/>
        <v>224</v>
      </c>
      <c r="B311" s="14" t="s">
        <v>463</v>
      </c>
      <c r="C311" s="85" t="str">
        <f ca="1">IFERROR(__xludf.DUMMYFUNCTION("GOOGLETRANSLATE(B311:B326,""RU"",""UK"")"),"Напилок квадратний 150мм")</f>
        <v>Напилок квадратний 150мм</v>
      </c>
      <c r="D311" s="15" t="s">
        <v>6</v>
      </c>
      <c r="E311" s="15">
        <v>20</v>
      </c>
      <c r="F311" s="91" t="s">
        <v>371</v>
      </c>
      <c r="G311" s="4"/>
      <c r="H311" s="4"/>
      <c r="I311" s="4"/>
    </row>
    <row r="312" spans="1:9" ht="15">
      <c r="A312" s="21">
        <f t="shared" si="5"/>
        <v>225</v>
      </c>
      <c r="B312" s="14" t="s">
        <v>464</v>
      </c>
      <c r="C312" s="85" t="str">
        <f ca="1">IFERROR(__xludf.DUMMYFUNCTION("GOOGLETRANSLATE(B312:B327,""RU"",""UK"")"),"Напильник квадратний 200мм")</f>
        <v>Напильник квадратний 200мм</v>
      </c>
      <c r="D312" s="15" t="s">
        <v>6</v>
      </c>
      <c r="E312" s="15">
        <v>52</v>
      </c>
      <c r="F312" s="91" t="s">
        <v>348</v>
      </c>
      <c r="G312" s="4"/>
      <c r="H312" s="4"/>
      <c r="I312" s="4"/>
    </row>
    <row r="313" spans="1:9" ht="15">
      <c r="A313" s="21">
        <f t="shared" si="5"/>
        <v>226</v>
      </c>
      <c r="B313" s="14" t="s">
        <v>465</v>
      </c>
      <c r="C313" s="85" t="str">
        <f ca="1">IFERROR(__xludf.DUMMYFUNCTION("GOOGLETRANSLATE(B313:B328,""RU"",""UK"")"),"Напилок квадратний 250мм")</f>
        <v>Напилок квадратний 250мм</v>
      </c>
      <c r="D313" s="15" t="s">
        <v>6</v>
      </c>
      <c r="E313" s="15">
        <v>201</v>
      </c>
      <c r="F313" s="91" t="s">
        <v>218</v>
      </c>
      <c r="G313" s="4"/>
      <c r="H313" s="4"/>
      <c r="I313" s="4"/>
    </row>
    <row r="314" spans="1:9" ht="15">
      <c r="A314" s="21">
        <f t="shared" si="5"/>
        <v>227</v>
      </c>
      <c r="B314" s="14" t="s">
        <v>466</v>
      </c>
      <c r="C314" s="85" t="str">
        <f ca="1">IFERROR(__xludf.DUMMYFUNCTION("GOOGLETRANSLATE(B314:B329,""RU"",""UK"")"),"Напильник квадратний 300мм")</f>
        <v>Напильник квадратний 300мм</v>
      </c>
      <c r="D314" s="15" t="s">
        <v>6</v>
      </c>
      <c r="E314" s="15">
        <v>158</v>
      </c>
      <c r="F314" s="91" t="s">
        <v>263</v>
      </c>
      <c r="G314" s="4"/>
      <c r="H314" s="4"/>
      <c r="I314" s="4"/>
    </row>
    <row r="315" spans="1:9" ht="15">
      <c r="A315" s="21">
        <f t="shared" si="5"/>
        <v>228</v>
      </c>
      <c r="B315" s="14" t="s">
        <v>467</v>
      </c>
      <c r="C315" s="85" t="str">
        <f ca="1">IFERROR(__xludf.DUMMYFUNCTION("GOOGLETRANSLATE(B315:B330,""RU"",""UK"")"),"Напилок квадратний 350мм")</f>
        <v>Напилок квадратний 350мм</v>
      </c>
      <c r="D315" s="15" t="s">
        <v>6</v>
      </c>
      <c r="E315" s="15">
        <v>857</v>
      </c>
      <c r="F315" s="91" t="s">
        <v>119</v>
      </c>
      <c r="G315" s="4"/>
      <c r="H315" s="4"/>
      <c r="I315" s="4"/>
    </row>
    <row r="316" spans="1:9" ht="15">
      <c r="A316" s="21">
        <f t="shared" si="5"/>
        <v>229</v>
      </c>
      <c r="B316" s="14" t="s">
        <v>468</v>
      </c>
      <c r="C316" s="85" t="str">
        <f ca="1">IFERROR(__xludf.DUMMYFUNCTION("GOOGLETRANSLATE(B316:B331,""RU"",""UK"")"),"Напильник квадратний 400мм")</f>
        <v>Напильник квадратний 400мм</v>
      </c>
      <c r="D316" s="15" t="s">
        <v>6</v>
      </c>
      <c r="E316" s="15">
        <v>182</v>
      </c>
      <c r="F316" s="91" t="s">
        <v>445</v>
      </c>
      <c r="G316" s="4"/>
      <c r="H316" s="4"/>
      <c r="I316" s="4"/>
    </row>
    <row r="317" spans="1:9" ht="15">
      <c r="A317" s="21">
        <f t="shared" si="5"/>
        <v>230</v>
      </c>
      <c r="B317" s="14" t="s">
        <v>469</v>
      </c>
      <c r="C317" s="85" t="str">
        <f ca="1">IFERROR(__xludf.DUMMYFUNCTION("GOOGLETRANSLATE(B317:B332,""RU"",""UK"")"),"Надфіль плоский 150мм")</f>
        <v>Надфіль плоский 150мм</v>
      </c>
      <c r="D317" s="15" t="s">
        <v>6</v>
      </c>
      <c r="E317" s="15">
        <v>636</v>
      </c>
      <c r="F317" s="91" t="s">
        <v>290</v>
      </c>
      <c r="G317" s="4"/>
      <c r="H317" s="4"/>
      <c r="I317" s="4"/>
    </row>
    <row r="318" spans="1:9" ht="15">
      <c r="A318" s="21">
        <f t="shared" si="5"/>
        <v>231</v>
      </c>
      <c r="B318" s="14" t="s">
        <v>470</v>
      </c>
      <c r="C318" s="85" t="str">
        <f ca="1">IFERROR(__xludf.DUMMYFUNCTION("GOOGLETRANSLATE(B318:B333,""RU"",""UK"")"),"Надфіль плоский 120мм")</f>
        <v>Надфіль плоский 120мм</v>
      </c>
      <c r="D318" s="15" t="s">
        <v>6</v>
      </c>
      <c r="E318" s="15">
        <v>172</v>
      </c>
      <c r="F318" s="91" t="s">
        <v>417</v>
      </c>
      <c r="G318" s="4"/>
      <c r="H318" s="4"/>
      <c r="I318" s="4"/>
    </row>
    <row r="319" spans="1:9" ht="15">
      <c r="A319" s="21">
        <f t="shared" si="5"/>
        <v>232</v>
      </c>
      <c r="B319" s="19" t="s">
        <v>471</v>
      </c>
      <c r="C319" s="85" t="str">
        <f ca="1">IFERROR(__xludf.DUMMYFUNCTION("GOOGLETRANSLATE(B319:B334,""RU"",""UK"")"),"Надфіль тригранний 150мм")</f>
        <v>Надфіль тригранний 150мм</v>
      </c>
      <c r="D319" s="15" t="s">
        <v>6</v>
      </c>
      <c r="E319" s="15">
        <v>0</v>
      </c>
      <c r="F319" s="91" t="s">
        <v>290</v>
      </c>
      <c r="G319" s="4"/>
      <c r="H319" s="4"/>
      <c r="I319" s="4"/>
    </row>
    <row r="320" spans="1:9" ht="15">
      <c r="A320" s="21">
        <f t="shared" si="5"/>
        <v>233</v>
      </c>
      <c r="B320" s="14" t="s">
        <v>472</v>
      </c>
      <c r="C320" s="85" t="str">
        <f ca="1">IFERROR(__xludf.DUMMYFUNCTION("GOOGLETRANSLATE(B320:B335,""RU"",""UK"")"),"Надфіль круглий 150мм")</f>
        <v>Надфіль круглий 150мм</v>
      </c>
      <c r="D320" s="15" t="s">
        <v>6</v>
      </c>
      <c r="E320" s="15">
        <v>343</v>
      </c>
      <c r="F320" s="91" t="s">
        <v>290</v>
      </c>
      <c r="G320" s="4"/>
      <c r="H320" s="4"/>
      <c r="I320" s="4"/>
    </row>
    <row r="321" spans="1:9" ht="15">
      <c r="A321" s="21">
        <f t="shared" si="5"/>
        <v>234</v>
      </c>
      <c r="B321" s="14" t="s">
        <v>473</v>
      </c>
      <c r="C321" s="85" t="str">
        <f ca="1">IFERROR(__xludf.DUMMYFUNCTION("GOOGLETRANSLATE(B321:B336,""RU"",""UK"")"),"Надфіль круглий 120мм")</f>
        <v>Надфіль круглий 120мм</v>
      </c>
      <c r="D321" s="15" t="s">
        <v>6</v>
      </c>
      <c r="E321" s="15">
        <v>9</v>
      </c>
      <c r="F321" s="91" t="s">
        <v>417</v>
      </c>
      <c r="G321" s="4"/>
      <c r="H321" s="4"/>
      <c r="I321" s="4"/>
    </row>
    <row r="322" spans="1:9" ht="15">
      <c r="A322" s="21">
        <f t="shared" si="5"/>
        <v>235</v>
      </c>
      <c r="B322" s="14" t="s">
        <v>474</v>
      </c>
      <c r="C322" s="85" t="str">
        <f ca="1">IFERROR(__xludf.DUMMYFUNCTION("GOOGLETRANSLATE(B322:B337,""RU"",""UK"")"),"Надфіль овальний 150мм")</f>
        <v>Надфіль овальний 150мм</v>
      </c>
      <c r="D322" s="15" t="s">
        <v>6</v>
      </c>
      <c r="E322" s="15">
        <v>130</v>
      </c>
      <c r="F322" s="91" t="s">
        <v>290</v>
      </c>
      <c r="G322" s="4"/>
      <c r="H322" s="4"/>
      <c r="I322" s="4"/>
    </row>
    <row r="323" spans="1:9" ht="15">
      <c r="A323" s="21">
        <f t="shared" si="5"/>
        <v>236</v>
      </c>
      <c r="B323" s="14" t="s">
        <v>475</v>
      </c>
      <c r="C323" s="85" t="str">
        <f ca="1">IFERROR(__xludf.DUMMYFUNCTION("GOOGLETRANSLATE(B323:B338,""RU"",""UK"")"),"Надфіль овальний 120мм")</f>
        <v>Надфіль овальний 120мм</v>
      </c>
      <c r="D323" s="15" t="s">
        <v>6</v>
      </c>
      <c r="E323" s="15">
        <v>34</v>
      </c>
      <c r="F323" s="91" t="s">
        <v>417</v>
      </c>
      <c r="G323" s="4"/>
      <c r="H323" s="4"/>
      <c r="I323" s="4"/>
    </row>
    <row r="324" spans="1:9" ht="15">
      <c r="A324" s="21">
        <f t="shared" si="5"/>
        <v>237</v>
      </c>
      <c r="B324" s="14" t="s">
        <v>476</v>
      </c>
      <c r="C324" s="85" t="str">
        <f ca="1">IFERROR(__xludf.DUMMYFUNCTION("GOOGLETRANSLATE(B324:B339,""RU"",""UK"")"),"Надфіль квадратний 150мм")</f>
        <v>Надфіль квадратний 150мм</v>
      </c>
      <c r="D324" s="15" t="s">
        <v>6</v>
      </c>
      <c r="E324" s="15">
        <v>92</v>
      </c>
      <c r="F324" s="91" t="s">
        <v>290</v>
      </c>
      <c r="G324" s="4"/>
      <c r="H324" s="4"/>
      <c r="I324" s="4"/>
    </row>
    <row r="325" spans="1:9" ht="15">
      <c r="A325" s="21">
        <f t="shared" si="5"/>
        <v>238</v>
      </c>
      <c r="B325" s="14" t="s">
        <v>477</v>
      </c>
      <c r="C325" s="85" t="str">
        <f ca="1">IFERROR(__xludf.DUMMYFUNCTION("GOOGLETRANSLATE(B325:B340,""RU"",""UK"")"),"Надфіль квадратний 120мм")</f>
        <v>Надфіль квадратний 120мм</v>
      </c>
      <c r="D325" s="15" t="s">
        <v>6</v>
      </c>
      <c r="E325" s="15">
        <v>63</v>
      </c>
      <c r="F325" s="91" t="s">
        <v>417</v>
      </c>
      <c r="G325" s="4"/>
      <c r="H325" s="4"/>
      <c r="I325" s="4"/>
    </row>
    <row r="326" spans="1:9" ht="15">
      <c r="A326" s="21">
        <f t="shared" si="5"/>
        <v>239</v>
      </c>
      <c r="B326" s="14" t="s">
        <v>478</v>
      </c>
      <c r="C326" s="85" t="str">
        <f ca="1">IFERROR(__xludf.DUMMYFUNCTION("GOOGLETRANSLATE(B326:B341,""RU"",""UK"")"),"Надфіль напівкруглий 150мм")</f>
        <v>Надфіль напівкруглий 150мм</v>
      </c>
      <c r="D326" s="15" t="s">
        <v>6</v>
      </c>
      <c r="E326" s="15">
        <v>93</v>
      </c>
      <c r="F326" s="91" t="s">
        <v>290</v>
      </c>
      <c r="G326" s="4"/>
      <c r="H326" s="4"/>
      <c r="I326" s="4"/>
    </row>
    <row r="327" spans="1:9" ht="15">
      <c r="A327" s="21">
        <f t="shared" si="5"/>
        <v>240</v>
      </c>
      <c r="B327" s="14" t="s">
        <v>479</v>
      </c>
      <c r="C327" s="85" t="str">
        <f ca="1">IFERROR(__xludf.DUMMYFUNCTION("GOOGLETRANSLATE(B327:B342,""RU"",""UK"")"),"Ручка для напилка 135мм")</f>
        <v>Ручка для напилка 135мм</v>
      </c>
      <c r="D327" s="15" t="s">
        <v>6</v>
      </c>
      <c r="E327" s="15">
        <v>148</v>
      </c>
      <c r="F327" s="91" t="s">
        <v>417</v>
      </c>
      <c r="G327" s="4"/>
      <c r="H327" s="4"/>
      <c r="I327" s="4"/>
    </row>
    <row r="328" spans="1:9" ht="15">
      <c r="A328" s="21">
        <f t="shared" si="5"/>
        <v>241</v>
      </c>
      <c r="B328" s="16" t="s">
        <v>480</v>
      </c>
      <c r="C328" s="85" t="str">
        <f ca="1">IFERROR(__xludf.DUMMYFUNCTION("GOOGLETRANSLATE(B328:B343,""RU"",""UK"")"),"Набір для розвальцювання трубок 6-16мм")</f>
        <v>Набір для розвальцювання трубок 6-16мм</v>
      </c>
      <c r="D328" s="15" t="s">
        <v>378</v>
      </c>
      <c r="E328" s="15">
        <v>1</v>
      </c>
      <c r="F328" s="91" t="s">
        <v>53</v>
      </c>
      <c r="G328" s="4"/>
      <c r="H328" s="4"/>
      <c r="I328" s="4"/>
    </row>
    <row r="329" spans="1:9" ht="15">
      <c r="A329" s="21">
        <f t="shared" si="5"/>
        <v>242</v>
      </c>
      <c r="B329" s="19" t="s">
        <v>481</v>
      </c>
      <c r="C329" s="85" t="str">
        <f ca="1">IFERROR(__xludf.DUMMYFUNCTION("GOOGLETRANSLATE(B329:B344,""RU"",""UK"")"),"Набір пробійників 2-22мм(15шт)")</f>
        <v>Набір пробійників 2-22мм(15шт)</v>
      </c>
      <c r="D329" s="15" t="s">
        <v>378</v>
      </c>
      <c r="E329" s="15">
        <v>0</v>
      </c>
      <c r="F329" s="91" t="s">
        <v>482</v>
      </c>
      <c r="G329" s="4"/>
      <c r="H329" s="4"/>
      <c r="I329" s="4"/>
    </row>
    <row r="330" spans="1:9" ht="15">
      <c r="A330" s="21">
        <f t="shared" si="5"/>
        <v>243</v>
      </c>
      <c r="B330" s="14" t="s">
        <v>483</v>
      </c>
      <c r="C330" s="85" t="str">
        <f ca="1">IFERROR(__xludf.DUMMYFUNCTION("GOOGLETRANSLATE(B330:B345,""RU"",""UK"")"),"Просікання 13мм")</f>
        <v>Просікання 13мм</v>
      </c>
      <c r="D330" s="15" t="s">
        <v>6</v>
      </c>
      <c r="E330" s="15">
        <v>2</v>
      </c>
      <c r="F330" s="91" t="s">
        <v>209</v>
      </c>
      <c r="G330" s="4"/>
      <c r="H330" s="4"/>
      <c r="I330" s="4"/>
    </row>
    <row r="331" spans="1:9" ht="15">
      <c r="A331" s="21">
        <f t="shared" si="5"/>
        <v>244</v>
      </c>
      <c r="B331" s="14" t="s">
        <v>484</v>
      </c>
      <c r="C331" s="85" t="str">
        <f ca="1">IFERROR(__xludf.DUMMYFUNCTION("GOOGLETRANSLATE(B331:B346,""RU"",""UK"")"),"Просікання 20мм")</f>
        <v>Просікання 20мм</v>
      </c>
      <c r="D331" s="15" t="s">
        <v>6</v>
      </c>
      <c r="E331" s="15">
        <v>1</v>
      </c>
      <c r="F331" s="91" t="s">
        <v>209</v>
      </c>
      <c r="G331" s="4"/>
      <c r="H331" s="4"/>
      <c r="I331" s="4"/>
    </row>
    <row r="332" spans="1:9" ht="15">
      <c r="A332" s="21">
        <f t="shared" si="5"/>
        <v>245</v>
      </c>
      <c r="B332" s="14" t="s">
        <v>485</v>
      </c>
      <c r="C332" s="85" t="str">
        <f ca="1">IFERROR(__xludf.DUMMYFUNCTION("GOOGLETRANSLATE(B332:B347,""RU"",""UK"")"),"Просікання 27мм")</f>
        <v>Просікання 27мм</v>
      </c>
      <c r="D332" s="15" t="s">
        <v>6</v>
      </c>
      <c r="E332" s="15">
        <v>1</v>
      </c>
      <c r="F332" s="91" t="s">
        <v>209</v>
      </c>
      <c r="G332" s="4"/>
      <c r="H332" s="4"/>
      <c r="I332" s="4"/>
    </row>
    <row r="333" spans="1:9" ht="15">
      <c r="A333" s="21">
        <f t="shared" si="5"/>
        <v>246</v>
      </c>
      <c r="B333" s="14" t="s">
        <v>486</v>
      </c>
      <c r="C333" s="85" t="str">
        <f ca="1">IFERROR(__xludf.DUMMYFUNCTION("GOOGLETRANSLATE(B333:B348,""RU"",""UK"")"),"Просікання 28мм")</f>
        <v>Просікання 28мм</v>
      </c>
      <c r="D333" s="15" t="s">
        <v>6</v>
      </c>
      <c r="E333" s="15">
        <v>1</v>
      </c>
      <c r="F333" s="91" t="s">
        <v>209</v>
      </c>
      <c r="G333" s="4"/>
      <c r="H333" s="4"/>
      <c r="I333" s="4"/>
    </row>
    <row r="334" spans="1:9" ht="15">
      <c r="A334" s="21">
        <f t="shared" si="5"/>
        <v>247</v>
      </c>
      <c r="B334" s="14" t="s">
        <v>487</v>
      </c>
      <c r="C334" s="85" t="str">
        <f ca="1">IFERROR(__xludf.DUMMYFUNCTION("GOOGLETRANSLATE(B334:B349,""RU"",""UK"")"),"Просікання 32мм")</f>
        <v>Просікання 32мм</v>
      </c>
      <c r="D334" s="15" t="s">
        <v>6</v>
      </c>
      <c r="E334" s="15">
        <v>1</v>
      </c>
      <c r="F334" s="91" t="s">
        <v>209</v>
      </c>
      <c r="G334" s="4"/>
      <c r="H334" s="4"/>
      <c r="I334" s="4"/>
    </row>
    <row r="335" spans="1:9" ht="15">
      <c r="A335" s="21">
        <f t="shared" si="5"/>
        <v>248</v>
      </c>
      <c r="B335" s="14" t="s">
        <v>488</v>
      </c>
      <c r="C335" s="85" t="str">
        <f ca="1">IFERROR(__xludf.DUMMYFUNCTION("GOOGLETRANSLATE(B335:B350,""RU"",""UK"")"),"Просікання 39мм")</f>
        <v>Просікання 39мм</v>
      </c>
      <c r="D335" s="15" t="s">
        <v>6</v>
      </c>
      <c r="E335" s="15">
        <v>2</v>
      </c>
      <c r="F335" s="91" t="s">
        <v>226</v>
      </c>
      <c r="G335" s="4"/>
      <c r="H335" s="4"/>
      <c r="I335" s="4"/>
    </row>
    <row r="336" spans="1:9" ht="15">
      <c r="A336" s="21">
        <f t="shared" si="5"/>
        <v>249</v>
      </c>
      <c r="B336" s="14" t="s">
        <v>489</v>
      </c>
      <c r="C336" s="85" t="str">
        <f ca="1">IFERROR(__xludf.DUMMYFUNCTION("GOOGLETRANSLATE(B336:B351,""RU"",""UK"")"),"Просікання 42мм")</f>
        <v>Просікання 42мм</v>
      </c>
      <c r="D336" s="15" t="s">
        <v>6</v>
      </c>
      <c r="E336" s="15">
        <v>4</v>
      </c>
      <c r="F336" s="91" t="s">
        <v>226</v>
      </c>
      <c r="G336" s="4"/>
      <c r="H336" s="4"/>
      <c r="I336" s="4"/>
    </row>
    <row r="337" spans="1:9" ht="15">
      <c r="A337" s="21">
        <f t="shared" si="5"/>
        <v>250</v>
      </c>
      <c r="B337" s="14" t="s">
        <v>490</v>
      </c>
      <c r="C337" s="85" t="str">
        <f ca="1">IFERROR(__xludf.DUMMYFUNCTION("GOOGLETRANSLATE(B337:B352,""RU"",""UK"")"),"Просікання 45мм")</f>
        <v>Просікання 45мм</v>
      </c>
      <c r="D337" s="15" t="s">
        <v>6</v>
      </c>
      <c r="E337" s="15">
        <v>2</v>
      </c>
      <c r="F337" s="91" t="s">
        <v>226</v>
      </c>
      <c r="G337" s="4"/>
      <c r="H337" s="4"/>
      <c r="I337" s="4"/>
    </row>
    <row r="338" spans="1:9" ht="15">
      <c r="A338" s="21">
        <f t="shared" si="5"/>
        <v>251</v>
      </c>
      <c r="B338" s="14" t="s">
        <v>491</v>
      </c>
      <c r="C338" s="85" t="str">
        <f ca="1">IFERROR(__xludf.DUMMYFUNCTION("GOOGLETRANSLATE(B338:B353,""RU"",""UK"")"),"Просікання 48мм")</f>
        <v>Просікання 48мм</v>
      </c>
      <c r="D338" s="15" t="s">
        <v>6</v>
      </c>
      <c r="E338" s="15">
        <v>1</v>
      </c>
      <c r="F338" s="91" t="s">
        <v>371</v>
      </c>
      <c r="G338" s="4"/>
      <c r="H338" s="4"/>
      <c r="I338" s="4"/>
    </row>
    <row r="339" spans="1:9" ht="15">
      <c r="A339" s="21">
        <f t="shared" si="5"/>
        <v>252</v>
      </c>
      <c r="B339" s="14" t="s">
        <v>492</v>
      </c>
      <c r="C339" s="85" t="str">
        <f ca="1">IFERROR(__xludf.DUMMYFUNCTION("GOOGLETRANSLATE(B339:B354,""RU"",""UK"")"),"Просікання 53мм")</f>
        <v>Просікання 53мм</v>
      </c>
      <c r="D339" s="15" t="s">
        <v>6</v>
      </c>
      <c r="E339" s="15">
        <v>2</v>
      </c>
      <c r="F339" s="91" t="s">
        <v>371</v>
      </c>
      <c r="G339" s="4"/>
      <c r="H339" s="4"/>
      <c r="I339" s="4"/>
    </row>
    <row r="340" spans="1:9" ht="15">
      <c r="A340" s="21">
        <f t="shared" si="5"/>
        <v>253</v>
      </c>
      <c r="B340" s="14" t="s">
        <v>493</v>
      </c>
      <c r="C340" s="85" t="str">
        <f ca="1">IFERROR(__xludf.DUMMYFUNCTION("GOOGLETRANSLATE(B340:B355,""RU"",""UK"")"),"Просікання 60мм")</f>
        <v>Просікання 60мм</v>
      </c>
      <c r="D340" s="15" t="s">
        <v>6</v>
      </c>
      <c r="E340" s="15">
        <v>1</v>
      </c>
      <c r="F340" s="91" t="s">
        <v>371</v>
      </c>
      <c r="G340" s="4"/>
      <c r="H340" s="4"/>
      <c r="I340" s="4"/>
    </row>
    <row r="341" spans="1:9" ht="15">
      <c r="A341" s="21">
        <f t="shared" si="5"/>
        <v>254</v>
      </c>
      <c r="B341" s="14" t="s">
        <v>494</v>
      </c>
      <c r="C341" s="85" t="str">
        <f ca="1">IFERROR(__xludf.DUMMYFUNCTION("GOOGLETRANSLATE(B341:B356,""RU"",""UK"")"),"Просікання 72мм")</f>
        <v>Просікання 72мм</v>
      </c>
      <c r="D341" s="15" t="s">
        <v>6</v>
      </c>
      <c r="E341" s="15">
        <v>2</v>
      </c>
      <c r="F341" s="91" t="s">
        <v>495</v>
      </c>
      <c r="G341" s="4"/>
      <c r="H341" s="4"/>
      <c r="I341" s="4"/>
    </row>
    <row r="342" spans="1:9" ht="15">
      <c r="A342" s="21">
        <f t="shared" si="5"/>
        <v>255</v>
      </c>
      <c r="B342" s="14" t="s">
        <v>496</v>
      </c>
      <c r="C342" s="85" t="str">
        <f ca="1">IFERROR(__xludf.DUMMYFUNCTION("GOOGLETRANSLATE(B342:B357,""RU"",""UK"")"),"Просікання 80мм")</f>
        <v>Просікання 80мм</v>
      </c>
      <c r="D342" s="15" t="s">
        <v>6</v>
      </c>
      <c r="E342" s="15">
        <v>4</v>
      </c>
      <c r="F342" s="91" t="s">
        <v>495</v>
      </c>
      <c r="G342" s="4"/>
      <c r="H342" s="4"/>
      <c r="I342" s="4"/>
    </row>
    <row r="343" spans="1:9" ht="15">
      <c r="A343" s="21">
        <f t="shared" si="5"/>
        <v>256</v>
      </c>
      <c r="B343" s="14" t="s">
        <v>497</v>
      </c>
      <c r="C343" s="85" t="str">
        <f ca="1">IFERROR(__xludf.DUMMYFUNCTION("GOOGLETRANSLATE(B343:B358,""RU"",""UK"")"),"Просікання 86мм")</f>
        <v>Просікання 86мм</v>
      </c>
      <c r="D343" s="15" t="s">
        <v>6</v>
      </c>
      <c r="E343" s="15">
        <v>1</v>
      </c>
      <c r="F343" s="91" t="s">
        <v>495</v>
      </c>
      <c r="G343" s="4"/>
      <c r="H343" s="4"/>
      <c r="I343" s="4"/>
    </row>
    <row r="344" spans="1:9" ht="15">
      <c r="A344" s="21">
        <f t="shared" si="5"/>
        <v>257</v>
      </c>
      <c r="B344" s="14" t="s">
        <v>498</v>
      </c>
      <c r="C344" s="85" t="str">
        <f ca="1">IFERROR(__xludf.DUMMYFUNCTION("GOOGLETRANSLATE(B344:B359,""RU"",""UK"")"),"Просікання 98мм")</f>
        <v>Просікання 98мм</v>
      </c>
      <c r="D344" s="15" t="s">
        <v>6</v>
      </c>
      <c r="E344" s="15">
        <v>1</v>
      </c>
      <c r="F344" s="91" t="s">
        <v>495</v>
      </c>
      <c r="G344" s="4"/>
      <c r="H344" s="4"/>
      <c r="I344" s="4"/>
    </row>
    <row r="345" spans="1:9" ht="15">
      <c r="A345" s="21">
        <f t="shared" si="5"/>
        <v>258</v>
      </c>
      <c r="B345" s="14" t="s">
        <v>499</v>
      </c>
      <c r="C345" s="85" t="str">
        <f ca="1">IFERROR(__xludf.DUMMYFUNCTION("GOOGLETRANSLATE(B345:B360,""RU"",""UK"")"),"Склоріз 3х роликовий")</f>
        <v>Склоріз 3х роликовий</v>
      </c>
      <c r="D345" s="15" t="s">
        <v>6</v>
      </c>
      <c r="E345" s="15">
        <v>16</v>
      </c>
      <c r="F345" s="91" t="s">
        <v>255</v>
      </c>
      <c r="G345" s="4"/>
      <c r="H345" s="4"/>
      <c r="I345" s="4"/>
    </row>
    <row r="346" spans="1:9" ht="15">
      <c r="A346" s="21">
        <f t="shared" ref="A346:A409" si="6">A345+1</f>
        <v>259</v>
      </c>
      <c r="B346" s="14" t="s">
        <v>500</v>
      </c>
      <c r="C346" s="85" t="str">
        <f ca="1">IFERROR(__xludf.DUMMYFUNCTION("GOOGLETRANSLATE(B346:B361,""RU"",""UK"")"),"ПАСАТІЖІ СЛІСАРНІ 160мм")</f>
        <v>ПАСАТІЖІ СЛІСАРНІ 160мм</v>
      </c>
      <c r="D346" s="15" t="s">
        <v>6</v>
      </c>
      <c r="E346" s="15">
        <v>5</v>
      </c>
      <c r="F346" s="91" t="s">
        <v>226</v>
      </c>
      <c r="G346" s="4"/>
      <c r="H346" s="4"/>
      <c r="I346" s="4"/>
    </row>
    <row r="347" spans="1:9" ht="15">
      <c r="A347" s="21">
        <f t="shared" si="6"/>
        <v>260</v>
      </c>
      <c r="B347" s="14" t="s">
        <v>501</v>
      </c>
      <c r="C347" s="85" t="str">
        <f ca="1">IFERROR(__xludf.DUMMYFUNCTION("GOOGLETRANSLATE(B347:B362,""RU"",""UK"")"),"ПАСАТІЖІ СЛІСАРНІ 180мм")</f>
        <v>ПАСАТІЖІ СЛІСАРНІ 180мм</v>
      </c>
      <c r="D347" s="15" t="s">
        <v>6</v>
      </c>
      <c r="E347" s="15">
        <v>11</v>
      </c>
      <c r="F347" s="91" t="s">
        <v>338</v>
      </c>
      <c r="G347" s="4"/>
      <c r="H347" s="4"/>
      <c r="I347" s="4"/>
    </row>
    <row r="348" spans="1:9" ht="15">
      <c r="A348" s="21">
        <f t="shared" si="6"/>
        <v>261</v>
      </c>
      <c r="B348" s="14" t="s">
        <v>502</v>
      </c>
      <c r="C348" s="85" t="str">
        <f ca="1">IFERROR(__xludf.DUMMYFUNCTION("GOOGLETRANSLATE(B348:B363,""RU"",""UK"")"),"Пасатіжі (плоскогубці) Cr-V, нікель, 160мм Berg")</f>
        <v>Пасатіжі (плоскогубці) Cr-V, нікель, 160мм Berg</v>
      </c>
      <c r="D348" s="15" t="s">
        <v>6</v>
      </c>
      <c r="E348" s="15">
        <v>5</v>
      </c>
      <c r="F348" s="91" t="s">
        <v>327</v>
      </c>
      <c r="G348" s="4"/>
      <c r="H348" s="4"/>
      <c r="I348" s="4"/>
    </row>
    <row r="349" spans="1:9" ht="15">
      <c r="A349" s="21">
        <f t="shared" si="6"/>
        <v>262</v>
      </c>
      <c r="B349" s="16" t="s">
        <v>503</v>
      </c>
      <c r="C349" s="85" t="str">
        <f ca="1">IFERROR(__xludf.DUMMYFUNCTION("GOOGLETRANSLATE(B349:B364,""RU"",""UK"")"),"Пасатіжі (плоскогубці) Cr-V, чорніння, 160мм Berg")</f>
        <v>Пасатіжі (плоскогубці) Cr-V, чорніння, 160мм Berg</v>
      </c>
      <c r="D349" s="15" t="s">
        <v>6</v>
      </c>
      <c r="E349" s="15">
        <v>1</v>
      </c>
      <c r="F349" s="91" t="s">
        <v>504</v>
      </c>
      <c r="G349" s="4"/>
      <c r="H349" s="4"/>
      <c r="I349" s="4"/>
    </row>
    <row r="350" spans="1:9" ht="15">
      <c r="A350" s="21">
        <f t="shared" si="6"/>
        <v>263</v>
      </c>
      <c r="B350" s="14" t="s">
        <v>505</v>
      </c>
      <c r="C350" s="85" t="str">
        <f ca="1">IFERROR(__xludf.DUMMYFUNCTION("GOOGLETRANSLATE(B350:B365,""RU"",""UK"")"),"Пасатіжі (плоскогубці) Cr-V, нікель, 180мм Berg")</f>
        <v>Пасатіжі (плоскогубці) Cr-V, нікель, 180мм Berg</v>
      </c>
      <c r="D350" s="15" t="s">
        <v>6</v>
      </c>
      <c r="E350" s="15">
        <v>4</v>
      </c>
      <c r="F350" s="91" t="s">
        <v>506</v>
      </c>
      <c r="G350" s="4"/>
      <c r="H350" s="4"/>
      <c r="I350" s="4"/>
    </row>
    <row r="351" spans="1:9" ht="15">
      <c r="A351" s="21">
        <f t="shared" si="6"/>
        <v>264</v>
      </c>
      <c r="B351" s="16" t="s">
        <v>507</v>
      </c>
      <c r="C351" s="85" t="str">
        <f ca="1">IFERROR(__xludf.DUMMYFUNCTION("GOOGLETRANSLATE(B351:B366,""RU"",""UK"")"),"Пасатіжі (плоскогубці) Cr-V, чорніння, 180мм Berg")</f>
        <v>Пасатіжі (плоскогубці) Cr-V, чорніння, 180мм Berg</v>
      </c>
      <c r="D351" s="15" t="s">
        <v>6</v>
      </c>
      <c r="E351" s="15">
        <v>0</v>
      </c>
      <c r="F351" s="91" t="s">
        <v>508</v>
      </c>
      <c r="G351" s="4"/>
      <c r="H351" s="4"/>
      <c r="I351" s="4"/>
    </row>
    <row r="352" spans="1:9" ht="15">
      <c r="A352" s="21">
        <f t="shared" si="6"/>
        <v>265</v>
      </c>
      <c r="B352" s="16" t="s">
        <v>509</v>
      </c>
      <c r="C352" s="85" t="str">
        <f ca="1">IFERROR(__xludf.DUMMYFUNCTION("GOOGLETRANSLATE(B352:B367,""RU"",""UK"")"),"Пасатіжі (плоскогубці) Cr-V, нікель, 200мм Berg")</f>
        <v>Пасатіжі (плоскогубці) Cr-V, нікель, 200мм Berg</v>
      </c>
      <c r="D352" s="15" t="s">
        <v>6</v>
      </c>
      <c r="E352" s="15">
        <v>3</v>
      </c>
      <c r="F352" s="91" t="s">
        <v>510</v>
      </c>
      <c r="G352" s="4"/>
      <c r="H352" s="4"/>
      <c r="I352" s="4"/>
    </row>
    <row r="353" spans="1:9" ht="15">
      <c r="A353" s="21">
        <f t="shared" si="6"/>
        <v>266</v>
      </c>
      <c r="B353" s="14" t="s">
        <v>511</v>
      </c>
      <c r="C353" s="85" t="str">
        <f ca="1">IFERROR(__xludf.DUMMYFUNCTION("GOOGLETRANSLATE(B353:B368,""RU"",""UK"")"),"Пасатіжі (плоскогубці) Cr-V, чорніння, 200мм Berg")</f>
        <v>Пасатіжі (плоскогубці) Cr-V, чорніння, 200мм Berg</v>
      </c>
      <c r="D353" s="15" t="s">
        <v>6</v>
      </c>
      <c r="E353" s="15">
        <v>4</v>
      </c>
      <c r="F353" s="91" t="s">
        <v>128</v>
      </c>
      <c r="G353" s="4"/>
      <c r="H353" s="4"/>
      <c r="I353" s="4"/>
    </row>
    <row r="354" spans="1:9" ht="15">
      <c r="A354" s="21">
        <f t="shared" si="6"/>
        <v>267</v>
      </c>
      <c r="B354" s="14" t="s">
        <v>512</v>
      </c>
      <c r="C354" s="85" t="str">
        <f ca="1">IFERROR(__xludf.DUMMYFUNCTION("GOOGLETRANSLATE(B354:B369,""RU"",""UK"")"),"Плоскогубці Cr-V, 120мм")</f>
        <v>Плоскогубці Cr-V, 120мм</v>
      </c>
      <c r="D354" s="15" t="s">
        <v>6</v>
      </c>
      <c r="E354" s="15">
        <v>1</v>
      </c>
      <c r="F354" s="91" t="s">
        <v>513</v>
      </c>
      <c r="G354" s="4"/>
      <c r="H354" s="4"/>
      <c r="I354" s="4"/>
    </row>
    <row r="355" spans="1:9" ht="15">
      <c r="A355" s="21">
        <f t="shared" si="6"/>
        <v>268</v>
      </c>
      <c r="B355" s="16" t="s">
        <v>514</v>
      </c>
      <c r="C355" s="85" t="str">
        <f ca="1">IFERROR(__xludf.DUMMYFUNCTION("GOOGLETRANSLATE(B355:B370,""RU"",""UK"")"),"Бокорізи Cr-V чорніння 160мм Berg")</f>
        <v>Бокорізи Cr-V чорніння 160мм Berg</v>
      </c>
      <c r="D355" s="15" t="s">
        <v>6</v>
      </c>
      <c r="E355" s="15">
        <v>1</v>
      </c>
      <c r="F355" s="91" t="s">
        <v>515</v>
      </c>
      <c r="G355" s="4"/>
      <c r="H355" s="4"/>
      <c r="I355" s="4"/>
    </row>
    <row r="356" spans="1:9" ht="15">
      <c r="A356" s="21">
        <f t="shared" si="6"/>
        <v>269</v>
      </c>
      <c r="B356" s="14" t="s">
        <v>516</v>
      </c>
      <c r="C356" s="85" t="str">
        <f ca="1">IFERROR(__xludf.DUMMYFUNCTION("GOOGLETRANSLATE(B356:B371,""RU"",""UK"")"),"Бокорізи Cr-V нікель 160мм Berg")</f>
        <v>Бокорізи Cr-V нікель 160мм Berg</v>
      </c>
      <c r="D356" s="15" t="s">
        <v>6</v>
      </c>
      <c r="E356" s="15">
        <v>5</v>
      </c>
      <c r="F356" s="91" t="s">
        <v>222</v>
      </c>
      <c r="G356" s="4"/>
      <c r="H356" s="4"/>
      <c r="I356" s="4"/>
    </row>
    <row r="357" spans="1:9" ht="15">
      <c r="A357" s="21">
        <f t="shared" si="6"/>
        <v>270</v>
      </c>
      <c r="B357" s="16" t="s">
        <v>517</v>
      </c>
      <c r="C357" s="85" t="str">
        <f ca="1">IFERROR(__xludf.DUMMYFUNCTION("GOOGLETRANSLATE(B357:B372,""RU"",""UK"")"),"Бокорізи Cr-V чорніння 180мм Berg")</f>
        <v>Бокорізи Cr-V чорніння 180мм Berg</v>
      </c>
      <c r="D357" s="15" t="s">
        <v>6</v>
      </c>
      <c r="E357" s="15">
        <v>1</v>
      </c>
      <c r="F357" s="91" t="s">
        <v>327</v>
      </c>
      <c r="G357" s="24"/>
      <c r="H357" s="4"/>
      <c r="I357" s="4"/>
    </row>
    <row r="358" spans="1:9" ht="15">
      <c r="A358" s="21">
        <f t="shared" si="6"/>
        <v>271</v>
      </c>
      <c r="B358" s="16" t="s">
        <v>518</v>
      </c>
      <c r="C358" s="85" t="str">
        <f ca="1">IFERROR(__xludf.DUMMYFUNCTION("GOOGLETRANSLATE(B358:B373,""RU"",""UK"")"),"Бокорізи Cr-V нікель 180мм Berg")</f>
        <v>Бокорізи Cr-V нікель 180мм Berg</v>
      </c>
      <c r="D358" s="15" t="s">
        <v>6</v>
      </c>
      <c r="E358" s="15">
        <v>2</v>
      </c>
      <c r="F358" s="91" t="s">
        <v>519</v>
      </c>
      <c r="G358" s="25"/>
      <c r="H358" s="4"/>
      <c r="I358" s="4"/>
    </row>
    <row r="359" spans="1:9" ht="15">
      <c r="A359" s="21">
        <f t="shared" si="6"/>
        <v>272</v>
      </c>
      <c r="B359" s="16" t="s">
        <v>520</v>
      </c>
      <c r="C359" s="85" t="str">
        <f ca="1">IFERROR(__xludf.DUMMYFUNCTION("GOOGLETRANSLATE(B359:B374,""RU"",""UK"")"),"Бокорізи Cr-V чорніння 200мм Berg")</f>
        <v>Бокорізи Cr-V чорніння 200мм Berg</v>
      </c>
      <c r="D359" s="15" t="s">
        <v>6</v>
      </c>
      <c r="E359" s="15">
        <v>2</v>
      </c>
      <c r="F359" s="91" t="s">
        <v>521</v>
      </c>
      <c r="G359" s="25"/>
      <c r="H359" s="4"/>
      <c r="I359" s="4"/>
    </row>
    <row r="360" spans="1:9" ht="15">
      <c r="A360" s="21">
        <f t="shared" si="6"/>
        <v>273</v>
      </c>
      <c r="B360" s="14" t="s">
        <v>522</v>
      </c>
      <c r="C360" s="85" t="str">
        <f ca="1">IFERROR(__xludf.DUMMYFUNCTION("GOOGLETRANSLATE(B360:B375,""RU"",""UK"")"),"Кусачки торцеві 160мм/200мм")</f>
        <v>Кусачки торцеві 160мм/200мм</v>
      </c>
      <c r="D360" s="15" t="s">
        <v>6</v>
      </c>
      <c r="E360" s="15">
        <v>20</v>
      </c>
      <c r="F360" s="91" t="s">
        <v>255</v>
      </c>
      <c r="G360" s="4"/>
      <c r="H360" s="4"/>
      <c r="I360" s="4"/>
    </row>
    <row r="361" spans="1:9" ht="15">
      <c r="A361" s="21">
        <f t="shared" si="6"/>
        <v>274</v>
      </c>
      <c r="B361" s="14" t="s">
        <v>523</v>
      </c>
      <c r="C361" s="85" t="str">
        <f ca="1">IFERROR(__xludf.DUMMYFUNCTION("GOOGLETRANSLATE(B361:B376,""RU"",""UK"")"),"Круглогубці 160мм")</f>
        <v>Круглогубці 160мм</v>
      </c>
      <c r="D361" s="15" t="s">
        <v>6</v>
      </c>
      <c r="E361" s="15">
        <v>67</v>
      </c>
      <c r="F361" s="91" t="s">
        <v>255</v>
      </c>
      <c r="G361" s="4"/>
      <c r="H361" s="4"/>
      <c r="I361" s="4"/>
    </row>
    <row r="362" spans="1:9" ht="15">
      <c r="A362" s="21">
        <f t="shared" si="6"/>
        <v>275</v>
      </c>
      <c r="B362" s="19" t="s">
        <v>524</v>
      </c>
      <c r="C362" s="85" t="str">
        <f ca="1">IFERROR(__xludf.DUMMYFUNCTION("GOOGLETRANSLATE(B362:B377,""RU"",""UK"")"),"Кліщі ""Сегера"" вигнуті (зовн. увігнуті) 200мм")</f>
        <v>Кліщі "Сегера" вигнуті (зовн. увігнуті) 200мм</v>
      </c>
      <c r="D362" s="15" t="s">
        <v>6</v>
      </c>
      <c r="E362" s="15">
        <v>0</v>
      </c>
      <c r="F362" s="91" t="s">
        <v>525</v>
      </c>
      <c r="G362" s="4"/>
      <c r="H362" s="4"/>
      <c r="I362" s="4"/>
    </row>
    <row r="363" spans="1:9" ht="15">
      <c r="A363" s="21">
        <f t="shared" si="6"/>
        <v>276</v>
      </c>
      <c r="B363" s="19" t="s">
        <v>526</v>
      </c>
      <c r="C363" s="85" t="str">
        <f ca="1">IFERROR(__xludf.DUMMYFUNCTION("GOOGLETRANSLATE(B363:B378,""RU"",""UK"")"),"Кліщі ""Сегера"" вигнуті (внутр. увігнуті) 200мм")</f>
        <v>Кліщі "Сегера" вигнуті (внутр. увігнуті) 200мм</v>
      </c>
      <c r="D363" s="15" t="s">
        <v>6</v>
      </c>
      <c r="E363" s="15">
        <v>0</v>
      </c>
      <c r="F363" s="91" t="s">
        <v>525</v>
      </c>
      <c r="G363" s="4"/>
      <c r="H363" s="4"/>
      <c r="I363" s="4"/>
    </row>
    <row r="364" spans="1:9" ht="15">
      <c r="A364" s="21">
        <f t="shared" si="6"/>
        <v>277</v>
      </c>
      <c r="B364" s="14" t="s">
        <v>527</v>
      </c>
      <c r="C364" s="85" t="str">
        <f ca="1">IFERROR(__xludf.DUMMYFUNCTION("GOOGLETRANSLATE(B364:B379,""RU"",""UK"")"),"Кліщі для зятя стопорних кілець, прямі 140мм")</f>
        <v>Кліщі для зятя стопорних кілець, прямі 140мм</v>
      </c>
      <c r="D364" s="15" t="s">
        <v>6</v>
      </c>
      <c r="E364" s="15">
        <v>3</v>
      </c>
      <c r="F364" s="91" t="s">
        <v>257</v>
      </c>
      <c r="G364" s="4"/>
      <c r="H364" s="4"/>
      <c r="I364" s="4"/>
    </row>
    <row r="365" spans="1:9" ht="15">
      <c r="A365" s="21">
        <f t="shared" si="6"/>
        <v>278</v>
      </c>
      <c r="B365" s="14" t="s">
        <v>528</v>
      </c>
      <c r="C365" s="85" t="str">
        <f ca="1">IFERROR(__xludf.DUMMYFUNCTION("GOOGLETRANSLATE(B365:B380,""RU"",""UK"")"),"Кусачки для зняття ізоляції")</f>
        <v>Кусачки для зняття ізоляції</v>
      </c>
      <c r="D365" s="15" t="s">
        <v>6</v>
      </c>
      <c r="E365" s="15">
        <v>11</v>
      </c>
      <c r="F365" s="91" t="s">
        <v>104</v>
      </c>
      <c r="G365" s="4"/>
      <c r="H365" s="4"/>
      <c r="I365" s="4"/>
    </row>
    <row r="366" spans="1:9" ht="15">
      <c r="A366" s="21">
        <f t="shared" si="6"/>
        <v>279</v>
      </c>
      <c r="B366" s="14" t="s">
        <v>529</v>
      </c>
      <c r="C366" s="85" t="str">
        <f ca="1">IFERROR(__xludf.DUMMYFUNCTION("GOOGLETRANSLATE(B366:B381,""RU"",""UK"")"),"Кліщі ковальські 700мм")</f>
        <v>Кліщі ковальські 700мм</v>
      </c>
      <c r="D366" s="15" t="s">
        <v>6</v>
      </c>
      <c r="E366" s="15">
        <v>1</v>
      </c>
      <c r="F366" s="91" t="s">
        <v>119</v>
      </c>
      <c r="G366" s="4"/>
      <c r="H366" s="4"/>
      <c r="I366" s="4"/>
    </row>
    <row r="367" spans="1:9" ht="15">
      <c r="A367" s="21">
        <f t="shared" si="6"/>
        <v>280</v>
      </c>
      <c r="B367" s="14" t="s">
        <v>530</v>
      </c>
      <c r="C367" s="85" t="str">
        <f ca="1">IFERROR(__xludf.DUMMYFUNCTION("GOOGLETRANSLATE(B367:B382,""RU"",""UK"")"),"Пінцет 120мм")</f>
        <v>Пінцет 120мм</v>
      </c>
      <c r="D367" s="15" t="s">
        <v>6</v>
      </c>
      <c r="E367" s="15">
        <v>2</v>
      </c>
      <c r="F367" s="91" t="s">
        <v>248</v>
      </c>
      <c r="G367" s="4"/>
      <c r="H367" s="4"/>
      <c r="I367" s="4"/>
    </row>
    <row r="368" spans="1:9" ht="15">
      <c r="A368" s="21">
        <f t="shared" si="6"/>
        <v>281</v>
      </c>
      <c r="B368" s="14" t="s">
        <v>531</v>
      </c>
      <c r="C368" s="85" t="str">
        <f ca="1">IFERROR(__xludf.DUMMYFUNCTION("GOOGLETRANSLATE(B368:B383,""RU"",""UK"")"),"Пінцет 160мм")</f>
        <v>Пінцет 160мм</v>
      </c>
      <c r="D368" s="15" t="s">
        <v>6</v>
      </c>
      <c r="E368" s="15">
        <v>8</v>
      </c>
      <c r="F368" s="91" t="s">
        <v>169</v>
      </c>
      <c r="G368" s="4"/>
      <c r="H368" s="4"/>
      <c r="I368" s="4"/>
    </row>
    <row r="369" spans="1:9" ht="15">
      <c r="A369" s="21">
        <f t="shared" si="6"/>
        <v>282</v>
      </c>
      <c r="B369" s="14" t="s">
        <v>532</v>
      </c>
      <c r="C369" s="85" t="str">
        <f ca="1">IFERROR(__xludf.DUMMYFUNCTION("GOOGLETRANSLATE(B369:B384,""RU"",""UK"")"),"Скальпель")</f>
        <v>Скальпель</v>
      </c>
      <c r="D369" s="15" t="s">
        <v>6</v>
      </c>
      <c r="E369" s="15">
        <v>30</v>
      </c>
      <c r="F369" s="91" t="s">
        <v>338</v>
      </c>
      <c r="G369" s="4"/>
      <c r="H369" s="4"/>
      <c r="I369" s="4"/>
    </row>
    <row r="370" spans="1:9" ht="15">
      <c r="A370" s="21">
        <f t="shared" si="6"/>
        <v>283</v>
      </c>
      <c r="B370" s="16" t="s">
        <v>533</v>
      </c>
      <c r="C370" s="85" t="str">
        <f ca="1">IFERROR(__xludf.DUMMYFUNCTION("GOOGLETRANSLATE(B370:B385,""RU"",""UK"")"),"Молоток без ручки 100гр.")</f>
        <v>Молоток без ручки 100гр.</v>
      </c>
      <c r="D370" s="15" t="s">
        <v>6</v>
      </c>
      <c r="E370" s="15">
        <v>1</v>
      </c>
      <c r="F370" s="91" t="s">
        <v>201</v>
      </c>
      <c r="G370" s="4"/>
      <c r="H370" s="4"/>
      <c r="I370" s="4"/>
    </row>
    <row r="371" spans="1:9" ht="15">
      <c r="A371" s="21">
        <f t="shared" si="6"/>
        <v>284</v>
      </c>
      <c r="B371" s="16" t="s">
        <v>534</v>
      </c>
      <c r="C371" s="85" t="str">
        <f ca="1">IFERROR(__xludf.DUMMYFUNCTION("GOOGLETRANSLATE(B371:B386,""RU"",""UK"")"),"Молоток із ручкою 200гр.")</f>
        <v>Молоток із ручкою 200гр.</v>
      </c>
      <c r="D371" s="15" t="s">
        <v>6</v>
      </c>
      <c r="E371" s="15">
        <v>9</v>
      </c>
      <c r="F371" s="91" t="s">
        <v>495</v>
      </c>
      <c r="G371" s="4"/>
      <c r="H371" s="4"/>
      <c r="I371" s="4"/>
    </row>
    <row r="372" spans="1:9" ht="15">
      <c r="A372" s="21">
        <f t="shared" si="6"/>
        <v>285</v>
      </c>
      <c r="B372" s="14" t="s">
        <v>535</v>
      </c>
      <c r="C372" s="85" t="str">
        <f ca="1">IFERROR(__xludf.DUMMYFUNCTION("GOOGLETRANSLATE(B372:B387,""RU"",""UK"")"),"Молоток із ручкою 400гр.")</f>
        <v>Молоток із ручкою 400гр.</v>
      </c>
      <c r="D372" s="15" t="s">
        <v>6</v>
      </c>
      <c r="E372" s="15">
        <v>1</v>
      </c>
      <c r="F372" s="91" t="s">
        <v>536</v>
      </c>
      <c r="G372" s="4"/>
      <c r="H372" s="4"/>
      <c r="I372" s="4"/>
    </row>
    <row r="373" spans="1:9" ht="15">
      <c r="A373" s="21">
        <f t="shared" si="6"/>
        <v>286</v>
      </c>
      <c r="B373" s="14" t="s">
        <v>537</v>
      </c>
      <c r="C373" s="85" t="str">
        <f ca="1">IFERROR(__xludf.DUMMYFUNCTION("GOOGLETRANSLATE(B373:B388,""RU"",""UK"")"),"Молоток із ручкою 500гр.")</f>
        <v>Молоток із ручкою 500гр.</v>
      </c>
      <c r="D373" s="15" t="s">
        <v>6</v>
      </c>
      <c r="E373" s="15">
        <v>2</v>
      </c>
      <c r="F373" s="91" t="s">
        <v>346</v>
      </c>
      <c r="G373" s="4"/>
      <c r="H373" s="4"/>
      <c r="I373" s="4"/>
    </row>
    <row r="374" spans="1:9" ht="15">
      <c r="A374" s="21">
        <f t="shared" si="6"/>
        <v>287</v>
      </c>
      <c r="B374" s="14" t="s">
        <v>538</v>
      </c>
      <c r="C374" s="85" t="str">
        <f ca="1">IFERROR(__xludf.DUMMYFUNCTION("GOOGLETRANSLATE(B374:B389,""RU"",""UK"")"),"Молоток із ручкою 800гр.")</f>
        <v>Молоток із ручкою 800гр.</v>
      </c>
      <c r="D374" s="15" t="s">
        <v>6</v>
      </c>
      <c r="E374" s="15">
        <v>2</v>
      </c>
      <c r="F374" s="91" t="s">
        <v>539</v>
      </c>
      <c r="G374" s="4"/>
      <c r="H374" s="4"/>
      <c r="I374" s="4"/>
    </row>
    <row r="375" spans="1:9" ht="15">
      <c r="A375" s="21">
        <f t="shared" si="6"/>
        <v>288</v>
      </c>
      <c r="B375" s="14" t="s">
        <v>540</v>
      </c>
      <c r="C375" s="85" t="str">
        <f ca="1">IFERROR(__xludf.DUMMYFUNCTION("GOOGLETRANSLATE(B375:B390,""RU"",""UK"")"),"Молоток рихтувальний з ручкою (гума/платок).")</f>
        <v>Молоток рихтувальний з ручкою (гума/платок).</v>
      </c>
      <c r="D375" s="15" t="s">
        <v>6</v>
      </c>
      <c r="E375" s="15">
        <v>5</v>
      </c>
      <c r="F375" s="91" t="s">
        <v>319</v>
      </c>
      <c r="G375" s="4"/>
      <c r="H375" s="4"/>
      <c r="I375" s="4"/>
    </row>
    <row r="376" spans="1:9" ht="15">
      <c r="A376" s="21">
        <f t="shared" si="6"/>
        <v>289</v>
      </c>
      <c r="B376" s="16" t="s">
        <v>541</v>
      </c>
      <c r="C376" s="85" t="str">
        <f ca="1">IFERROR(__xludf.DUMMYFUNCTION("GOOGLETRANSLATE(B376:B391,""RU"",""UK"")"),"Киянка дерев'яна")</f>
        <v>Киянка дерев'яна</v>
      </c>
      <c r="D376" s="15" t="s">
        <v>6</v>
      </c>
      <c r="E376" s="15">
        <v>3</v>
      </c>
      <c r="F376" s="91" t="s">
        <v>542</v>
      </c>
      <c r="G376" s="4"/>
      <c r="H376" s="4"/>
      <c r="I376" s="4"/>
    </row>
    <row r="377" spans="1:9" ht="15">
      <c r="A377" s="21">
        <f t="shared" si="6"/>
        <v>290</v>
      </c>
      <c r="B377" s="19" t="s">
        <v>543</v>
      </c>
      <c r="C377" s="85" t="str">
        <f ca="1">IFERROR(__xludf.DUMMYFUNCTION("GOOGLETRANSLATE(B377:B392,""RU"",""UK"")"),"Ручка для молотка 0,8 кг")</f>
        <v>Ручка для молотка 0,8 кг</v>
      </c>
      <c r="D377" s="15" t="s">
        <v>6</v>
      </c>
      <c r="E377" s="15">
        <v>0</v>
      </c>
      <c r="F377" s="91" t="s">
        <v>292</v>
      </c>
      <c r="G377" s="4"/>
      <c r="H377" s="4"/>
      <c r="I377" s="4"/>
    </row>
    <row r="378" spans="1:9" ht="15">
      <c r="A378" s="21">
        <f t="shared" si="6"/>
        <v>291</v>
      </c>
      <c r="B378" s="16" t="s">
        <v>544</v>
      </c>
      <c r="C378" s="85" t="str">
        <f ca="1">IFERROR(__xludf.DUMMYFUNCTION("GOOGLETRANSLATE(B378:B393,""RU"",""UK"")"),"Ручка для кувалди 2кг")</f>
        <v>Ручка для кувалди 2кг</v>
      </c>
      <c r="D378" s="15" t="s">
        <v>6</v>
      </c>
      <c r="E378" s="15">
        <v>7</v>
      </c>
      <c r="F378" s="91" t="s">
        <v>248</v>
      </c>
      <c r="G378" s="4"/>
      <c r="H378" s="4"/>
      <c r="I378" s="4"/>
    </row>
    <row r="379" spans="1:9" ht="15">
      <c r="A379" s="21">
        <f t="shared" si="6"/>
        <v>292</v>
      </c>
      <c r="B379" s="16" t="s">
        <v>545</v>
      </c>
      <c r="C379" s="85" t="str">
        <f ca="1">IFERROR(__xludf.DUMMYFUNCTION("GOOGLETRANSLATE(B379:B394,""RU"",""UK"")"),"Ручка для кувалди 4кг")</f>
        <v>Ручка для кувалди 4кг</v>
      </c>
      <c r="D379" s="15" t="s">
        <v>6</v>
      </c>
      <c r="E379" s="15">
        <v>2</v>
      </c>
      <c r="F379" s="91" t="s">
        <v>201</v>
      </c>
      <c r="G379" s="4"/>
      <c r="H379" s="4"/>
      <c r="I379" s="4"/>
    </row>
    <row r="380" spans="1:9" ht="15">
      <c r="A380" s="21">
        <f t="shared" si="6"/>
        <v>293</v>
      </c>
      <c r="B380" s="16" t="s">
        <v>546</v>
      </c>
      <c r="C380" s="85" t="str">
        <f ca="1">IFERROR(__xludf.DUMMYFUNCTION("GOOGLETRANSLATE(B380:B395,""RU"",""UK"")"),"Ручка для кувалди 6кг")</f>
        <v>Ручка для кувалди 6кг</v>
      </c>
      <c r="D380" s="15" t="s">
        <v>6</v>
      </c>
      <c r="E380" s="15">
        <v>4</v>
      </c>
      <c r="F380" s="91" t="s">
        <v>304</v>
      </c>
      <c r="G380" s="4"/>
      <c r="H380" s="4"/>
      <c r="I380" s="4"/>
    </row>
    <row r="381" spans="1:9" ht="15">
      <c r="A381" s="21">
        <f t="shared" si="6"/>
        <v>294</v>
      </c>
      <c r="B381" s="16" t="s">
        <v>547</v>
      </c>
      <c r="C381" s="85" t="str">
        <f ca="1">IFERROR(__xludf.DUMMYFUNCTION("GOOGLETRANSLATE(B381:B396,""RU"",""UK"")"),"Ручка для кувалди 8кг")</f>
        <v>Ручка для кувалди 8кг</v>
      </c>
      <c r="D381" s="15" t="s">
        <v>6</v>
      </c>
      <c r="E381" s="15">
        <v>6</v>
      </c>
      <c r="F381" s="91" t="s">
        <v>314</v>
      </c>
      <c r="G381" s="4"/>
      <c r="H381" s="4"/>
      <c r="I381" s="4"/>
    </row>
    <row r="382" spans="1:9" ht="15">
      <c r="A382" s="21">
        <f t="shared" si="6"/>
        <v>295</v>
      </c>
      <c r="B382" s="14" t="s">
        <v>548</v>
      </c>
      <c r="C382" s="85" t="str">
        <f ca="1">IFERROR(__xludf.DUMMYFUNCTION("GOOGLETRANSLATE(B382:B397,""RU"",""UK"")"),"Ручка для сокири")</f>
        <v>Ручка для сокири</v>
      </c>
      <c r="D382" s="15" t="s">
        <v>6</v>
      </c>
      <c r="E382" s="15">
        <v>6</v>
      </c>
      <c r="F382" s="91" t="s">
        <v>167</v>
      </c>
      <c r="G382" s="4"/>
      <c r="H382" s="4"/>
      <c r="I382" s="4"/>
    </row>
    <row r="383" spans="1:9" ht="15">
      <c r="A383" s="21">
        <f t="shared" si="6"/>
        <v>296</v>
      </c>
      <c r="B383" s="19" t="s">
        <v>549</v>
      </c>
      <c r="C383" s="85" t="str">
        <f ca="1">IFERROR(__xludf.DUMMYFUNCTION("GOOGLETRANSLATE(B383:B398,""RU"",""UK"")"),"Кувалда із ручкою 2кг")</f>
        <v>Кувалда із ручкою 2кг</v>
      </c>
      <c r="D383" s="26" t="s">
        <v>6</v>
      </c>
      <c r="E383" s="26">
        <v>0</v>
      </c>
      <c r="F383" s="91" t="s">
        <v>327</v>
      </c>
      <c r="G383" s="4"/>
      <c r="H383" s="4"/>
      <c r="I383" s="4"/>
    </row>
    <row r="384" spans="1:9" ht="15">
      <c r="A384" s="21">
        <f t="shared" si="6"/>
        <v>297</v>
      </c>
      <c r="B384" s="16" t="s">
        <v>550</v>
      </c>
      <c r="C384" s="85" t="str">
        <f ca="1">IFERROR(__xludf.DUMMYFUNCTION("GOOGLETRANSLATE(B384:B399,""RU"",""UK"")"),"Кувалда із ручкою 4кг")</f>
        <v>Кувалда із ручкою 4кг</v>
      </c>
      <c r="D384" s="17" t="s">
        <v>6</v>
      </c>
      <c r="E384" s="17">
        <v>1</v>
      </c>
      <c r="F384" s="91" t="s">
        <v>551</v>
      </c>
      <c r="G384" s="4"/>
      <c r="H384" s="4"/>
      <c r="I384" s="4"/>
    </row>
    <row r="385" spans="1:9" ht="15">
      <c r="A385" s="21">
        <f t="shared" si="6"/>
        <v>298</v>
      </c>
      <c r="B385" s="16" t="s">
        <v>552</v>
      </c>
      <c r="C385" s="85" t="str">
        <f ca="1">IFERROR(__xludf.DUMMYFUNCTION("GOOGLETRANSLATE(B385:B400,""RU"",""UK"")"),"Кувалда із ручкою 6кг")</f>
        <v>Кувалда із ручкою 6кг</v>
      </c>
      <c r="D385" s="17" t="s">
        <v>6</v>
      </c>
      <c r="E385" s="17">
        <v>4</v>
      </c>
      <c r="F385" s="91" t="s">
        <v>553</v>
      </c>
      <c r="G385" s="4"/>
      <c r="H385" s="4"/>
      <c r="I385" s="4"/>
    </row>
    <row r="386" spans="1:9" ht="15">
      <c r="A386" s="21">
        <f t="shared" si="6"/>
        <v>299</v>
      </c>
      <c r="B386" s="16" t="s">
        <v>554</v>
      </c>
      <c r="C386" s="85" t="str">
        <f ca="1">IFERROR(__xludf.DUMMYFUNCTION("GOOGLETRANSLATE(B386:B401,""RU"",""UK"")"),"Кувалда 8кг (з ручкою)")</f>
        <v>Кувалда 8кг (з ручкою)</v>
      </c>
      <c r="D386" s="15" t="s">
        <v>6</v>
      </c>
      <c r="E386" s="15">
        <v>4</v>
      </c>
      <c r="F386" s="91" t="s">
        <v>53</v>
      </c>
      <c r="G386" s="4"/>
      <c r="H386" s="4"/>
      <c r="I386" s="4"/>
    </row>
    <row r="387" spans="1:9" ht="15">
      <c r="A387" s="21">
        <f t="shared" si="6"/>
        <v>300</v>
      </c>
      <c r="B387" s="19" t="s">
        <v>555</v>
      </c>
      <c r="C387" s="85" t="str">
        <f ca="1">IFERROR(__xludf.DUMMYFUNCTION("GOOGLETRANSLATE(B387:B402,""RU"",""UK"")"),"Сокира з ручкою 1850 гр. Україна")</f>
        <v>Сокира з ручкою 1850 гр. Україна</v>
      </c>
      <c r="D387" s="15" t="s">
        <v>6</v>
      </c>
      <c r="E387" s="15">
        <v>0</v>
      </c>
      <c r="F387" s="91" t="s">
        <v>36</v>
      </c>
      <c r="G387" s="4"/>
      <c r="H387" s="4"/>
      <c r="I387" s="4"/>
    </row>
    <row r="388" spans="1:9" ht="15">
      <c r="A388" s="21">
        <f t="shared" si="6"/>
        <v>301</v>
      </c>
      <c r="B388" s="14" t="s">
        <v>556</v>
      </c>
      <c r="C388" s="85" t="str">
        <f ca="1">IFERROR(__xludf.DUMMYFUNCTION("GOOGLETRANSLATE(B388:B403,""RU"",""UK"")"),"Кірочка-молоток")</f>
        <v>Кірочка-молоток</v>
      </c>
      <c r="D388" s="15" t="s">
        <v>6</v>
      </c>
      <c r="E388" s="15">
        <v>12</v>
      </c>
      <c r="F388" s="91" t="s">
        <v>557</v>
      </c>
      <c r="G388" s="4"/>
      <c r="H388" s="4"/>
      <c r="I388" s="4"/>
    </row>
    <row r="389" spans="1:9" ht="15">
      <c r="A389" s="21">
        <f t="shared" si="6"/>
        <v>302</v>
      </c>
      <c r="B389" s="16" t="s">
        <v>558</v>
      </c>
      <c r="C389" s="85" t="str">
        <f ca="1">IFERROR(__xludf.DUMMYFUNCTION("GOOGLETRANSLATE(B389:B404,""RU"",""UK"")"),"Кельма КШ")</f>
        <v>Кельма КШ</v>
      </c>
      <c r="D389" s="15" t="s">
        <v>6</v>
      </c>
      <c r="E389" s="15">
        <v>51</v>
      </c>
      <c r="F389" s="91" t="s">
        <v>248</v>
      </c>
      <c r="G389" s="4"/>
      <c r="H389" s="4"/>
      <c r="I389" s="4"/>
    </row>
    <row r="390" spans="1:9" ht="15">
      <c r="A390" s="21">
        <f t="shared" si="6"/>
        <v>303</v>
      </c>
      <c r="B390" s="14" t="s">
        <v>559</v>
      </c>
      <c r="C390" s="85" t="str">
        <f ca="1">IFERROR(__xludf.DUMMYFUNCTION("GOOGLETRANSLATE(B390:B405,""RU"",""UK"")"),"Ківш штукатурний")</f>
        <v>Ківш штукатурний</v>
      </c>
      <c r="D390" s="15" t="s">
        <v>6</v>
      </c>
      <c r="E390" s="15">
        <v>5</v>
      </c>
      <c r="F390" s="91" t="s">
        <v>248</v>
      </c>
      <c r="G390" s="4"/>
      <c r="H390" s="4"/>
      <c r="I390" s="4"/>
    </row>
    <row r="391" spans="1:9" ht="15">
      <c r="A391" s="21">
        <f t="shared" si="6"/>
        <v>304</v>
      </c>
      <c r="B391" s="14" t="s">
        <v>560</v>
      </c>
      <c r="C391" s="85" t="str">
        <f ca="1">IFERROR(__xludf.DUMMYFUNCTION("GOOGLETRANSLATE(B391:B406,""RU"",""UK"")"),"Зубило слюсарне 160мм")</f>
        <v>Зубило слюсарне 160мм</v>
      </c>
      <c r="D391" s="15" t="s">
        <v>6</v>
      </c>
      <c r="E391" s="15">
        <v>17</v>
      </c>
      <c r="F391" s="91" t="s">
        <v>561</v>
      </c>
      <c r="G391" s="4"/>
      <c r="H391" s="4"/>
      <c r="I391" s="4"/>
    </row>
    <row r="392" spans="1:9" ht="15">
      <c r="A392" s="21">
        <f t="shared" si="6"/>
        <v>305</v>
      </c>
      <c r="B392" s="14" t="s">
        <v>562</v>
      </c>
      <c r="C392" s="85" t="str">
        <f ca="1">IFERROR(__xludf.DUMMYFUNCTION("GOOGLETRANSLATE(B392:B407,""RU"",""UK"")"),"Зубило слюсарне 180мм")</f>
        <v>Зубило слюсарне 180мм</v>
      </c>
      <c r="D392" s="15" t="s">
        <v>6</v>
      </c>
      <c r="E392" s="15">
        <v>60</v>
      </c>
      <c r="F392" s="91" t="s">
        <v>183</v>
      </c>
      <c r="G392" s="4"/>
      <c r="H392" s="4"/>
      <c r="I392" s="4"/>
    </row>
    <row r="393" spans="1:9" ht="15">
      <c r="A393" s="21">
        <f t="shared" si="6"/>
        <v>306</v>
      </c>
      <c r="B393" s="14" t="s">
        <v>563</v>
      </c>
      <c r="C393" s="85" t="str">
        <f ca="1">IFERROR(__xludf.DUMMYFUNCTION("GOOGLETRANSLATE(B393:B408,""RU"",""UK"")"),"Зубило слюсарне 200мм")</f>
        <v>Зубило слюсарне 200мм</v>
      </c>
      <c r="D393" s="15" t="s">
        <v>6</v>
      </c>
      <c r="E393" s="15">
        <v>25</v>
      </c>
      <c r="F393" s="91" t="s">
        <v>564</v>
      </c>
      <c r="G393" s="4"/>
      <c r="H393" s="4"/>
      <c r="I393" s="4"/>
    </row>
    <row r="394" spans="1:9" ht="15">
      <c r="A394" s="21">
        <f t="shared" si="6"/>
        <v>307</v>
      </c>
      <c r="B394" s="14" t="s">
        <v>565</v>
      </c>
      <c r="C394" s="85" t="str">
        <f ca="1">IFERROR(__xludf.DUMMYFUNCTION("GOOGLETRANSLATE(B394:B409,""RU"",""UK"")"),"Зубило слюсарне 220мм")</f>
        <v>Зубило слюсарне 220мм</v>
      </c>
      <c r="D394" s="15" t="s">
        <v>6</v>
      </c>
      <c r="E394" s="15">
        <v>8</v>
      </c>
      <c r="F394" s="91" t="s">
        <v>185</v>
      </c>
      <c r="G394" s="4"/>
      <c r="H394" s="4"/>
      <c r="I394" s="4"/>
    </row>
    <row r="395" spans="1:9" ht="15">
      <c r="A395" s="21">
        <f t="shared" si="6"/>
        <v>308</v>
      </c>
      <c r="B395" s="14" t="s">
        <v>566</v>
      </c>
      <c r="C395" s="85" t="str">
        <f ca="1">IFERROR(__xludf.DUMMYFUNCTION("GOOGLETRANSLATE(B395:B410,""RU"",""UK"")"),"Зубило слюсарне 270мм")</f>
        <v>Зубило слюсарне 270мм</v>
      </c>
      <c r="D395" s="15" t="s">
        <v>6</v>
      </c>
      <c r="E395" s="15">
        <v>122</v>
      </c>
      <c r="F395" s="91" t="s">
        <v>567</v>
      </c>
      <c r="G395" s="4"/>
      <c r="H395" s="4"/>
      <c r="I395" s="4"/>
    </row>
    <row r="396" spans="1:9" ht="15">
      <c r="A396" s="21">
        <f t="shared" si="6"/>
        <v>309</v>
      </c>
      <c r="B396" s="14" t="s">
        <v>568</v>
      </c>
      <c r="C396" s="85" t="str">
        <f ca="1">IFERROR(__xludf.DUMMYFUNCTION("GOOGLETRANSLATE(B396:B411,""RU"",""UK"")"),"Зубило слюсарне 400мм")</f>
        <v>Зубило слюсарне 400мм</v>
      </c>
      <c r="D396" s="15" t="s">
        <v>6</v>
      </c>
      <c r="E396" s="15">
        <v>3</v>
      </c>
      <c r="F396" s="91" t="s">
        <v>569</v>
      </c>
      <c r="G396" s="4"/>
      <c r="H396" s="4"/>
      <c r="I396" s="4"/>
    </row>
    <row r="397" spans="1:9" ht="15">
      <c r="A397" s="21">
        <f t="shared" si="6"/>
        <v>310</v>
      </c>
      <c r="B397" s="14" t="s">
        <v>570</v>
      </c>
      <c r="C397" s="85" t="str">
        <f ca="1">IFERROR(__xludf.DUMMYFUNCTION("GOOGLETRANSLATE(B397:B412,""RU"",""UK"")"),"Зубило слюсарне 500мм")</f>
        <v>Зубило слюсарне 500мм</v>
      </c>
      <c r="D397" s="15" t="s">
        <v>6</v>
      </c>
      <c r="E397" s="15">
        <v>22</v>
      </c>
      <c r="F397" s="91" t="s">
        <v>571</v>
      </c>
      <c r="G397" s="4"/>
      <c r="H397" s="4"/>
      <c r="I397" s="4"/>
    </row>
    <row r="398" spans="1:9" ht="15">
      <c r="A398" s="21">
        <f t="shared" si="6"/>
        <v>311</v>
      </c>
      <c r="B398" s="14" t="s">
        <v>572</v>
      </c>
      <c r="C398" s="85" t="str">
        <f ca="1">IFERROR(__xludf.DUMMYFUNCTION("GOOGLETRANSLATE(B398:B413,""RU"",""UK"")"),"Кренцмейсель зліс. 160")</f>
        <v>Кренцмейсель зліс. 160</v>
      </c>
      <c r="D398" s="15" t="s">
        <v>6</v>
      </c>
      <c r="E398" s="15">
        <v>4</v>
      </c>
      <c r="F398" s="91" t="s">
        <v>248</v>
      </c>
      <c r="G398" s="4"/>
      <c r="H398" s="4"/>
      <c r="I398" s="4"/>
    </row>
    <row r="399" spans="1:9" ht="15">
      <c r="A399" s="21">
        <f t="shared" si="6"/>
        <v>312</v>
      </c>
      <c r="B399" s="14" t="s">
        <v>573</v>
      </c>
      <c r="C399" s="85" t="str">
        <f ca="1">IFERROR(__xludf.DUMMYFUNCTION("GOOGLETRANSLATE(B399:B414,""RU"",""UK"")"),"Бородок (Пробійник)")</f>
        <v>Бородок (Пробійник)</v>
      </c>
      <c r="D399" s="15" t="s">
        <v>6</v>
      </c>
      <c r="E399" s="15">
        <v>38</v>
      </c>
      <c r="F399" s="91" t="s">
        <v>417</v>
      </c>
      <c r="G399" s="4"/>
      <c r="H399" s="4"/>
      <c r="I399" s="4"/>
    </row>
    <row r="400" spans="1:9" ht="15">
      <c r="A400" s="21">
        <f t="shared" si="6"/>
        <v>313</v>
      </c>
      <c r="B400" s="16" t="s">
        <v>574</v>
      </c>
      <c r="C400" s="85" t="str">
        <f ca="1">IFERROR(__xludf.DUMMYFUNCTION("GOOGLETRANSLATE(B400:B415,""RU"",""UK"")"),"Керн без накатки")</f>
        <v>Керн без накатки</v>
      </c>
      <c r="D400" s="15" t="s">
        <v>6</v>
      </c>
      <c r="E400" s="15">
        <v>14</v>
      </c>
      <c r="F400" s="91" t="s">
        <v>575</v>
      </c>
      <c r="G400" s="4"/>
      <c r="H400" s="4"/>
      <c r="I400" s="4"/>
    </row>
    <row r="401" spans="1:9" ht="15">
      <c r="A401" s="21">
        <f t="shared" si="6"/>
        <v>314</v>
      </c>
      <c r="B401" s="16" t="s">
        <v>576</v>
      </c>
      <c r="C401" s="85" t="str">
        <f ca="1">IFERROR(__xludf.DUMMYFUNCTION("GOOGLETRANSLATE(B401:B416,""RU"",""UK"")"),"Чортилка за мет.")</f>
        <v>Чортилка за мет.</v>
      </c>
      <c r="D401" s="15" t="s">
        <v>6</v>
      </c>
      <c r="E401" s="15">
        <v>25</v>
      </c>
      <c r="F401" s="91" t="s">
        <v>417</v>
      </c>
      <c r="G401" s="4"/>
      <c r="H401" s="4"/>
      <c r="I401" s="4"/>
    </row>
    <row r="402" spans="1:9" ht="15">
      <c r="A402" s="21">
        <f t="shared" si="6"/>
        <v>315</v>
      </c>
      <c r="B402" s="16" t="s">
        <v>577</v>
      </c>
      <c r="C402" s="85" t="str">
        <f ca="1">IFERROR(__xludf.DUMMYFUNCTION("GOOGLETRANSLATE(B402:B417,""RU"",""UK"")"),"Чортилка за мет. т/с")</f>
        <v>Чортилка за мет. т/с</v>
      </c>
      <c r="D402" s="15" t="s">
        <v>6</v>
      </c>
      <c r="E402" s="15">
        <v>22</v>
      </c>
      <c r="F402" s="91" t="s">
        <v>167</v>
      </c>
      <c r="G402" s="4"/>
      <c r="H402" s="4"/>
      <c r="I402" s="4"/>
    </row>
    <row r="403" spans="1:9" ht="15">
      <c r="A403" s="21">
        <f t="shared" si="6"/>
        <v>316</v>
      </c>
      <c r="B403" s="16" t="s">
        <v>578</v>
      </c>
      <c r="C403" s="85" t="str">
        <f ca="1">IFERROR(__xludf.DUMMYFUNCTION("GOOGLETRANSLATE(B403:B418,""RU"",""UK"")"),"Лопата штикова чорна з ручкою")</f>
        <v>Лопата штикова чорна з ручкою</v>
      </c>
      <c r="D403" s="15" t="s">
        <v>6</v>
      </c>
      <c r="E403" s="15">
        <v>5</v>
      </c>
      <c r="F403" s="91" t="s">
        <v>261</v>
      </c>
      <c r="G403" s="4"/>
      <c r="H403" s="4"/>
      <c r="I403" s="4"/>
    </row>
    <row r="404" spans="1:9" ht="15">
      <c r="A404" s="21">
        <f t="shared" si="6"/>
        <v>317</v>
      </c>
      <c r="B404" s="16" t="s">
        <v>579</v>
      </c>
      <c r="C404" s="85" t="str">
        <f ca="1">IFERROR(__xludf.DUMMYFUNCTION("GOOGLETRANSLATE(B404:B419,""RU"",""UK"")"),"Лопата совкова ЛСП чорна")</f>
        <v>Лопата совкова ЛСП чорна</v>
      </c>
      <c r="D404" s="15" t="s">
        <v>6</v>
      </c>
      <c r="E404" s="15">
        <v>8</v>
      </c>
      <c r="F404" s="91" t="s">
        <v>346</v>
      </c>
      <c r="G404" s="4"/>
      <c r="H404" s="4"/>
      <c r="I404" s="4"/>
    </row>
    <row r="405" spans="1:9" ht="15">
      <c r="A405" s="21">
        <f t="shared" si="6"/>
        <v>318</v>
      </c>
      <c r="B405" s="16" t="s">
        <v>580</v>
      </c>
      <c r="C405" s="85" t="str">
        <f ca="1">IFERROR(__xludf.DUMMYFUNCTION("GOOGLETRANSLATE(B405:B420,""RU"",""UK"")"),"Лопата широка металева")</f>
        <v>Лопата широка металева</v>
      </c>
      <c r="D405" s="15" t="s">
        <v>6</v>
      </c>
      <c r="E405" s="15">
        <v>0</v>
      </c>
      <c r="F405" s="91" t="s">
        <v>327</v>
      </c>
      <c r="G405" s="4"/>
      <c r="H405" s="4"/>
      <c r="I405" s="4"/>
    </row>
    <row r="406" spans="1:9" ht="15">
      <c r="A406" s="21">
        <f t="shared" si="6"/>
        <v>319</v>
      </c>
      <c r="B406" s="14" t="s">
        <v>581</v>
      </c>
      <c r="C406" s="85" t="str">
        <f ca="1">IFERROR(__xludf.DUMMYFUNCTION("GOOGLETRANSLATE(B406:B421,""RU"",""UK"")"),"Льодоруб 300 (без ручки)")</f>
        <v>Льодоруб 300 (без ручки)</v>
      </c>
      <c r="D406" s="15" t="s">
        <v>6</v>
      </c>
      <c r="E406" s="15">
        <v>3</v>
      </c>
      <c r="F406" s="91" t="s">
        <v>209</v>
      </c>
      <c r="G406" s="4"/>
      <c r="H406" s="4"/>
      <c r="I406" s="4"/>
    </row>
    <row r="407" spans="1:9" ht="15">
      <c r="A407" s="21">
        <f t="shared" si="6"/>
        <v>320</v>
      </c>
      <c r="B407" s="14" t="s">
        <v>582</v>
      </c>
      <c r="C407" s="85" t="str">
        <f ca="1">IFERROR(__xludf.DUMMYFUNCTION("GOOGLETRANSLATE(B407:B422,""RU"",""UK"")"),"Граблі штирьові 10 зубів")</f>
        <v>Граблі штирьові 10 зубів</v>
      </c>
      <c r="D407" s="15" t="s">
        <v>6</v>
      </c>
      <c r="E407" s="15">
        <v>8</v>
      </c>
      <c r="F407" s="91" t="s">
        <v>495</v>
      </c>
      <c r="G407" s="4"/>
      <c r="H407" s="4"/>
      <c r="I407" s="4"/>
    </row>
    <row r="408" spans="1:9" ht="15">
      <c r="A408" s="21">
        <f t="shared" si="6"/>
        <v>321</v>
      </c>
      <c r="B408" s="16" t="s">
        <v>583</v>
      </c>
      <c r="C408" s="85" t="str">
        <f ca="1">IFERROR(__xludf.DUMMYFUNCTION("GOOGLETRANSLATE(B408:B423,""RU"",""UK"")"),"Живець для лопат і вил 1200мм (бук)")</f>
        <v>Живець для лопат і вил 1200мм (бук)</v>
      </c>
      <c r="D408" s="15" t="s">
        <v>6</v>
      </c>
      <c r="E408" s="15">
        <v>0</v>
      </c>
      <c r="F408" s="91" t="s">
        <v>584</v>
      </c>
      <c r="G408" s="4"/>
      <c r="H408" s="4"/>
      <c r="I408" s="4"/>
    </row>
    <row r="409" spans="1:9" ht="15">
      <c r="A409" s="21">
        <f t="shared" si="6"/>
        <v>322</v>
      </c>
      <c r="B409" s="19" t="s">
        <v>585</v>
      </c>
      <c r="C409" s="85" t="str">
        <f ca="1">IFERROR(__xludf.DUMMYFUNCTION("GOOGLETRANSLATE(B409:B424,""RU"",""UK"")"),"Живець для граблів 1400мм (бук)")</f>
        <v>Живець для граблів 1400мм (бук)</v>
      </c>
      <c r="D409" s="15" t="s">
        <v>6</v>
      </c>
      <c r="E409" s="15">
        <v>2</v>
      </c>
      <c r="F409" s="91" t="s">
        <v>586</v>
      </c>
      <c r="G409" s="4"/>
      <c r="H409" s="4"/>
      <c r="I409" s="4"/>
    </row>
    <row r="410" spans="1:9" ht="15">
      <c r="A410" s="21">
        <f t="shared" ref="A410:A431" si="7">A409+1</f>
        <v>323</v>
      </c>
      <c r="B410" s="14" t="s">
        <v>587</v>
      </c>
      <c r="C410" s="85" t="str">
        <f ca="1">IFERROR(__xludf.DUMMYFUNCTION("GOOGLETRANSLATE(B410:B425,""RU"",""UK"")"),"Живець для мітли 1000мм (бук)")</f>
        <v>Живець для мітли 1000мм (бук)</v>
      </c>
      <c r="D410" s="15" t="s">
        <v>6</v>
      </c>
      <c r="E410" s="15">
        <v>2</v>
      </c>
      <c r="F410" s="91" t="s">
        <v>588</v>
      </c>
      <c r="G410" s="4"/>
      <c r="H410" s="4"/>
      <c r="I410" s="4"/>
    </row>
    <row r="411" spans="1:9" ht="15">
      <c r="A411" s="21">
        <f t="shared" si="7"/>
        <v>324</v>
      </c>
      <c r="B411" s="16" t="s">
        <v>589</v>
      </c>
      <c r="C411" s="85" t="str">
        <f ca="1">IFERROR(__xludf.DUMMYFUNCTION("GOOGLETRANSLATE(B411:B426,""RU"",""UK"")"),"Монтування 350мм")</f>
        <v>Монтування 350мм</v>
      </c>
      <c r="D411" s="15" t="s">
        <v>6</v>
      </c>
      <c r="E411" s="15">
        <v>3</v>
      </c>
      <c r="F411" s="91" t="s">
        <v>567</v>
      </c>
      <c r="G411" s="4"/>
      <c r="H411" s="4"/>
      <c r="I411" s="4"/>
    </row>
    <row r="412" spans="1:9" ht="15">
      <c r="A412" s="21">
        <f t="shared" si="7"/>
        <v>325</v>
      </c>
      <c r="B412" s="19" t="s">
        <v>590</v>
      </c>
      <c r="C412" s="85" t="str">
        <f ca="1">IFERROR(__xludf.DUMMYFUNCTION("GOOGLETRANSLATE(B412:B427,""RU"",""UK"")"),"Лом будівельний ЛЗ 1,4м d24мм")</f>
        <v>Лом будівельний ЛЗ 1,4м d24мм</v>
      </c>
      <c r="D412" s="15" t="s">
        <v>6</v>
      </c>
      <c r="E412" s="17">
        <v>0</v>
      </c>
      <c r="F412" s="91" t="s">
        <v>591</v>
      </c>
      <c r="G412" s="4"/>
      <c r="H412" s="4"/>
      <c r="I412" s="4"/>
    </row>
    <row r="413" spans="1:9" ht="15">
      <c r="A413" s="21">
        <f t="shared" si="7"/>
        <v>326</v>
      </c>
      <c r="B413" s="16" t="s">
        <v>592</v>
      </c>
      <c r="C413" s="85" t="str">
        <f ca="1">IFERROR(__xludf.DUMMYFUNCTION("GOOGLETRANSLATE(B413:B428,""RU"",""UK"")"),"Щітка по металу вузька")</f>
        <v>Щітка по металу вузька</v>
      </c>
      <c r="D413" s="15" t="s">
        <v>6</v>
      </c>
      <c r="E413" s="15">
        <v>18</v>
      </c>
      <c r="F413" s="91" t="s">
        <v>167</v>
      </c>
      <c r="G413" s="4"/>
      <c r="H413" s="4"/>
      <c r="I413" s="4"/>
    </row>
    <row r="414" spans="1:9" ht="15">
      <c r="A414" s="21">
        <f t="shared" si="7"/>
        <v>327</v>
      </c>
      <c r="B414" s="14" t="s">
        <v>593</v>
      </c>
      <c r="C414" s="85" t="str">
        <f ca="1">IFERROR(__xludf.DUMMYFUNCTION("GOOGLETRANSLATE(B414:B429,""RU"",""UK"")"),"Щітка (по металу) дерев'яна, латунь дріт 6 ряд.")</f>
        <v>Щітка (по металу) дерев'яна, латунь дріт 6 ряд.</v>
      </c>
      <c r="D414" s="15" t="s">
        <v>6</v>
      </c>
      <c r="E414" s="15">
        <v>0</v>
      </c>
      <c r="F414" s="91" t="s">
        <v>594</v>
      </c>
      <c r="G414" s="4"/>
      <c r="H414" s="4"/>
      <c r="I414" s="4"/>
    </row>
    <row r="415" spans="1:9" ht="15">
      <c r="A415" s="21">
        <f t="shared" si="7"/>
        <v>328</v>
      </c>
      <c r="B415" s="14" t="s">
        <v>595</v>
      </c>
      <c r="C415" s="85" t="str">
        <f ca="1">IFERROR(__xludf.DUMMYFUNCTION("GOOGLETRANSLATE(B415:B430,""RU"",""UK"")"),"Щітка сталева, 5 ряд. (з дер. ручкою)")</f>
        <v>Щітка сталева, 5 ряд. (з дер. ручкою)</v>
      </c>
      <c r="D415" s="15" t="s">
        <v>6</v>
      </c>
      <c r="E415" s="15">
        <v>8</v>
      </c>
      <c r="F415" s="91" t="s">
        <v>596</v>
      </c>
      <c r="G415" s="4"/>
      <c r="H415" s="4"/>
      <c r="I415" s="4"/>
    </row>
    <row r="416" spans="1:9" ht="15">
      <c r="A416" s="21">
        <f t="shared" si="7"/>
        <v>329</v>
      </c>
      <c r="B416" s="16" t="s">
        <v>597</v>
      </c>
      <c r="C416" s="85" t="str">
        <f ca="1">IFERROR(__xludf.DUMMYFUNCTION("GOOGLETRANSLATE(B416:B431,""RU"",""UK"")"),"Щітка для змітання з ручкою 280мм")</f>
        <v>Щітка для змітання з ручкою 280мм</v>
      </c>
      <c r="D416" s="15" t="s">
        <v>6</v>
      </c>
      <c r="E416" s="15">
        <v>6</v>
      </c>
      <c r="F416" s="91" t="s">
        <v>598</v>
      </c>
      <c r="G416" s="4"/>
      <c r="H416" s="4"/>
      <c r="I416" s="4"/>
    </row>
    <row r="417" spans="1:9" ht="15">
      <c r="A417" s="21">
        <f t="shared" si="7"/>
        <v>330</v>
      </c>
      <c r="B417" s="14" t="s">
        <v>599</v>
      </c>
      <c r="C417" s="85" t="str">
        <f ca="1">IFERROR(__xludf.DUMMYFUNCTION("GOOGLETRANSLATE(B417:B432,""RU"",""UK"")"),"КІНЦЯ флейцева, тип ""Стандарт"" 3""")</f>
        <v>КІНЦЯ флейцева, тип "Стандарт" 3"</v>
      </c>
      <c r="D417" s="15" t="s">
        <v>6</v>
      </c>
      <c r="E417" s="15">
        <v>6</v>
      </c>
      <c r="F417" s="91" t="s">
        <v>600</v>
      </c>
      <c r="G417" s="4"/>
      <c r="H417" s="4"/>
      <c r="I417" s="4"/>
    </row>
    <row r="418" spans="1:9" ht="15">
      <c r="A418" s="21">
        <f t="shared" si="7"/>
        <v>331</v>
      </c>
      <c r="B418" s="16" t="s">
        <v>601</v>
      </c>
      <c r="C418" s="85" t="str">
        <f ca="1">IFERROR(__xludf.DUMMYFUNCTION("GOOGLETRANSLATE(B418:B433,""RU"",""UK"")"),"КІНЦЯ флейцева, тип ""Стандарт"" 2,5""")</f>
        <v>КІНЦЯ флейцева, тип "Стандарт" 2,5"</v>
      </c>
      <c r="D418" s="15" t="s">
        <v>6</v>
      </c>
      <c r="E418" s="15">
        <v>2</v>
      </c>
      <c r="F418" s="91" t="s">
        <v>602</v>
      </c>
      <c r="G418" s="4"/>
      <c r="H418" s="4"/>
      <c r="I418" s="4"/>
    </row>
    <row r="419" spans="1:9" ht="15">
      <c r="A419" s="21">
        <f t="shared" si="7"/>
        <v>332</v>
      </c>
      <c r="B419" s="16" t="s">
        <v>603</v>
      </c>
      <c r="C419" s="85" t="str">
        <f ca="1">IFERROR(__xludf.DUMMYFUNCTION("GOOGLETRANSLATE(B419:B434,""RU"",""UK"")"),"КІНЦЯ флейцева, тип ""Стандарт"" 2""")</f>
        <v>КІНЦЯ флейцева, тип "Стандарт" 2"</v>
      </c>
      <c r="D419" s="15" t="s">
        <v>6</v>
      </c>
      <c r="E419" s="15">
        <v>4</v>
      </c>
      <c r="F419" s="91" t="s">
        <v>604</v>
      </c>
      <c r="G419" s="4"/>
      <c r="H419" s="4"/>
      <c r="I419" s="4"/>
    </row>
    <row r="420" spans="1:9" ht="15">
      <c r="A420" s="21">
        <f t="shared" si="7"/>
        <v>333</v>
      </c>
      <c r="B420" s="14" t="s">
        <v>605</v>
      </c>
      <c r="C420" s="85" t="str">
        <f ca="1">IFERROR(__xludf.DUMMYFUNCTION("GOOGLETRANSLATE(B420:B435,""RU"",""UK"")"),"КІНЦЯ флейцева, тип ""Стандарт"" 1,5""")</f>
        <v>КІНЦЯ флейцева, тип "Стандарт" 1,5"</v>
      </c>
      <c r="D420" s="15" t="s">
        <v>6</v>
      </c>
      <c r="E420" s="15">
        <v>7</v>
      </c>
      <c r="F420" s="91" t="s">
        <v>606</v>
      </c>
      <c r="G420" s="4"/>
      <c r="H420" s="4"/>
      <c r="I420" s="4"/>
    </row>
    <row r="421" spans="1:9" ht="15">
      <c r="A421" s="21">
        <f t="shared" si="7"/>
        <v>334</v>
      </c>
      <c r="B421" s="14" t="s">
        <v>607</v>
      </c>
      <c r="C421" s="85" t="str">
        <f ca="1">IFERROR(__xludf.DUMMYFUNCTION("GOOGLETRANSLATE(B421:B436,""RU"",""UK"")"),"Пензель плоский дер. ручка 30х14мм")</f>
        <v>Пензель плоский дер. ручка 30х14мм</v>
      </c>
      <c r="D421" s="15" t="s">
        <v>6</v>
      </c>
      <c r="E421" s="15">
        <v>4</v>
      </c>
      <c r="F421" s="91" t="s">
        <v>608</v>
      </c>
      <c r="G421" s="4"/>
      <c r="H421" s="4"/>
      <c r="I421" s="4"/>
    </row>
    <row r="422" spans="1:9" ht="15">
      <c r="A422" s="21">
        <f t="shared" si="7"/>
        <v>335</v>
      </c>
      <c r="B422" s="14" t="s">
        <v>609</v>
      </c>
      <c r="C422" s="85" t="str">
        <f ca="1">IFERROR(__xludf.DUMMYFUNCTION("GOOGLETRANSLATE(B422:B437,""RU"",""UK"")"),"Пензлик кругла 50мм")</f>
        <v>Пензлик кругла 50мм</v>
      </c>
      <c r="D422" s="15" t="s">
        <v>6</v>
      </c>
      <c r="E422" s="15">
        <v>1</v>
      </c>
      <c r="F422" s="91" t="s">
        <v>610</v>
      </c>
      <c r="G422" s="4"/>
      <c r="H422" s="4"/>
      <c r="I422" s="4"/>
    </row>
    <row r="423" spans="1:9" ht="15">
      <c r="A423" s="21">
        <f t="shared" si="7"/>
        <v>336</v>
      </c>
      <c r="B423" s="14" t="s">
        <v>611</v>
      </c>
      <c r="C423" s="85" t="str">
        <f ca="1">IFERROR(__xludf.DUMMYFUNCTION("GOOGLETRANSLATE(B423:B438,""RU"",""UK"")"),"Пензлик кругла 40мм")</f>
        <v>Пензлик кругла 40мм</v>
      </c>
      <c r="D423" s="15" t="s">
        <v>6</v>
      </c>
      <c r="E423" s="15">
        <v>0</v>
      </c>
      <c r="F423" s="91" t="s">
        <v>361</v>
      </c>
      <c r="G423" s="4"/>
      <c r="H423" s="4"/>
      <c r="I423" s="4"/>
    </row>
    <row r="424" spans="1:9" ht="15">
      <c r="A424" s="21">
        <f t="shared" si="7"/>
        <v>337</v>
      </c>
      <c r="B424" s="14" t="s">
        <v>612</v>
      </c>
      <c r="C424" s="85" t="str">
        <f ca="1">IFERROR(__xludf.DUMMYFUNCTION("GOOGLETRANSLATE(B424:B439,""RU"",""UK"")"),"Пензлик кругла 30мм")</f>
        <v>Пензлик кругла 30мм</v>
      </c>
      <c r="D424" s="15" t="s">
        <v>6</v>
      </c>
      <c r="E424" s="15">
        <v>8</v>
      </c>
      <c r="F424" s="91" t="s">
        <v>361</v>
      </c>
      <c r="G424" s="4"/>
      <c r="H424" s="4"/>
      <c r="I424" s="4"/>
    </row>
    <row r="425" spans="1:9" ht="15">
      <c r="A425" s="21">
        <f t="shared" si="7"/>
        <v>338</v>
      </c>
      <c r="B425" s="14" t="s">
        <v>613</v>
      </c>
      <c r="C425" s="85" t="str">
        <f ca="1">IFERROR(__xludf.DUMMYFUNCTION("GOOGLETRANSLATE(B425:B440,""RU"",""UK"")"),"Валік Преміум з ручкою d8мм, 48х180мм")</f>
        <v>Валік Преміум з ручкою d8мм, 48х180мм</v>
      </c>
      <c r="D425" s="15" t="s">
        <v>6</v>
      </c>
      <c r="E425" s="15">
        <v>5</v>
      </c>
      <c r="F425" s="91" t="s">
        <v>614</v>
      </c>
      <c r="G425" s="4"/>
      <c r="H425" s="4"/>
      <c r="I425" s="4"/>
    </row>
    <row r="426" spans="1:9" ht="15">
      <c r="A426" s="21">
        <f t="shared" si="7"/>
        <v>339</v>
      </c>
      <c r="B426" s="14" t="s">
        <v>615</v>
      </c>
      <c r="C426" s="85" t="str">
        <f ca="1">IFERROR(__xludf.DUMMYFUNCTION("GOOGLETRANSLATE(B426:B441,""RU"",""UK"")"),"Валик хутряний 400мм")</f>
        <v>Валик хутряний 400мм</v>
      </c>
      <c r="D426" s="15" t="s">
        <v>6</v>
      </c>
      <c r="E426" s="15">
        <v>2</v>
      </c>
      <c r="F426" s="91" t="s">
        <v>209</v>
      </c>
      <c r="G426" s="4"/>
      <c r="H426" s="4"/>
      <c r="I426" s="4"/>
    </row>
    <row r="427" spans="1:9" ht="15">
      <c r="A427" s="21">
        <f t="shared" si="7"/>
        <v>340</v>
      </c>
      <c r="B427" s="14" t="s">
        <v>616</v>
      </c>
      <c r="C427" s="85" t="str">
        <f ca="1">IFERROR(__xludf.DUMMYFUNCTION("GOOGLETRANSLATE(B427:B442,""RU"",""UK"")"),"Запаска 180мм")</f>
        <v>Запаска 180мм</v>
      </c>
      <c r="D427" s="15" t="s">
        <v>6</v>
      </c>
      <c r="E427" s="15">
        <v>2</v>
      </c>
      <c r="F427" s="91" t="s">
        <v>586</v>
      </c>
      <c r="G427" s="4"/>
      <c r="H427" s="4"/>
      <c r="I427" s="4"/>
    </row>
    <row r="428" spans="1:9" ht="15">
      <c r="A428" s="21">
        <f t="shared" si="7"/>
        <v>341</v>
      </c>
      <c r="B428" s="14" t="s">
        <v>617</v>
      </c>
      <c r="C428" s="85" t="str">
        <f ca="1">IFERROR(__xludf.DUMMYFUNCTION("GOOGLETRANSLATE(B428:B443,""RU"",""UK"")"),"Запаска 250мм")</f>
        <v>Запаска 250мм</v>
      </c>
      <c r="D428" s="15" t="s">
        <v>6</v>
      </c>
      <c r="E428" s="15">
        <v>3</v>
      </c>
      <c r="F428" s="91" t="s">
        <v>618</v>
      </c>
      <c r="G428" s="4"/>
      <c r="H428" s="4"/>
      <c r="I428" s="4"/>
    </row>
    <row r="429" spans="1:9" ht="15">
      <c r="A429" s="21">
        <f t="shared" si="7"/>
        <v>342</v>
      </c>
      <c r="B429" s="14" t="s">
        <v>619</v>
      </c>
      <c r="C429" s="85" t="str">
        <f ca="1">IFERROR(__xludf.DUMMYFUNCTION("GOOGLETRANSLATE(B429:B444,""RU"",""UK"")"),"Терка")</f>
        <v>Терка</v>
      </c>
      <c r="D429" s="15" t="s">
        <v>6</v>
      </c>
      <c r="E429" s="15">
        <v>2</v>
      </c>
      <c r="F429" s="91" t="s">
        <v>286</v>
      </c>
      <c r="G429" s="4"/>
      <c r="H429" s="4"/>
      <c r="I429" s="4"/>
    </row>
    <row r="430" spans="1:9" ht="15">
      <c r="A430" s="21">
        <f t="shared" si="7"/>
        <v>343</v>
      </c>
      <c r="B430" s="14" t="s">
        <v>620</v>
      </c>
      <c r="C430" s="85" t="str">
        <f ca="1">IFERROR(__xludf.DUMMYFUNCTION("GOOGLETRANSLATE(B430:B445,""RU"",""UK"")"),"Півтерок")</f>
        <v>Півтерок</v>
      </c>
      <c r="D430" s="15" t="s">
        <v>6</v>
      </c>
      <c r="E430" s="15">
        <v>3</v>
      </c>
      <c r="F430" s="91" t="s">
        <v>134</v>
      </c>
      <c r="G430" s="4"/>
      <c r="H430" s="4"/>
      <c r="I430" s="4"/>
    </row>
    <row r="431" spans="1:9" ht="15">
      <c r="A431" s="21">
        <f t="shared" si="7"/>
        <v>344</v>
      </c>
      <c r="B431" s="14" t="s">
        <v>621</v>
      </c>
      <c r="C431" s="85" t="str">
        <f ca="1">IFERROR(__xludf.DUMMYFUNCTION("GOOGLETRANSLATE(B431:B446,""RU"",""UK"")"),"Цикля з дер. ручкою із запасними ножами")</f>
        <v>Цикля з дер. ручкою із запасними ножами</v>
      </c>
      <c r="D431" s="15" t="s">
        <v>6</v>
      </c>
      <c r="E431" s="15">
        <v>5</v>
      </c>
      <c r="F431" s="91" t="s">
        <v>104</v>
      </c>
      <c r="G431" s="4"/>
      <c r="H431" s="4"/>
      <c r="I431" s="4"/>
    </row>
    <row r="432" spans="1:9" ht="15">
      <c r="A432" s="27"/>
      <c r="B432" s="28" t="s">
        <v>622</v>
      </c>
      <c r="C432" s="110" t="s">
        <v>6035</v>
      </c>
      <c r="D432" s="28"/>
      <c r="E432" s="28"/>
      <c r="F432" s="94"/>
      <c r="G432" s="4"/>
      <c r="H432" s="4"/>
      <c r="I432" s="4"/>
    </row>
    <row r="433" spans="1:9" ht="15">
      <c r="A433" s="13">
        <v>1</v>
      </c>
      <c r="B433" s="14" t="s">
        <v>623</v>
      </c>
      <c r="C433" s="85" t="str">
        <f ca="1">IFERROR(__xludf.DUMMYFUNCTION("GOOGLETRANSLATE(B433:B448,""RU"",""UK"")"),"Редуктор кисневий БКО-50ДМ 9мм")</f>
        <v>Редуктор кисневий БКО-50ДМ 9мм</v>
      </c>
      <c r="D433" s="15" t="s">
        <v>6</v>
      </c>
      <c r="E433" s="15">
        <v>4</v>
      </c>
      <c r="F433" s="91" t="s">
        <v>624</v>
      </c>
      <c r="G433" s="4"/>
      <c r="H433" s="4"/>
      <c r="I433" s="4"/>
    </row>
    <row r="434" spans="1:9" ht="15">
      <c r="A434" s="13">
        <f>A433+1</f>
        <v>2</v>
      </c>
      <c r="B434" s="14" t="s">
        <v>625</v>
      </c>
      <c r="C434" s="85" t="str">
        <f ca="1">IFERROR(__xludf.DUMMYFUNCTION("GOOGLETRANSLATE(B434:B449,""RU"",""UK"")"),"Редуктор пропановий БПО - 5ДМ")</f>
        <v>Редуктор пропановий БПО - 5ДМ</v>
      </c>
      <c r="D434" s="15" t="s">
        <v>6</v>
      </c>
      <c r="E434" s="15">
        <v>1</v>
      </c>
      <c r="F434" s="91" t="s">
        <v>80</v>
      </c>
      <c r="G434" s="4"/>
      <c r="H434" s="4"/>
      <c r="I434" s="4"/>
    </row>
    <row r="435" spans="1:9" ht="15">
      <c r="A435" s="21">
        <f t="shared" ref="A435:A453" si="8">A434+1</f>
        <v>3</v>
      </c>
      <c r="B435" s="14" t="s">
        <v>626</v>
      </c>
      <c r="C435" s="85" t="str">
        <f ca="1">IFERROR(__xludf.DUMMYFUNCTION("GOOGLETRANSLATE(B435:B450,""RU"",""UK"")"),"Редуктор пропановий РДСГ1-1,2")</f>
        <v>Редуктор пропановий РДСГ1-1,2</v>
      </c>
      <c r="D435" s="15" t="s">
        <v>6</v>
      </c>
      <c r="E435" s="15">
        <v>2</v>
      </c>
      <c r="F435" s="91" t="s">
        <v>140</v>
      </c>
      <c r="G435" s="4"/>
      <c r="H435" s="4"/>
      <c r="I435" s="4"/>
    </row>
    <row r="436" spans="1:9" ht="15">
      <c r="A436" s="21">
        <f t="shared" si="8"/>
        <v>4</v>
      </c>
      <c r="B436" s="14" t="s">
        <v>627</v>
      </c>
      <c r="C436" s="85" t="str">
        <f ca="1">IFERROR(__xludf.DUMMYFUNCTION("GOOGLETRANSLATE(B436:B451,""RU"",""UK"")"),"Редуктор ацетиленовий БАО-5-2 9мм")</f>
        <v>Редуктор ацетиленовий БАО-5-2 9мм</v>
      </c>
      <c r="D436" s="15" t="s">
        <v>6</v>
      </c>
      <c r="E436" s="15">
        <v>2</v>
      </c>
      <c r="F436" s="91" t="s">
        <v>80</v>
      </c>
      <c r="G436" s="4"/>
      <c r="H436" s="4"/>
      <c r="I436" s="4"/>
    </row>
    <row r="437" spans="1:9" ht="15">
      <c r="A437" s="21">
        <f t="shared" si="8"/>
        <v>5</v>
      </c>
      <c r="B437" s="19" t="s">
        <v>628</v>
      </c>
      <c r="C437" s="85" t="str">
        <f ca="1">IFERROR(__xludf.DUMMYFUNCTION("GOOGLETRANSLATE(B437:B452,""RU"",""UK"")"),"Редуктор вуглекислотний УР6-ДМ 9мм")</f>
        <v>Редуктор вуглекислотний УР6-ДМ 9мм</v>
      </c>
      <c r="D437" s="15" t="s">
        <v>6</v>
      </c>
      <c r="E437" s="15">
        <v>0</v>
      </c>
      <c r="F437" s="91" t="s">
        <v>629</v>
      </c>
      <c r="G437" s="4"/>
      <c r="H437" s="4"/>
      <c r="I437" s="4"/>
    </row>
    <row r="438" spans="1:9" ht="15">
      <c r="A438" s="21">
        <f t="shared" si="8"/>
        <v>6</v>
      </c>
      <c r="B438" s="14" t="s">
        <v>630</v>
      </c>
      <c r="C438" s="85" t="str">
        <f ca="1">IFERROR(__xludf.DUMMYFUNCTION("GOOGLETRANSLATE(B438:B453,""RU"",""UK"")"),"Різак пропановий ""ДОНМЕТ"" 142П Р-1")</f>
        <v>Різак пропановий "ДОНМЕТ" 142П Р-1</v>
      </c>
      <c r="D438" s="15" t="s">
        <v>6</v>
      </c>
      <c r="E438" s="15">
        <v>0</v>
      </c>
      <c r="F438" s="91" t="s">
        <v>631</v>
      </c>
      <c r="G438" s="4"/>
      <c r="H438" s="4"/>
      <c r="I438" s="4"/>
    </row>
    <row r="439" spans="1:9" ht="15">
      <c r="A439" s="21">
        <f t="shared" si="8"/>
        <v>7</v>
      </c>
      <c r="B439" s="14" t="s">
        <v>632</v>
      </c>
      <c r="C439" s="85" t="str">
        <f ca="1">IFERROR(__xludf.DUMMYFUNCTION("GOOGLETRANSLATE(B439:B454,""RU"",""UK"")"),"Пальник пропанова Зірка 200 (наконечник №1;2)")</f>
        <v>Пальник пропанова Зірка 200 (наконечник №1;2)</v>
      </c>
      <c r="D439" s="15" t="s">
        <v>6</v>
      </c>
      <c r="E439" s="15">
        <v>3</v>
      </c>
      <c r="F439" s="91" t="s">
        <v>33</v>
      </c>
      <c r="G439" s="4"/>
      <c r="H439" s="4"/>
      <c r="I439" s="4"/>
    </row>
    <row r="440" spans="1:9" ht="15">
      <c r="A440" s="21">
        <f t="shared" si="8"/>
        <v>8</v>
      </c>
      <c r="B440" s="14" t="s">
        <v>633</v>
      </c>
      <c r="C440" s="85" t="str">
        <f ca="1">IFERROR(__xludf.DUMMYFUNCTION("GOOGLETRANSLATE(B440:B455,""RU"",""UK"")"),"Рукав кисневий 6мм")</f>
        <v>Рукав кисневий 6мм</v>
      </c>
      <c r="D440" s="15" t="s">
        <v>634</v>
      </c>
      <c r="E440" s="15">
        <v>13</v>
      </c>
      <c r="F440" s="91" t="s">
        <v>366</v>
      </c>
      <c r="G440" s="4"/>
      <c r="H440" s="4"/>
      <c r="I440" s="4"/>
    </row>
    <row r="441" spans="1:9" ht="15">
      <c r="A441" s="21">
        <f t="shared" si="8"/>
        <v>9</v>
      </c>
      <c r="B441" s="14" t="s">
        <v>635</v>
      </c>
      <c r="C441" s="85" t="str">
        <f ca="1">IFERROR(__xludf.DUMMYFUNCTION("GOOGLETRANSLATE(B441:B456,""RU"",""UK"")"),"Рукав кисневий 9мм")</f>
        <v>Рукав кисневий 9мм</v>
      </c>
      <c r="D441" s="15" t="s">
        <v>634</v>
      </c>
      <c r="E441" s="15">
        <v>0</v>
      </c>
      <c r="F441" s="91" t="s">
        <v>631</v>
      </c>
      <c r="G441" s="4"/>
      <c r="H441" s="4"/>
      <c r="I441" s="4"/>
    </row>
    <row r="442" spans="1:9" ht="15">
      <c r="A442" s="21">
        <f t="shared" si="8"/>
        <v>10</v>
      </c>
      <c r="B442" s="19" t="s">
        <v>636</v>
      </c>
      <c r="C442" s="85" t="str">
        <f ca="1">IFERROR(__xludf.DUMMYFUNCTION("GOOGLETRANSLATE(B442:B457,""RU"",""UK"")"),"Маска зварювальника ""максимальний захист""")</f>
        <v>Маска зварювальника "максимальний захист"</v>
      </c>
      <c r="D442" s="15" t="s">
        <v>6</v>
      </c>
      <c r="E442" s="15">
        <v>0</v>
      </c>
      <c r="F442" s="91" t="s">
        <v>637</v>
      </c>
      <c r="G442" s="4"/>
      <c r="H442" s="4"/>
      <c r="I442" s="4"/>
    </row>
    <row r="443" spans="1:9" ht="15">
      <c r="A443" s="21">
        <f t="shared" si="8"/>
        <v>11</v>
      </c>
      <c r="B443" s="14" t="s">
        <v>638</v>
      </c>
      <c r="C443" s="85" t="str">
        <f ca="1">IFERROR(__xludf.DUMMYFUNCTION("GOOGLETRANSLATE(B443:B458,""RU"",""UK"")"),"Окуляри для суміжних робіт при зварюванні")</f>
        <v>Окуляри для суміжних робіт при зварюванні</v>
      </c>
      <c r="D443" s="15" t="s">
        <v>6</v>
      </c>
      <c r="E443" s="15">
        <v>9</v>
      </c>
      <c r="F443" s="91" t="s">
        <v>167</v>
      </c>
      <c r="G443" s="4"/>
      <c r="H443" s="4"/>
      <c r="I443" s="4"/>
    </row>
    <row r="444" spans="1:9" ht="15">
      <c r="A444" s="21">
        <f t="shared" si="8"/>
        <v>12</v>
      </c>
      <c r="B444" s="14" t="s">
        <v>639</v>
      </c>
      <c r="C444" s="85" t="str">
        <f ca="1">IFERROR(__xludf.DUMMYFUNCTION("GOOGLETRANSLATE(B444:B459,""RU"",""UK"")"),"Світлофільтр для маски зварювальника (ТІС) С4 (60х90мм)")</f>
        <v>Світлофільтр для маски зварювальника (ТІС) С4 (60х90мм)</v>
      </c>
      <c r="D444" s="15" t="s">
        <v>6</v>
      </c>
      <c r="E444" s="15">
        <v>207</v>
      </c>
      <c r="F444" s="91" t="s">
        <v>361</v>
      </c>
      <c r="G444" s="4"/>
      <c r="H444" s="4"/>
      <c r="I444" s="4"/>
    </row>
    <row r="445" spans="1:9" ht="15">
      <c r="A445" s="21">
        <f t="shared" si="8"/>
        <v>13</v>
      </c>
      <c r="B445" s="14" t="s">
        <v>640</v>
      </c>
      <c r="C445" s="85" t="str">
        <f ca="1">IFERROR(__xludf.DUMMYFUNCTION("GOOGLETRANSLATE(B445:B460,""RU"",""UK"")"),"Світлофільтр для маски зварювальника (ТІС) С5 (60х90мм)")</f>
        <v>Світлофільтр для маски зварювальника (ТІС) С5 (60х90мм)</v>
      </c>
      <c r="D445" s="15" t="s">
        <v>6</v>
      </c>
      <c r="E445" s="15">
        <v>548</v>
      </c>
      <c r="F445" s="91" t="s">
        <v>361</v>
      </c>
      <c r="G445" s="4"/>
      <c r="H445" s="4"/>
      <c r="I445" s="4"/>
    </row>
    <row r="446" spans="1:9" ht="15">
      <c r="A446" s="21">
        <f t="shared" si="8"/>
        <v>14</v>
      </c>
      <c r="B446" s="14" t="s">
        <v>641</v>
      </c>
      <c r="C446" s="85" t="str">
        <f ca="1">IFERROR(__xludf.DUMMYFUNCTION("GOOGLETRANSLATE(B446:B461,""RU"",""UK"")"),"Світлофільтр для маски зварювальника (ТІС) С6 (60х90мм)")</f>
        <v>Світлофільтр для маски зварювальника (ТІС) С6 (60х90мм)</v>
      </c>
      <c r="D446" s="15" t="s">
        <v>6</v>
      </c>
      <c r="E446" s="15">
        <v>49</v>
      </c>
      <c r="F446" s="91" t="s">
        <v>361</v>
      </c>
      <c r="G446" s="4"/>
      <c r="H446" s="4"/>
      <c r="I446" s="4"/>
    </row>
    <row r="447" spans="1:9" ht="15">
      <c r="A447" s="21">
        <f t="shared" si="8"/>
        <v>15</v>
      </c>
      <c r="B447" s="14" t="s">
        <v>642</v>
      </c>
      <c r="C447" s="85" t="str">
        <f ca="1">IFERROR(__xludf.DUMMYFUNCTION("GOOGLETRANSLATE(B447:B462,""RU"",""UK"")"),"Світлофільтр для маски зварювальника (ТІС) С7 (60х90мм)")</f>
        <v>Світлофільтр для маски зварювальника (ТІС) С7 (60х90мм)</v>
      </c>
      <c r="D447" s="15" t="s">
        <v>6</v>
      </c>
      <c r="E447" s="15">
        <v>44</v>
      </c>
      <c r="F447" s="91" t="s">
        <v>361</v>
      </c>
      <c r="G447" s="4"/>
      <c r="H447" s="4"/>
      <c r="I447" s="4"/>
    </row>
    <row r="448" spans="1:9" ht="15">
      <c r="A448" s="21">
        <f t="shared" si="8"/>
        <v>16</v>
      </c>
      <c r="B448" s="14" t="s">
        <v>643</v>
      </c>
      <c r="C448" s="85" t="str">
        <f ca="1">IFERROR(__xludf.DUMMYFUNCTION("GOOGLETRANSLATE(B448:B463,""RU"",""UK"")"),"Світлофільтр для маски зварювальника (ТІС) С8 (60х90мм)")</f>
        <v>Світлофільтр для маски зварювальника (ТІС) С8 (60х90мм)</v>
      </c>
      <c r="D448" s="15" t="s">
        <v>6</v>
      </c>
      <c r="E448" s="15">
        <v>153</v>
      </c>
      <c r="F448" s="91" t="s">
        <v>361</v>
      </c>
      <c r="G448" s="4"/>
      <c r="H448" s="4"/>
      <c r="I448" s="4"/>
    </row>
    <row r="449" spans="1:9" ht="15">
      <c r="A449" s="21">
        <f t="shared" si="8"/>
        <v>17</v>
      </c>
      <c r="B449" s="14" t="s">
        <v>644</v>
      </c>
      <c r="C449" s="85" t="str">
        <f ca="1">IFERROR(__xludf.DUMMYFUNCTION("GOOGLETRANSLATE(B449:B464,""RU"",""UK"")"),"Світлофільтр для маски зварювальника (ТІС) С3 (90х110мм)")</f>
        <v>Світлофільтр для маски зварювальника (ТІС) С3 (90х110мм)</v>
      </c>
      <c r="D449" s="15" t="s">
        <v>6</v>
      </c>
      <c r="E449" s="15">
        <v>1</v>
      </c>
      <c r="F449" s="91" t="s">
        <v>134</v>
      </c>
      <c r="G449" s="4"/>
      <c r="H449" s="4"/>
      <c r="I449" s="4"/>
    </row>
    <row r="450" spans="1:9" ht="15">
      <c r="A450" s="21">
        <f t="shared" si="8"/>
        <v>18</v>
      </c>
      <c r="B450" s="14" t="s">
        <v>645</v>
      </c>
      <c r="C450" s="85" t="str">
        <f ca="1">IFERROR(__xludf.DUMMYFUNCTION("GOOGLETRANSLATE(B450:B465,""RU"",""UK"")"),"Скло для маски зварювальника прозр.60х90мм")</f>
        <v>Скло для маски зварювальника прозр.60х90мм</v>
      </c>
      <c r="D450" s="15" t="s">
        <v>6</v>
      </c>
      <c r="E450" s="15">
        <v>50</v>
      </c>
      <c r="F450" s="91" t="s">
        <v>646</v>
      </c>
      <c r="G450" s="4"/>
      <c r="H450" s="4"/>
      <c r="I450" s="4"/>
    </row>
    <row r="451" spans="1:9" ht="15">
      <c r="A451" s="21">
        <f t="shared" si="8"/>
        <v>19</v>
      </c>
      <c r="B451" s="14" t="s">
        <v>647</v>
      </c>
      <c r="C451" s="85" t="str">
        <f ca="1">IFERROR(__xludf.DUMMYFUNCTION("GOOGLETRANSLATE(B451:B466,""RU"",""UK"")"),"Скло для маски зварювальника прозр.110х90мм")</f>
        <v>Скло для маски зварювальника прозр.110х90мм</v>
      </c>
      <c r="D451" s="15" t="s">
        <v>6</v>
      </c>
      <c r="E451" s="15">
        <v>48</v>
      </c>
      <c r="F451" s="91" t="s">
        <v>648</v>
      </c>
      <c r="G451" s="4"/>
      <c r="H451" s="4"/>
      <c r="I451" s="4"/>
    </row>
    <row r="452" spans="1:9" ht="15">
      <c r="A452" s="21">
        <f t="shared" si="8"/>
        <v>20</v>
      </c>
      <c r="B452" s="19" t="s">
        <v>649</v>
      </c>
      <c r="C452" s="85" t="str">
        <f ca="1">IFERROR(__xludf.DUMMYFUNCTION("GOOGLETRANSLATE(B452:B467,""RU"",""UK"")"),"Затискач маси 500А")</f>
        <v>Затискач маси 500А</v>
      </c>
      <c r="D452" s="15" t="s">
        <v>6</v>
      </c>
      <c r="E452" s="15">
        <v>0</v>
      </c>
      <c r="F452" s="91" t="s">
        <v>327</v>
      </c>
      <c r="G452" s="4"/>
      <c r="H452" s="4"/>
      <c r="I452" s="4"/>
    </row>
    <row r="453" spans="1:9" ht="15">
      <c r="A453" s="21">
        <f t="shared" si="8"/>
        <v>21</v>
      </c>
      <c r="B453" s="16" t="s">
        <v>650</v>
      </c>
      <c r="C453" s="85" t="str">
        <f ca="1">IFERROR(__xludf.DUMMYFUNCTION("GOOGLETRANSLATE(B453:B468,""RU"",""UK"")"),"Кабель КГ 1х25")</f>
        <v>Кабель КГ 1х25</v>
      </c>
      <c r="D453" s="15" t="s">
        <v>634</v>
      </c>
      <c r="E453" s="15">
        <v>22</v>
      </c>
      <c r="F453" s="91" t="s">
        <v>536</v>
      </c>
      <c r="G453" s="4"/>
      <c r="H453" s="4"/>
      <c r="I453" s="4"/>
    </row>
    <row r="454" spans="1:9" ht="15">
      <c r="A454" s="21">
        <f>A453+1</f>
        <v>22</v>
      </c>
      <c r="B454" s="14" t="s">
        <v>651</v>
      </c>
      <c r="C454" s="85" t="str">
        <f ca="1">IFERROR(__xludf.DUMMYFUNCTION("GOOGLETRANSLATE(B454:B469,""RU"",""UK"")"),"Дріт для зварювання СВ08 – 3мм. (Упак. L = 1м по 5 кг)")</f>
        <v>Дріт для зварювання СВ08 – 3мм. (Упак. L = 1м по 5 кг)</v>
      </c>
      <c r="D454" s="15" t="s">
        <v>130</v>
      </c>
      <c r="E454" s="15">
        <v>35</v>
      </c>
      <c r="F454" s="91" t="s">
        <v>614</v>
      </c>
      <c r="G454" s="4"/>
      <c r="H454" s="4"/>
      <c r="I454" s="4"/>
    </row>
    <row r="455" spans="1:9" ht="15">
      <c r="A455" s="22"/>
      <c r="B455" s="29" t="s">
        <v>652</v>
      </c>
      <c r="C455" s="110" t="str">
        <f ca="1">IFERROR(__xludf.DUMMYFUNCTION("GOOGLETRANSLATE(B455:B470,""RU"",""UK"")"),"4. Д Е Р Е В О О Б Р О Б Н И Й  І Н С Т Р У М Е Н Т")</f>
        <v>4. Д Е Р Е В О О Б Р О Б Н И Й  І Н С Т Р У М Е Н Т</v>
      </c>
      <c r="D455" s="29"/>
      <c r="E455" s="30"/>
      <c r="F455" s="95"/>
      <c r="G455" s="4"/>
      <c r="H455" s="4"/>
      <c r="I455" s="4"/>
    </row>
    <row r="456" spans="1:9" ht="15">
      <c r="A456" s="13">
        <v>1</v>
      </c>
      <c r="B456" s="14" t="s">
        <v>653</v>
      </c>
      <c r="C456" s="85" t="str">
        <f ca="1">IFERROR(__xludf.DUMMYFUNCTION("GOOGLETRANSLATE(B456:B471,""RU"",""UK"")"),"Пила дискова т/с ВК-8 d 200х32х3мм")</f>
        <v>Пила дискова т/с ВК-8 d 200х32х3мм</v>
      </c>
      <c r="D456" s="15" t="s">
        <v>6</v>
      </c>
      <c r="E456" s="12">
        <v>1</v>
      </c>
      <c r="F456" s="91" t="s">
        <v>413</v>
      </c>
      <c r="G456" s="4"/>
      <c r="H456" s="4"/>
      <c r="I456" s="4"/>
    </row>
    <row r="457" spans="1:9" ht="15">
      <c r="A457" s="13">
        <v>2</v>
      </c>
      <c r="B457" s="14" t="s">
        <v>654</v>
      </c>
      <c r="C457" s="85" t="str">
        <f ca="1">IFERROR(__xludf.DUMMYFUNCTION("GOOGLETRANSLATE(B457:B472,""RU"",""UK"")"),"Пила дискова т/с ВК-8 d 355х50х3, 2мм")</f>
        <v>Пила дискова т/с ВК-8 d 355х50х3, 2мм</v>
      </c>
      <c r="D457" s="15" t="s">
        <v>6</v>
      </c>
      <c r="E457" s="15">
        <v>2</v>
      </c>
      <c r="F457" s="91" t="s">
        <v>71</v>
      </c>
      <c r="G457" s="4"/>
      <c r="H457" s="4"/>
      <c r="I457" s="4"/>
    </row>
    <row r="458" spans="1:9" ht="15">
      <c r="A458" s="13">
        <v>4</v>
      </c>
      <c r="B458" s="14" t="s">
        <v>655</v>
      </c>
      <c r="C458" s="85" t="str">
        <f ca="1">IFERROR(__xludf.DUMMYFUNCTION("GOOGLETRANSLATE(B458:B473,""RU"",""UK"")"),"Пила стрічкова 40х0, 8 зуб 3 мм")</f>
        <v>Пила стрічкова 40х0, 8 зуб 3 мм</v>
      </c>
      <c r="D458" s="15" t="s">
        <v>634</v>
      </c>
      <c r="E458" s="15">
        <v>39</v>
      </c>
      <c r="F458" s="91" t="s">
        <v>136</v>
      </c>
      <c r="G458" s="4"/>
      <c r="H458" s="4"/>
      <c r="I458" s="4"/>
    </row>
    <row r="459" spans="1:9" ht="15">
      <c r="A459" s="13">
        <v>5</v>
      </c>
      <c r="B459" s="16" t="s">
        <v>656</v>
      </c>
      <c r="C459" s="85" t="str">
        <f ca="1">IFERROR(__xludf.DUMMYFUNCTION("GOOGLETRANSLATE(B459:B474,""RU"",""UK"")"),"Пила стрічкова 40х0,8 зуб 10 мм (26+137м)")</f>
        <v>Пила стрічкова 40х0,8 зуб 10 мм (26+137м)</v>
      </c>
      <c r="D459" s="15" t="s">
        <v>634</v>
      </c>
      <c r="E459" s="15">
        <v>163</v>
      </c>
      <c r="F459" s="91" t="s">
        <v>136</v>
      </c>
      <c r="G459" s="4"/>
      <c r="H459" s="4"/>
      <c r="I459" s="4"/>
    </row>
    <row r="460" spans="1:9" ht="15">
      <c r="A460" s="13">
        <v>6</v>
      </c>
      <c r="B460" s="14" t="s">
        <v>657</v>
      </c>
      <c r="C460" s="85" t="str">
        <f ca="1">IFERROR(__xludf.DUMMYFUNCTION("GOOGLETRANSLATE(B460:B475,""RU"",""UK"")"),"Пила дворучна 1250мм")</f>
        <v>Пила дворучна 1250мм</v>
      </c>
      <c r="D460" s="15" t="s">
        <v>6</v>
      </c>
      <c r="E460" s="15">
        <v>9</v>
      </c>
      <c r="F460" s="91" t="s">
        <v>128</v>
      </c>
      <c r="G460" s="4"/>
      <c r="H460" s="4"/>
      <c r="I460" s="4"/>
    </row>
    <row r="461" spans="1:9" ht="15">
      <c r="A461" s="13">
        <v>7</v>
      </c>
      <c r="B461" s="19" t="s">
        <v>658</v>
      </c>
      <c r="C461" s="85" t="str">
        <f ca="1">IFERROR(__xludf.DUMMYFUNCTION("GOOGLETRANSLATE(B461:B476,""RU"",""UK"")"),"Ножівка по дереву (Пилка по дереву, гартовані зубці, ""Stоrm"", 450мм)")</f>
        <v>Ножівка по дереву (Пилка по дереву, гартовані зубці, "Stоrm", 450мм)</v>
      </c>
      <c r="D461" s="17" t="s">
        <v>6</v>
      </c>
      <c r="E461" s="17">
        <v>0</v>
      </c>
      <c r="F461" s="92" t="s">
        <v>276</v>
      </c>
      <c r="G461" s="4"/>
      <c r="H461" s="4"/>
      <c r="I461" s="4"/>
    </row>
    <row r="462" spans="1:9" ht="15">
      <c r="A462" s="13">
        <v>8</v>
      </c>
      <c r="B462" s="19" t="s">
        <v>659</v>
      </c>
      <c r="C462" s="85" t="str">
        <f ca="1">IFERROR(__xludf.DUMMYFUNCTION("GOOGLETRANSLATE(B462:B477,""RU"",""UK"")"),"Коловорот")</f>
        <v>Коловорот</v>
      </c>
      <c r="D462" s="15" t="s">
        <v>6</v>
      </c>
      <c r="E462" s="15">
        <v>0</v>
      </c>
      <c r="F462" s="91" t="s">
        <v>272</v>
      </c>
      <c r="G462" s="4"/>
      <c r="H462" s="4"/>
      <c r="I462" s="4"/>
    </row>
    <row r="463" spans="1:9" ht="15">
      <c r="A463" s="13">
        <v>9</v>
      </c>
      <c r="B463" s="14" t="s">
        <v>660</v>
      </c>
      <c r="C463" s="85" t="str">
        <f ca="1">IFERROR(__xludf.DUMMYFUNCTION("GOOGLETRANSLATE(B463:B478,""RU"",""UK"")"),"Рубанок метал.")</f>
        <v>Рубанок метал.</v>
      </c>
      <c r="D463" s="15" t="s">
        <v>6</v>
      </c>
      <c r="E463" s="15">
        <v>1</v>
      </c>
      <c r="F463" s="91" t="s">
        <v>162</v>
      </c>
      <c r="G463" s="4"/>
      <c r="H463" s="4"/>
      <c r="I463" s="4"/>
    </row>
    <row r="464" spans="1:9" ht="15">
      <c r="A464" s="13">
        <v>10</v>
      </c>
      <c r="B464" s="14" t="s">
        <v>661</v>
      </c>
      <c r="C464" s="85" t="str">
        <f ca="1">IFERROR(__xludf.DUMMYFUNCTION("GOOGLETRANSLATE(B464:B479,""RU"",""UK"")"),"Напівфуганок чистовий мет. 350х80мм")</f>
        <v>Напівфуганок чистовий мет. 350х80мм</v>
      </c>
      <c r="D464" s="15" t="s">
        <v>6</v>
      </c>
      <c r="E464" s="15">
        <v>5</v>
      </c>
      <c r="F464" s="91" t="s">
        <v>138</v>
      </c>
      <c r="G464" s="4"/>
      <c r="H464" s="4"/>
      <c r="I464" s="4"/>
    </row>
    <row r="465" spans="1:9" ht="15">
      <c r="A465" s="13">
        <v>11</v>
      </c>
      <c r="B465" s="14" t="s">
        <v>662</v>
      </c>
      <c r="C465" s="85" t="str">
        <f ca="1">IFERROR(__xludf.DUMMYFUNCTION("GOOGLETRANSLATE(B465:B480,""RU"",""UK"")"),"Фуганок металевий 550мм")</f>
        <v>Фуганок металевий 550мм</v>
      </c>
      <c r="D465" s="15" t="s">
        <v>6</v>
      </c>
      <c r="E465" s="15">
        <v>1</v>
      </c>
      <c r="F465" s="91" t="s">
        <v>663</v>
      </c>
      <c r="G465" s="4"/>
      <c r="H465" s="4"/>
      <c r="I465" s="4"/>
    </row>
    <row r="466" spans="1:9" ht="15">
      <c r="A466" s="13">
        <v>12</v>
      </c>
      <c r="B466" s="14" t="s">
        <v>664</v>
      </c>
      <c r="C466" s="85" t="str">
        <f ca="1">IFERROR(__xludf.DUMMYFUNCTION("GOOGLETRANSLATE(B466:B481,""RU"",""UK"")"),"Ніж для рейсмусу 410х40х3")</f>
        <v>Ніж для рейсмусу 410х40х3</v>
      </c>
      <c r="D466" s="15" t="s">
        <v>6</v>
      </c>
      <c r="E466" s="15">
        <v>1</v>
      </c>
      <c r="F466" s="91" t="s">
        <v>140</v>
      </c>
      <c r="G466" s="4"/>
      <c r="H466" s="4"/>
      <c r="I466" s="4"/>
    </row>
    <row r="467" spans="1:9" ht="15">
      <c r="A467" s="13">
        <v>13</v>
      </c>
      <c r="B467" s="14" t="s">
        <v>665</v>
      </c>
      <c r="C467" s="85" t="str">
        <f ca="1">IFERROR(__xludf.DUMMYFUNCTION("GOOGLETRANSLATE(B467:B482,""RU"",""UK"")"),"Фреза дискова 125х30")</f>
        <v>Фреза дискова 125х30</v>
      </c>
      <c r="D467" s="15" t="s">
        <v>6</v>
      </c>
      <c r="E467" s="15">
        <v>1</v>
      </c>
      <c r="F467" s="91" t="s">
        <v>16</v>
      </c>
      <c r="G467" s="4"/>
      <c r="H467" s="4"/>
      <c r="I467" s="4"/>
    </row>
    <row r="468" spans="1:9" ht="15">
      <c r="A468" s="13">
        <v>14</v>
      </c>
      <c r="B468" s="14" t="s">
        <v>666</v>
      </c>
      <c r="C468" s="85" t="str">
        <f ca="1">IFERROR(__xludf.DUMMYFUNCTION("GOOGLETRANSLATE(B468:B483,""RU"",""UK"")"),"Фреза дискова 125х40х32")</f>
        <v>Фреза дискова 125х40х32</v>
      </c>
      <c r="D468" s="15" t="s">
        <v>6</v>
      </c>
      <c r="E468" s="15">
        <v>1</v>
      </c>
      <c r="F468" s="91" t="s">
        <v>16</v>
      </c>
      <c r="G468" s="4"/>
      <c r="H468" s="4"/>
      <c r="I468" s="4"/>
    </row>
    <row r="469" spans="1:9" ht="15">
      <c r="A469" s="13">
        <v>15</v>
      </c>
      <c r="B469" s="14" t="s">
        <v>667</v>
      </c>
      <c r="C469" s="85" t="str">
        <f ca="1">IFERROR(__xludf.DUMMYFUNCTION("GOOGLETRANSLATE(B469:B484,""RU"",""UK"")"),"Фреза дискова 180х50")</f>
        <v>Фреза дискова 180х50</v>
      </c>
      <c r="D469" s="15" t="s">
        <v>6</v>
      </c>
      <c r="E469" s="15">
        <v>1</v>
      </c>
      <c r="F469" s="91" t="s">
        <v>272</v>
      </c>
      <c r="G469" s="4"/>
      <c r="H469" s="4"/>
      <c r="I469" s="4"/>
    </row>
    <row r="470" spans="1:9" ht="15">
      <c r="A470" s="13">
        <v>16</v>
      </c>
      <c r="B470" s="14" t="s">
        <v>668</v>
      </c>
      <c r="C470" s="85" t="str">
        <f ca="1">IFERROR(__xludf.DUMMYFUNCTION("GOOGLETRANSLATE(B470:B485,""RU"",""UK"")"),"Бур по дер. 19мм L 550мм до/хв")</f>
        <v>Бур по дер. 19мм L 550мм до/хв</v>
      </c>
      <c r="D470" s="15" t="s">
        <v>6</v>
      </c>
      <c r="E470" s="15">
        <v>1</v>
      </c>
      <c r="F470" s="91" t="s">
        <v>136</v>
      </c>
      <c r="G470" s="4"/>
      <c r="H470" s="4"/>
      <c r="I470" s="4"/>
    </row>
    <row r="471" spans="1:9" ht="15">
      <c r="A471" s="13">
        <v>17</v>
      </c>
      <c r="B471" s="14" t="s">
        <v>669</v>
      </c>
      <c r="C471" s="85" t="str">
        <f ca="1">IFERROR(__xludf.DUMMYFUNCTION("GOOGLETRANSLATE(B471:B486,""RU"",""UK"")"),"Бур по дер. 25мм L 400мм")</f>
        <v>Бур по дер. 25мм L 400мм</v>
      </c>
      <c r="D471" s="15" t="s">
        <v>6</v>
      </c>
      <c r="E471" s="15">
        <v>1</v>
      </c>
      <c r="F471" s="91" t="s">
        <v>136</v>
      </c>
      <c r="G471" s="4"/>
      <c r="H471" s="4"/>
      <c r="I471" s="4"/>
    </row>
    <row r="472" spans="1:9" ht="15">
      <c r="A472" s="13">
        <v>18</v>
      </c>
      <c r="B472" s="14" t="s">
        <v>670</v>
      </c>
      <c r="C472" s="85" t="str">
        <f ca="1">IFERROR(__xludf.DUMMYFUNCTION("GOOGLETRANSLATE(B472:B487,""RU"",""UK"")"),"Бур по дер. 26мм L 550мм до/хв")</f>
        <v>Бур по дер. 26мм L 550мм до/хв</v>
      </c>
      <c r="D472" s="15" t="s">
        <v>6</v>
      </c>
      <c r="E472" s="15">
        <v>1</v>
      </c>
      <c r="F472" s="91" t="s">
        <v>136</v>
      </c>
      <c r="G472" s="4"/>
      <c r="H472" s="4"/>
      <c r="I472" s="4"/>
    </row>
    <row r="473" spans="1:9" ht="15">
      <c r="A473" s="13">
        <v>19</v>
      </c>
      <c r="B473" s="16" t="s">
        <v>671</v>
      </c>
      <c r="C473" s="85" t="str">
        <f ca="1">IFERROR(__xludf.DUMMYFUNCTION("GOOGLETRANSLATE(B473:B488,""RU"",""UK"")"),"Стамеска 9мм")</f>
        <v>Стамеска 9мм</v>
      </c>
      <c r="D473" s="17" t="s">
        <v>6</v>
      </c>
      <c r="E473" s="17">
        <v>6</v>
      </c>
      <c r="F473" s="91" t="s">
        <v>314</v>
      </c>
      <c r="G473" s="4"/>
      <c r="H473" s="4"/>
      <c r="I473" s="4"/>
    </row>
    <row r="474" spans="1:9" ht="15">
      <c r="A474" s="13">
        <v>20</v>
      </c>
      <c r="B474" s="16" t="s">
        <v>672</v>
      </c>
      <c r="C474" s="85" t="str">
        <f ca="1">IFERROR(__xludf.DUMMYFUNCTION("GOOGLETRANSLATE(B474:B489,""RU"",""UK"")"),"Стамеска 12мм")</f>
        <v>Стамеска 12мм</v>
      </c>
      <c r="D474" s="17" t="s">
        <v>6</v>
      </c>
      <c r="E474" s="17">
        <v>7</v>
      </c>
      <c r="F474" s="91" t="s">
        <v>255</v>
      </c>
      <c r="G474" s="4"/>
      <c r="H474" s="4"/>
      <c r="I474" s="4"/>
    </row>
    <row r="475" spans="1:9" ht="15">
      <c r="A475" s="13">
        <v>21</v>
      </c>
      <c r="B475" s="16" t="s">
        <v>673</v>
      </c>
      <c r="C475" s="85" t="str">
        <f ca="1">IFERROR(__xludf.DUMMYFUNCTION("GOOGLETRANSLATE(B475:B490,""RU"",""UK"")"),"Стамеска 18мм")</f>
        <v>Стамеска 18мм</v>
      </c>
      <c r="D475" s="17" t="s">
        <v>6</v>
      </c>
      <c r="E475" s="17">
        <v>1</v>
      </c>
      <c r="F475" s="91" t="s">
        <v>257</v>
      </c>
      <c r="G475" s="4"/>
      <c r="H475" s="4"/>
      <c r="I475" s="4"/>
    </row>
    <row r="476" spans="1:9" ht="15">
      <c r="A476" s="13">
        <v>22</v>
      </c>
      <c r="B476" s="16" t="s">
        <v>674</v>
      </c>
      <c r="C476" s="85" t="str">
        <f ca="1">IFERROR(__xludf.DUMMYFUNCTION("GOOGLETRANSLATE(B476:B491,""RU"",""UK"")"),"Долото 18х80")</f>
        <v>Долото 18х80</v>
      </c>
      <c r="D476" s="17" t="s">
        <v>6</v>
      </c>
      <c r="E476" s="17">
        <v>1</v>
      </c>
      <c r="F476" s="91" t="s">
        <v>209</v>
      </c>
      <c r="G476" s="4"/>
      <c r="H476" s="4"/>
      <c r="I476" s="4"/>
    </row>
    <row r="477" spans="1:9" ht="15">
      <c r="A477" s="31"/>
      <c r="B477" s="32" t="s">
        <v>675</v>
      </c>
      <c r="C477" s="110" t="str">
        <f ca="1">IFERROR(__xludf.DUMMYFUNCTION("GOOGLETRANSLATE(B477:B492,""RU"",""UK"")"),"5.  А Б Р А З И В Н І  К Р У Г И")</f>
        <v>5.  А Б Р А З И В Н І  К Р У Г И</v>
      </c>
      <c r="D477" s="33"/>
      <c r="E477" s="33"/>
      <c r="F477" s="95"/>
      <c r="G477" s="4"/>
      <c r="H477" s="4"/>
      <c r="I477" s="4"/>
    </row>
    <row r="478" spans="1:9" ht="15">
      <c r="A478" s="13">
        <v>1</v>
      </c>
      <c r="B478" s="14" t="s">
        <v>676</v>
      </c>
      <c r="C478" s="85" t="str">
        <f ca="1">IFERROR(__xludf.DUMMYFUNCTION("GOOGLETRANSLATE(B478:B493,""RU"",""UK"")"),"Круг внутр. Шліф.25А 6х10х2/13х10х5/13х20х4")</f>
        <v>Круг внутр. Шліф.25А 6х10х2/13х10х5/13х20х4</v>
      </c>
      <c r="D478" s="15" t="s">
        <v>6</v>
      </c>
      <c r="E478" s="15" t="s">
        <v>677</v>
      </c>
      <c r="F478" s="91" t="s">
        <v>132</v>
      </c>
      <c r="G478" s="4"/>
      <c r="H478" s="4"/>
      <c r="I478" s="4"/>
    </row>
    <row r="479" spans="1:9" ht="15">
      <c r="A479" s="13">
        <f>A478+1</f>
        <v>2</v>
      </c>
      <c r="B479" s="14" t="s">
        <v>678</v>
      </c>
      <c r="C479" s="85" t="str">
        <f ca="1">IFERROR(__xludf.DUMMYFUNCTION("GOOGLETRANSLATE(B479:B494,""RU"",""UK"")"),"Круг внутр. Шліф.25А 14х10х4/14х20х4/16х32х6/20х8х6")</f>
        <v>Круг внутр. Шліф.25А 14х10х4/14х20х4/16х32х6/20х8х6</v>
      </c>
      <c r="D479" s="15" t="s">
        <v>6</v>
      </c>
      <c r="E479" s="15" t="s">
        <v>679</v>
      </c>
      <c r="F479" s="91" t="s">
        <v>680</v>
      </c>
      <c r="G479" s="4"/>
      <c r="H479" s="4"/>
      <c r="I479" s="4"/>
    </row>
    <row r="480" spans="1:9" ht="15">
      <c r="A480" s="21">
        <f t="shared" ref="A480:A543" si="9">A479+1</f>
        <v>3</v>
      </c>
      <c r="B480" s="14" t="s">
        <v>681</v>
      </c>
      <c r="C480" s="85" t="str">
        <f ca="1">IFERROR(__xludf.DUMMYFUNCTION("GOOGLETRANSLATE(B480:B495,""RU"",""UK"")"),"Круг внутр. Шліф.25А 25х32х6")</f>
        <v>Круг внутр. Шліф.25А 25х32х6</v>
      </c>
      <c r="D480" s="15" t="s">
        <v>6</v>
      </c>
      <c r="E480" s="15">
        <v>15</v>
      </c>
      <c r="F480" s="91" t="s">
        <v>682</v>
      </c>
      <c r="G480" s="4"/>
      <c r="H480" s="4"/>
      <c r="I480" s="4"/>
    </row>
    <row r="481" spans="1:9" ht="15">
      <c r="A481" s="21">
        <f t="shared" si="9"/>
        <v>4</v>
      </c>
      <c r="B481" s="14" t="s">
        <v>683</v>
      </c>
      <c r="C481" s="85" t="str">
        <f ca="1">IFERROR(__xludf.DUMMYFUNCTION("GOOGLETRANSLATE(B481:B496,""RU"",""UK"")"),"Круг внутр. Шліф.25А 25х40х16/32х25х10/20х32х10")</f>
        <v>Круг внутр. Шліф.25А 25х40х16/32х25х10/20х32х10</v>
      </c>
      <c r="D481" s="15" t="s">
        <v>6</v>
      </c>
      <c r="E481" s="15" t="s">
        <v>684</v>
      </c>
      <c r="F481" s="91" t="s">
        <v>682</v>
      </c>
      <c r="G481" s="4"/>
      <c r="H481" s="4"/>
      <c r="I481" s="4"/>
    </row>
    <row r="482" spans="1:9" ht="15">
      <c r="A482" s="21">
        <f t="shared" si="9"/>
        <v>5</v>
      </c>
      <c r="B482" s="14" t="s">
        <v>685</v>
      </c>
      <c r="C482" s="85" t="str">
        <f ca="1">IFERROR(__xludf.DUMMYFUNCTION("GOOGLETRANSLATE(B482:B497,""RU"",""UK"")"),"Круг внутр. Шліф.25А 30х25х10/32х40х10")</f>
        <v>Круг внутр. Шліф.25А 30х25х10/32х40х10</v>
      </c>
      <c r="D482" s="15" t="s">
        <v>6</v>
      </c>
      <c r="E482" s="15" t="s">
        <v>686</v>
      </c>
      <c r="F482" s="91" t="s">
        <v>290</v>
      </c>
      <c r="G482" s="4"/>
      <c r="H482" s="4"/>
      <c r="I482" s="4"/>
    </row>
    <row r="483" spans="1:9" ht="15">
      <c r="A483" s="21">
        <f t="shared" si="9"/>
        <v>6</v>
      </c>
      <c r="B483" s="14" t="s">
        <v>687</v>
      </c>
      <c r="C483" s="85" t="str">
        <f ca="1">IFERROR(__xludf.DUMMYFUNCTION("GOOGLETRANSLATE(B483:B498,""RU"",""UK"")"),"Круг внутр. Шліф.64С 25х25х6/25А 25х25х6")</f>
        <v>Круг внутр. Шліф.64С 25х25х6/25А 25х25х6</v>
      </c>
      <c r="D483" s="15" t="s">
        <v>6</v>
      </c>
      <c r="E483" s="15" t="s">
        <v>688</v>
      </c>
      <c r="F483" s="91" t="s">
        <v>290</v>
      </c>
      <c r="G483" s="4"/>
      <c r="H483" s="4"/>
      <c r="I483" s="4"/>
    </row>
    <row r="484" spans="1:9" ht="15">
      <c r="A484" s="21">
        <f t="shared" si="9"/>
        <v>7</v>
      </c>
      <c r="B484" s="14" t="s">
        <v>689</v>
      </c>
      <c r="C484" s="85" t="str">
        <f ca="1">IFERROR(__xludf.DUMMYFUNCTION("GOOGLETRANSLATE(B484:B499,""RU"",""UK"")"),"Круг внутр. Шліф.64С 27х32х6/25А 32х25х10")</f>
        <v>Круг внутр. Шліф.64С 27х32х6/25А 32х25х10</v>
      </c>
      <c r="D484" s="15" t="s">
        <v>6</v>
      </c>
      <c r="E484" s="15" t="s">
        <v>690</v>
      </c>
      <c r="F484" s="91" t="s">
        <v>290</v>
      </c>
      <c r="G484" s="4"/>
      <c r="H484" s="4"/>
      <c r="I484" s="4"/>
    </row>
    <row r="485" spans="1:9" ht="15">
      <c r="A485" s="21">
        <f t="shared" si="9"/>
        <v>8</v>
      </c>
      <c r="B485" s="14" t="s">
        <v>691</v>
      </c>
      <c r="C485" s="85" t="str">
        <f ca="1">IFERROR(__xludf.DUMMYFUNCTION("GOOGLETRANSLATE(B485:B500,""RU"",""UK"")"),"Круг внутр. Шліф.25А 32х32х10/32х40х10")</f>
        <v>Круг внутр. Шліф.25А 32х32х10/32х40х10</v>
      </c>
      <c r="D485" s="15" t="s">
        <v>6</v>
      </c>
      <c r="E485" s="15" t="s">
        <v>692</v>
      </c>
      <c r="F485" s="91" t="s">
        <v>693</v>
      </c>
      <c r="G485" s="4"/>
      <c r="H485" s="4"/>
      <c r="I485" s="4"/>
    </row>
    <row r="486" spans="1:9" ht="15">
      <c r="A486" s="21">
        <f t="shared" si="9"/>
        <v>9</v>
      </c>
      <c r="B486" s="14" t="s">
        <v>694</v>
      </c>
      <c r="C486" s="85" t="str">
        <f ca="1">IFERROR(__xludf.DUMMYFUNCTION("GOOGLETRANSLATE(B486:B501,""RU"",""UK"")"),"Круг внутр. Шліф.25А 40х40х16")</f>
        <v>Круг внутр. Шліф.25А 40х40х16</v>
      </c>
      <c r="D486" s="15" t="s">
        <v>6</v>
      </c>
      <c r="E486" s="15">
        <v>25</v>
      </c>
      <c r="F486" s="91" t="s">
        <v>167</v>
      </c>
      <c r="G486" s="4"/>
      <c r="H486" s="4"/>
      <c r="I486" s="4"/>
    </row>
    <row r="487" spans="1:9" ht="15">
      <c r="A487" s="21">
        <f t="shared" si="9"/>
        <v>10</v>
      </c>
      <c r="B487" s="14" t="s">
        <v>695</v>
      </c>
      <c r="C487" s="85" t="str">
        <f ca="1">IFERROR(__xludf.DUMMYFUNCTION("GOOGLETRANSLATE(B487:B502,""RU"",""UK"")"),"Круг внутр. Шліф.25А 50х40х16/50х50х20")</f>
        <v>Круг внутр. Шліф.25А 50х40х16/50х50х20</v>
      </c>
      <c r="D487" s="15" t="s">
        <v>6</v>
      </c>
      <c r="E487" s="15" t="s">
        <v>696</v>
      </c>
      <c r="F487" s="91" t="s">
        <v>167</v>
      </c>
      <c r="G487" s="4"/>
      <c r="H487" s="4"/>
      <c r="I487" s="4"/>
    </row>
    <row r="488" spans="1:9" ht="15">
      <c r="A488" s="21">
        <f t="shared" si="9"/>
        <v>11</v>
      </c>
      <c r="B488" s="14" t="s">
        <v>697</v>
      </c>
      <c r="C488" s="85" t="str">
        <f ca="1">IFERROR(__xludf.DUMMYFUNCTION("GOOGLETRANSLATE(B488:B503,""RU"",""UK"")"),"Круг внутр. Шліф.25А 63х20х20/63х50х20")</f>
        <v>Круг внутр. Шліф.25А 63х20х20/63х50х20</v>
      </c>
      <c r="D488" s="15" t="s">
        <v>6</v>
      </c>
      <c r="E488" s="15" t="s">
        <v>698</v>
      </c>
      <c r="F488" s="91" t="s">
        <v>169</v>
      </c>
      <c r="G488" s="4"/>
      <c r="H488" s="4"/>
      <c r="I488" s="4"/>
    </row>
    <row r="489" spans="1:9" ht="15">
      <c r="A489" s="21">
        <f t="shared" si="9"/>
        <v>12</v>
      </c>
      <c r="B489" s="14" t="s">
        <v>699</v>
      </c>
      <c r="C489" s="85" t="str">
        <f ca="1">IFERROR(__xludf.DUMMYFUNCTION("GOOGLETRANSLATE(B489:B504,""RU"",""UK"")"),"Круг внутр. Шліф.25А 80х63х20/80х25х20")</f>
        <v>Круг внутр. Шліф.25А 80х63х20/80х25х20</v>
      </c>
      <c r="D489" s="15" t="s">
        <v>6</v>
      </c>
      <c r="E489" s="15" t="s">
        <v>700</v>
      </c>
      <c r="F489" s="91" t="s">
        <v>304</v>
      </c>
      <c r="G489" s="4"/>
      <c r="H489" s="4"/>
      <c r="I489" s="4"/>
    </row>
    <row r="490" spans="1:9" ht="15">
      <c r="A490" s="21">
        <f t="shared" si="9"/>
        <v>13</v>
      </c>
      <c r="B490" s="14" t="s">
        <v>701</v>
      </c>
      <c r="C490" s="85" t="str">
        <f ca="1">IFERROR(__xludf.DUMMYFUNCTION("GOOGLETRANSLATE(B490:B505,""RU"",""UK"")"),"Круг чашка коніч. 25А25П 25х40х6")</f>
        <v>Круг чашка коніч. 25А25П 25х40х6</v>
      </c>
      <c r="D490" s="15" t="s">
        <v>6</v>
      </c>
      <c r="E490" s="15">
        <v>11</v>
      </c>
      <c r="F490" s="91" t="s">
        <v>167</v>
      </c>
      <c r="G490" s="4"/>
      <c r="H490" s="4"/>
      <c r="I490" s="4"/>
    </row>
    <row r="491" spans="1:9" ht="15">
      <c r="A491" s="21">
        <f t="shared" si="9"/>
        <v>14</v>
      </c>
      <c r="B491" s="14" t="s">
        <v>702</v>
      </c>
      <c r="C491" s="85" t="str">
        <f ca="1">IFERROR(__xludf.DUMMYFUNCTION("GOOGLETRANSLATE(B491:B506,""RU"",""UK"")"),"Круг чашка коніч. 25А25П 80х65х22")</f>
        <v>Круг чашка коніч. 25А25П 80х65х22</v>
      </c>
      <c r="D491" s="15" t="s">
        <v>6</v>
      </c>
      <c r="E491" s="15">
        <v>5</v>
      </c>
      <c r="F491" s="91" t="s">
        <v>338</v>
      </c>
      <c r="G491" s="4"/>
      <c r="H491" s="4"/>
      <c r="I491" s="4"/>
    </row>
    <row r="492" spans="1:9" ht="15">
      <c r="A492" s="21">
        <f t="shared" si="9"/>
        <v>15</v>
      </c>
      <c r="B492" s="14" t="s">
        <v>703</v>
      </c>
      <c r="C492" s="85" t="str">
        <f ca="1">IFERROR(__xludf.DUMMYFUNCTION("GOOGLETRANSLATE(B492:B507,""RU"",""UK"")"),"Круг чашка коніч. 39А 100х30х20")</f>
        <v>Круг чашка коніч. 39А 100х30х20</v>
      </c>
      <c r="D492" s="15" t="s">
        <v>6</v>
      </c>
      <c r="E492" s="15">
        <v>5</v>
      </c>
      <c r="F492" s="91" t="s">
        <v>319</v>
      </c>
      <c r="G492" s="4"/>
      <c r="H492" s="4"/>
      <c r="I492" s="4"/>
    </row>
    <row r="493" spans="1:9" ht="15">
      <c r="A493" s="21">
        <f t="shared" si="9"/>
        <v>16</v>
      </c>
      <c r="B493" s="14" t="s">
        <v>704</v>
      </c>
      <c r="C493" s="85" t="str">
        <f ca="1">IFERROR(__xludf.DUMMYFUNCTION("GOOGLETRANSLATE(B493:B508,""RU"",""UK"")"),"Круг чашка коніч. 25А25П 100х40х20/100х50х20")</f>
        <v>Круг чашка коніч. 25А25П 100х40х20/100х50х20</v>
      </c>
      <c r="D493" s="15" t="s">
        <v>6</v>
      </c>
      <c r="E493" s="15" t="s">
        <v>705</v>
      </c>
      <c r="F493" s="91" t="s">
        <v>319</v>
      </c>
      <c r="G493" s="4"/>
      <c r="H493" s="4"/>
      <c r="I493" s="4"/>
    </row>
    <row r="494" spans="1:9" ht="15">
      <c r="A494" s="21">
        <f t="shared" si="9"/>
        <v>17</v>
      </c>
      <c r="B494" s="14" t="s">
        <v>706</v>
      </c>
      <c r="C494" s="85" t="str">
        <f ca="1">IFERROR(__xludf.DUMMYFUNCTION("GOOGLETRANSLATE(B494:B509,""RU"",""UK"")"),"Круг чашка коніч. 25А25П 125х40х32/64С 40п 125х50х32")</f>
        <v>Круг чашка коніч. 25А25П 125х40х32/64С 40п 125х50х32</v>
      </c>
      <c r="D494" s="15" t="s">
        <v>6</v>
      </c>
      <c r="E494" s="15" t="s">
        <v>707</v>
      </c>
      <c r="F494" s="91" t="s">
        <v>140</v>
      </c>
      <c r="G494" s="4"/>
      <c r="H494" s="4"/>
      <c r="I494" s="4"/>
    </row>
    <row r="495" spans="1:9" ht="15">
      <c r="A495" s="21">
        <f t="shared" si="9"/>
        <v>18</v>
      </c>
      <c r="B495" s="14" t="s">
        <v>708</v>
      </c>
      <c r="C495" s="85" t="str">
        <f ca="1">IFERROR(__xludf.DUMMYFUNCTION("GOOGLETRANSLATE(B495:B510,""RU"",""UK"")"),"Круг чашка коніч. 14А40П 125х40х32")</f>
        <v>Круг чашка коніч. 14А40П 125х40х32</v>
      </c>
      <c r="D495" s="15" t="s">
        <v>6</v>
      </c>
      <c r="E495" s="15">
        <v>1</v>
      </c>
      <c r="F495" s="91" t="s">
        <v>140</v>
      </c>
      <c r="G495" s="4"/>
      <c r="H495" s="4"/>
      <c r="I495" s="4"/>
    </row>
    <row r="496" spans="1:9" ht="15">
      <c r="A496" s="21">
        <f t="shared" si="9"/>
        <v>19</v>
      </c>
      <c r="B496" s="14" t="s">
        <v>709</v>
      </c>
      <c r="C496" s="85" t="str">
        <f ca="1">IFERROR(__xludf.DUMMYFUNCTION("GOOGLETRANSLATE(B496:B511,""RU"",""UK"")"),"Круг цилінд чашки. 25А25П 100х50х20/63С 100х50х20")</f>
        <v>Круг цилінд чашки. 25А25П 100х50х20/63С 100х50х20</v>
      </c>
      <c r="D496" s="15" t="s">
        <v>6</v>
      </c>
      <c r="E496" s="15" t="s">
        <v>710</v>
      </c>
      <c r="F496" s="91" t="s">
        <v>119</v>
      </c>
      <c r="G496" s="4"/>
      <c r="H496" s="4"/>
      <c r="I496" s="4"/>
    </row>
    <row r="497" spans="1:9" ht="15">
      <c r="A497" s="21">
        <f t="shared" si="9"/>
        <v>20</v>
      </c>
      <c r="B497" s="14" t="s">
        <v>711</v>
      </c>
      <c r="C497" s="85" t="str">
        <f ca="1">IFERROR(__xludf.DUMMYFUNCTION("GOOGLETRANSLATE(B497:B512,""RU"",""UK"")"),"Круг чашка коніч. 14А 150х50х32/95А 150х50х32")</f>
        <v>Круг чашка коніч. 14А 150х50х32/95А 150х50х32</v>
      </c>
      <c r="D497" s="15" t="s">
        <v>6</v>
      </c>
      <c r="E497" s="15" t="s">
        <v>712</v>
      </c>
      <c r="F497" s="91" t="s">
        <v>20</v>
      </c>
      <c r="G497" s="4"/>
      <c r="H497" s="4"/>
      <c r="I497" s="4"/>
    </row>
    <row r="498" spans="1:9" ht="15">
      <c r="A498" s="21">
        <f t="shared" si="9"/>
        <v>21</v>
      </c>
      <c r="B498" s="14" t="s">
        <v>713</v>
      </c>
      <c r="C498" s="85" t="str">
        <f ca="1">IFERROR(__xludf.DUMMYFUNCTION("GOOGLETRANSLATE(B498:B513,""RU"",""UK"")"),"Круг чашка коніч. 14А 40СМ2 150х80х32")</f>
        <v>Круг чашка коніч. 14А 40СМ2 150х80х32</v>
      </c>
      <c r="D498" s="15" t="s">
        <v>6</v>
      </c>
      <c r="E498" s="15">
        <v>2</v>
      </c>
      <c r="F498" s="91" t="s">
        <v>20</v>
      </c>
      <c r="G498" s="4"/>
      <c r="H498" s="4"/>
      <c r="I498" s="4"/>
    </row>
    <row r="499" spans="1:9" ht="15">
      <c r="A499" s="21">
        <f t="shared" si="9"/>
        <v>22</v>
      </c>
      <c r="B499" s="14" t="s">
        <v>714</v>
      </c>
      <c r="C499" s="85" t="str">
        <f ca="1">IFERROR(__xludf.DUMMYFUNCTION("GOOGLETRANSLATE(B499:B514,""RU"",""UK"")"),"Круг чашка коніч. 64С 150х50х32 F46СМ1/40пМ3")</f>
        <v>Круг чашка коніч. 64С 150х50х32 F46СМ1/40пМ3</v>
      </c>
      <c r="D499" s="15" t="s">
        <v>6</v>
      </c>
      <c r="E499" s="15" t="s">
        <v>715</v>
      </c>
      <c r="F499" s="91" t="s">
        <v>20</v>
      </c>
      <c r="G499" s="4"/>
      <c r="H499" s="4"/>
      <c r="I499" s="4"/>
    </row>
    <row r="500" spans="1:9" ht="15">
      <c r="A500" s="21">
        <f t="shared" si="9"/>
        <v>23</v>
      </c>
      <c r="B500" s="14" t="s">
        <v>716</v>
      </c>
      <c r="C500" s="85" t="str">
        <f ca="1">IFERROR(__xludf.DUMMYFUNCTION("GOOGLETRANSLATE(B500:B515,""RU"",""UK"")"),"Круг чашка коніч. 25А 150х50х32")</f>
        <v>Круг чашка коніч. 25А 150х50х32</v>
      </c>
      <c r="D500" s="15" t="s">
        <v>6</v>
      </c>
      <c r="E500" s="15">
        <v>15</v>
      </c>
      <c r="F500" s="91" t="s">
        <v>20</v>
      </c>
      <c r="G500" s="4"/>
      <c r="H500" s="4"/>
      <c r="I500" s="4"/>
    </row>
    <row r="501" spans="1:9" ht="15">
      <c r="A501" s="21">
        <f t="shared" si="9"/>
        <v>24</v>
      </c>
      <c r="B501" s="14" t="s">
        <v>717</v>
      </c>
      <c r="C501" s="85" t="str">
        <f ca="1">IFERROR(__xludf.DUMMYFUNCTION("GOOGLETRANSLATE(B501:B516,""RU"",""UK"")"),"Круг чашки циліндра. 64С 150х80х32")</f>
        <v>Круг чашки циліндра. 64С 150х80х32</v>
      </c>
      <c r="D501" s="15" t="s">
        <v>6</v>
      </c>
      <c r="E501" s="15">
        <v>1</v>
      </c>
      <c r="F501" s="91" t="s">
        <v>20</v>
      </c>
      <c r="G501" s="4"/>
      <c r="H501" s="4"/>
      <c r="I501" s="4"/>
    </row>
    <row r="502" spans="1:9" ht="15">
      <c r="A502" s="21">
        <f t="shared" si="9"/>
        <v>25</v>
      </c>
      <c r="B502" s="14" t="s">
        <v>718</v>
      </c>
      <c r="C502" s="85" t="str">
        <f ca="1">IFERROR(__xludf.DUMMYFUNCTION("GOOGLETRANSLATE(B502:B517,""RU"",""UK"")"),"Круг для заточування інструменту (тарілка) 64С 125х32х12")</f>
        <v>Круг для заточування інструменту (тарілка) 64С 125х32х12</v>
      </c>
      <c r="D502" s="15" t="s">
        <v>6</v>
      </c>
      <c r="E502" s="15">
        <v>3</v>
      </c>
      <c r="F502" s="91" t="s">
        <v>119</v>
      </c>
      <c r="G502" s="4"/>
      <c r="H502" s="4"/>
      <c r="I502" s="4"/>
    </row>
    <row r="503" spans="1:9" ht="15">
      <c r="A503" s="21">
        <f t="shared" si="9"/>
        <v>26</v>
      </c>
      <c r="B503" s="14" t="s">
        <v>719</v>
      </c>
      <c r="C503" s="85" t="str">
        <f ca="1">IFERROR(__xludf.DUMMYFUNCTION("GOOGLETRANSLATE(B503:B518,""RU"",""UK"")"),"Круг  для заточування інструменту (тарілка) 64С 150х32х16")</f>
        <v>Круг  для заточування інструменту (тарілка) 64С 150х32х16</v>
      </c>
      <c r="D503" s="15" t="s">
        <v>6</v>
      </c>
      <c r="E503" s="15">
        <v>5</v>
      </c>
      <c r="F503" s="91" t="s">
        <v>119</v>
      </c>
      <c r="G503" s="4"/>
      <c r="H503" s="4"/>
      <c r="I503" s="4"/>
    </row>
    <row r="504" spans="1:9" ht="15">
      <c r="A504" s="21">
        <f t="shared" si="9"/>
        <v>27</v>
      </c>
      <c r="B504" s="14" t="s">
        <v>720</v>
      </c>
      <c r="C504" s="85" t="str">
        <f ca="1">IFERROR(__xludf.DUMMYFUNCTION("GOOGLETRANSLATE(B504:B519,""RU"",""UK"")"),"Круг  для заточування інструменту (тарілка) 92А 150х32х16")</f>
        <v>Круг  для заточування інструменту (тарілка) 92А 150х32х16</v>
      </c>
      <c r="D504" s="15" t="s">
        <v>6</v>
      </c>
      <c r="E504" s="15">
        <v>3</v>
      </c>
      <c r="F504" s="91" t="s">
        <v>119</v>
      </c>
      <c r="G504" s="4"/>
      <c r="H504" s="4"/>
      <c r="I504" s="4"/>
    </row>
    <row r="505" spans="1:9" ht="15">
      <c r="A505" s="21">
        <f t="shared" si="9"/>
        <v>28</v>
      </c>
      <c r="B505" s="14" t="s">
        <v>721</v>
      </c>
      <c r="C505" s="85" t="str">
        <f ca="1">IFERROR(__xludf.DUMMYFUNCTION("GOOGLETRANSLATE(B505:B520,""RU"",""UK"")"),"Круг  для заточування інструменту (тарілка) 64С 175х32х16")</f>
        <v>Круг  для заточування інструменту (тарілка) 64С 175х32х16</v>
      </c>
      <c r="D505" s="15" t="s">
        <v>6</v>
      </c>
      <c r="E505" s="15">
        <v>65</v>
      </c>
      <c r="F505" s="91" t="s">
        <v>140</v>
      </c>
      <c r="G505" s="4"/>
      <c r="H505" s="4"/>
      <c r="I505" s="4"/>
    </row>
    <row r="506" spans="1:9" ht="15">
      <c r="A506" s="21">
        <f t="shared" si="9"/>
        <v>29</v>
      </c>
      <c r="B506" s="14" t="s">
        <v>722</v>
      </c>
      <c r="C506" s="85" t="str">
        <f ca="1">IFERROR(__xludf.DUMMYFUNCTION("GOOGLETRANSLATE(B506:B521,""RU"",""UK"")"),"Круг  для заточування інструмент. (тарілка) 25А 175х32х10/25АF46 175х32х10cм2")</f>
        <v>Круг  для заточування інструмент. (тарілка) 25А 175х32х10/25АF46 175х32х10cм2</v>
      </c>
      <c r="D506" s="15" t="s">
        <v>6</v>
      </c>
      <c r="E506" s="15" t="s">
        <v>723</v>
      </c>
      <c r="F506" s="91" t="s">
        <v>140</v>
      </c>
      <c r="G506" s="4"/>
      <c r="H506" s="4"/>
      <c r="I506" s="4"/>
    </row>
    <row r="507" spans="1:9" ht="15">
      <c r="A507" s="21">
        <f t="shared" si="9"/>
        <v>30</v>
      </c>
      <c r="B507" s="14" t="s">
        <v>724</v>
      </c>
      <c r="C507" s="85" t="str">
        <f ca="1">IFERROR(__xludf.DUMMYFUNCTION("GOOGLETRANSLATE(B507:B522,""RU"",""UK"")"),"Круг  для заточування інструменту (тарілка) 25А 175х32х13/175х32х16")</f>
        <v>Круг  для заточування інструменту (тарілка) 25А 175х32х13/175х32х16</v>
      </c>
      <c r="D507" s="15" t="s">
        <v>6</v>
      </c>
      <c r="E507" s="15" t="s">
        <v>725</v>
      </c>
      <c r="F507" s="91" t="s">
        <v>140</v>
      </c>
      <c r="G507" s="4"/>
      <c r="H507" s="4"/>
      <c r="I507" s="4"/>
    </row>
    <row r="508" spans="1:9" ht="15">
      <c r="A508" s="21">
        <f t="shared" si="9"/>
        <v>31</v>
      </c>
      <c r="B508" s="14" t="s">
        <v>726</v>
      </c>
      <c r="C508" s="85" t="str">
        <f ca="1">IFERROR(__xludf.DUMMYFUNCTION("GOOGLETRANSLATE(B508:B523,""RU"",""UK"")"),"Круг  для заточування інструменту (тарілка) 95А 175х32х16")</f>
        <v>Круг  для заточування інструменту (тарілка) 95А 175х32х16</v>
      </c>
      <c r="D508" s="15" t="s">
        <v>6</v>
      </c>
      <c r="E508" s="15">
        <v>8</v>
      </c>
      <c r="F508" s="91" t="s">
        <v>20</v>
      </c>
      <c r="G508" s="4"/>
      <c r="H508" s="4"/>
      <c r="I508" s="4"/>
    </row>
    <row r="509" spans="1:9" ht="15">
      <c r="A509" s="21">
        <f t="shared" si="9"/>
        <v>32</v>
      </c>
      <c r="B509" s="14" t="s">
        <v>727</v>
      </c>
      <c r="C509" s="85" t="str">
        <f ca="1">IFERROR(__xludf.DUMMYFUNCTION("GOOGLETRANSLATE(B509:B524,""RU"",""UK"")"),"Круг  для заточування інструменту (тарілка) 64С 200х32х16/25А 200х32х12")</f>
        <v>Круг  для заточування інструменту (тарілка) 64С 200х32х16/25А 200х32х12</v>
      </c>
      <c r="D509" s="15" t="s">
        <v>6</v>
      </c>
      <c r="E509" s="15" t="s">
        <v>728</v>
      </c>
      <c r="F509" s="91" t="s">
        <v>24</v>
      </c>
      <c r="G509" s="4"/>
      <c r="H509" s="4"/>
      <c r="I509" s="4"/>
    </row>
    <row r="510" spans="1:9" ht="15">
      <c r="A510" s="21">
        <f t="shared" si="9"/>
        <v>33</v>
      </c>
      <c r="B510" s="14" t="s">
        <v>729</v>
      </c>
      <c r="C510" s="85" t="str">
        <f ca="1">IFERROR(__xludf.DUMMYFUNCTION("GOOGLETRANSLATE(B510:B525,""RU"",""UK"")"),"Круг  для заточування інструменту (тарілка) 64С 200х32х20")</f>
        <v>Круг  для заточування інструменту (тарілка) 64С 200х32х20</v>
      </c>
      <c r="D510" s="15" t="s">
        <v>6</v>
      </c>
      <c r="E510" s="15">
        <v>4</v>
      </c>
      <c r="F510" s="91" t="s">
        <v>162</v>
      </c>
      <c r="G510" s="4"/>
      <c r="H510" s="4"/>
      <c r="I510" s="4"/>
    </row>
    <row r="511" spans="1:9" ht="15">
      <c r="A511" s="21">
        <f t="shared" si="9"/>
        <v>34</v>
      </c>
      <c r="B511" s="14" t="s">
        <v>730</v>
      </c>
      <c r="C511" s="85" t="str">
        <f ca="1">IFERROR(__xludf.DUMMYFUNCTION("GOOGLETRANSLATE(B511:B526,""RU"",""UK"")"),"Круг  для заточування інструменту (тарілка) 14А 200х32х20")</f>
        <v>Круг  для заточування інструменту (тарілка) 14А 200х32х20</v>
      </c>
      <c r="D511" s="15" t="s">
        <v>6</v>
      </c>
      <c r="E511" s="15">
        <v>2</v>
      </c>
      <c r="F511" s="91" t="s">
        <v>20</v>
      </c>
      <c r="G511" s="4"/>
      <c r="H511" s="4"/>
      <c r="I511" s="4"/>
    </row>
    <row r="512" spans="1:9" ht="15">
      <c r="A512" s="21">
        <f t="shared" si="9"/>
        <v>35</v>
      </c>
      <c r="B512" s="14" t="s">
        <v>731</v>
      </c>
      <c r="C512" s="85" t="str">
        <f ca="1">IFERROR(__xludf.DUMMYFUNCTION("GOOGLETRANSLATE(B512:B527,""RU"",""UK"")"),"Круг  для заточування інструменту (тарілка) 25А 225х18х40")</f>
        <v>Круг  для заточування інструменту (тарілка) 25А 225х18х40</v>
      </c>
      <c r="D512" s="15" t="s">
        <v>6</v>
      </c>
      <c r="E512" s="15">
        <v>17</v>
      </c>
      <c r="F512" s="91" t="s">
        <v>162</v>
      </c>
      <c r="G512" s="4"/>
      <c r="H512" s="4"/>
      <c r="I512" s="4"/>
    </row>
    <row r="513" spans="1:9" ht="15">
      <c r="A513" s="21">
        <f t="shared" si="9"/>
        <v>36</v>
      </c>
      <c r="B513" s="19" t="s">
        <v>732</v>
      </c>
      <c r="C513" s="85" t="str">
        <f ca="1">IFERROR(__xludf.DUMMYFUNCTION("GOOGLETRANSLATE(B513:B528,""RU"",""UK"")"),"Круг  для заточування інструменту (тарілка) 25А 25П СМ2 250х5х76")</f>
        <v>Круг  для заточування інструменту (тарілка) 25А 25П СМ2 250х5х76</v>
      </c>
      <c r="D513" s="15" t="s">
        <v>6</v>
      </c>
      <c r="E513" s="15">
        <v>4</v>
      </c>
      <c r="F513" s="91" t="s">
        <v>162</v>
      </c>
      <c r="G513" s="4"/>
      <c r="H513" s="4"/>
      <c r="I513" s="4"/>
    </row>
    <row r="514" spans="1:9" ht="15">
      <c r="A514" s="21">
        <f t="shared" si="9"/>
        <v>37</v>
      </c>
      <c r="B514" s="14" t="s">
        <v>733</v>
      </c>
      <c r="C514" s="85" t="str">
        <f ca="1">IFERROR(__xludf.DUMMYFUNCTION("GOOGLETRANSLATE(B514:B529,""RU"",""UK"")"),"Круг  для заточування інструменту (тарілка) 25А 250х20х76 25П/40П")</f>
        <v>Круг  для заточування інструменту (тарілка) 25А 250х20х76 25П/40П</v>
      </c>
      <c r="D514" s="15" t="s">
        <v>6</v>
      </c>
      <c r="E514" s="15">
        <v>4</v>
      </c>
      <c r="F514" s="91" t="s">
        <v>162</v>
      </c>
      <c r="G514" s="4"/>
      <c r="H514" s="4"/>
      <c r="I514" s="4"/>
    </row>
    <row r="515" spans="1:9" ht="15">
      <c r="A515" s="21">
        <f t="shared" si="9"/>
        <v>38</v>
      </c>
      <c r="B515" s="14" t="s">
        <v>734</v>
      </c>
      <c r="C515" s="85" t="str">
        <f ca="1">IFERROR(__xludf.DUMMYFUNCTION("GOOGLETRANSLATE(B515:B530,""RU"",""UK"")"),"Круг  для заточування інструменту (тарілка) 25А 250х20х32")</f>
        <v>Круг  для заточування інструменту (тарілка) 25А 250х20х32</v>
      </c>
      <c r="D515" s="15" t="s">
        <v>6</v>
      </c>
      <c r="E515" s="15">
        <v>3</v>
      </c>
      <c r="F515" s="91" t="s">
        <v>106</v>
      </c>
      <c r="G515" s="4"/>
      <c r="H515" s="4"/>
      <c r="I515" s="4"/>
    </row>
    <row r="516" spans="1:9" ht="15">
      <c r="A516" s="21">
        <f t="shared" si="9"/>
        <v>39</v>
      </c>
      <c r="B516" s="14" t="s">
        <v>735</v>
      </c>
      <c r="C516" s="85" t="str">
        <f ca="1">IFERROR(__xludf.DUMMYFUNCTION("GOOGLETRANSLATE(B516:B531,""RU"",""UK"")"),"Круг  для заточування інструменту (тарілка) 64С 25п 250х24х32")</f>
        <v>Круг  для заточування інструменту (тарілка) 64С 25п 250х24х32</v>
      </c>
      <c r="D516" s="15" t="s">
        <v>6</v>
      </c>
      <c r="E516" s="15">
        <v>1</v>
      </c>
      <c r="F516" s="91" t="s">
        <v>106</v>
      </c>
      <c r="G516" s="4"/>
      <c r="H516" s="4"/>
      <c r="I516" s="4"/>
    </row>
    <row r="517" spans="1:9" ht="15">
      <c r="A517" s="21">
        <f t="shared" si="9"/>
        <v>40</v>
      </c>
      <c r="B517" s="14" t="s">
        <v>736</v>
      </c>
      <c r="C517" s="85" t="str">
        <f ca="1">IFERROR(__xludf.DUMMYFUNCTION("GOOGLETRANSLATE(B517:B532,""RU"",""UK"")"),"Круг  для заточування інструменту 63С 250х13х76/64С25п 250х16х76")</f>
        <v>Круг  для заточування інструменту 63С 250х13х76/64С25п 250х16х76</v>
      </c>
      <c r="D517" s="15" t="s">
        <v>6</v>
      </c>
      <c r="E517" s="15" t="s">
        <v>737</v>
      </c>
      <c r="F517" s="91" t="s">
        <v>20</v>
      </c>
      <c r="G517" s="4"/>
      <c r="H517" s="4"/>
      <c r="I517" s="4"/>
    </row>
    <row r="518" spans="1:9" ht="15">
      <c r="A518" s="21">
        <f t="shared" si="9"/>
        <v>41</v>
      </c>
      <c r="B518" s="14" t="s">
        <v>738</v>
      </c>
      <c r="C518" s="85" t="str">
        <f ca="1">IFERROR(__xludf.DUMMYFUNCTION("GOOGLETRANSLATE(B518:B533,""RU"",""UK"")"),"Круг  для заточування інструменту (різьбошліф.) 25А25П/40П 250х13х76")</f>
        <v>Круг  для заточування інструменту (різьбошліф.) 25А25П/40П 250х13х76</v>
      </c>
      <c r="D518" s="15" t="s">
        <v>6</v>
      </c>
      <c r="E518" s="15">
        <v>24</v>
      </c>
      <c r="F518" s="91" t="s">
        <v>20</v>
      </c>
      <c r="G518" s="4"/>
      <c r="H518" s="4"/>
      <c r="I518" s="4"/>
    </row>
    <row r="519" spans="1:9" ht="15">
      <c r="A519" s="21">
        <f t="shared" si="9"/>
        <v>42</v>
      </c>
      <c r="B519" s="14" t="s">
        <v>739</v>
      </c>
      <c r="C519" s="85" t="str">
        <f ca="1">IFERROR(__xludf.DUMMYFUNCTION("GOOGLETRANSLATE(B519:B534,""RU"",""UK"")"),"Круг  шліф. 25А(білий) 25х5х5/35х15х8")</f>
        <v>Круг  шліф. 25А(білий) 25х5х5/35х15х8</v>
      </c>
      <c r="D519" s="15" t="s">
        <v>6</v>
      </c>
      <c r="E519" s="15" t="s">
        <v>740</v>
      </c>
      <c r="F519" s="91" t="s">
        <v>682</v>
      </c>
      <c r="G519" s="4"/>
      <c r="H519" s="4"/>
      <c r="I519" s="4"/>
    </row>
    <row r="520" spans="1:9" ht="15">
      <c r="A520" s="21">
        <f t="shared" si="9"/>
        <v>43</v>
      </c>
      <c r="B520" s="14" t="s">
        <v>741</v>
      </c>
      <c r="C520" s="85" t="str">
        <f ca="1">IFERROR(__xludf.DUMMYFUNCTION("GOOGLETRANSLATE(B520:B535,""RU"",""UK"")"),"Круг  шліфів. полірувальний гнучкий 63х6х10")</f>
        <v>Круг  шліфів. полірувальний гнучкий 63х6х10</v>
      </c>
      <c r="D520" s="15" t="s">
        <v>6</v>
      </c>
      <c r="E520" s="15">
        <v>6</v>
      </c>
      <c r="F520" s="91" t="s">
        <v>292</v>
      </c>
      <c r="G520" s="4"/>
      <c r="H520" s="4"/>
      <c r="I520" s="4"/>
    </row>
    <row r="521" spans="1:9" ht="15">
      <c r="A521" s="21">
        <f t="shared" si="9"/>
        <v>44</v>
      </c>
      <c r="B521" s="14" t="s">
        <v>742</v>
      </c>
      <c r="C521" s="85" t="str">
        <f ca="1">IFERROR(__xludf.DUMMYFUNCTION("GOOGLETRANSLATE(B521:B536,""RU"",""UK"")"),"Круг  шліф. 25А(білий) 63х8х20/63х10х20")</f>
        <v>Круг  шліф. 25А(білий) 63х8х20/63х10х20</v>
      </c>
      <c r="D521" s="15" t="s">
        <v>6</v>
      </c>
      <c r="E521" s="15" t="s">
        <v>743</v>
      </c>
      <c r="F521" s="91" t="s">
        <v>248</v>
      </c>
      <c r="G521" s="4"/>
      <c r="H521" s="4"/>
      <c r="I521" s="4"/>
    </row>
    <row r="522" spans="1:9" ht="15">
      <c r="A522" s="21">
        <f t="shared" si="9"/>
        <v>45</v>
      </c>
      <c r="B522" s="14" t="s">
        <v>744</v>
      </c>
      <c r="C522" s="85" t="str">
        <f ca="1">IFERROR(__xludf.DUMMYFUNCTION("GOOGLETRANSLATE(B522:B537,""RU"",""UK"")"),"Круг  шліф. 39А 72х30х20")</f>
        <v>Круг  шліф. 39А 72х30х20</v>
      </c>
      <c r="D522" s="15" t="s">
        <v>6</v>
      </c>
      <c r="E522" s="15">
        <v>1</v>
      </c>
      <c r="F522" s="91" t="s">
        <v>183</v>
      </c>
      <c r="G522" s="4"/>
      <c r="H522" s="4"/>
      <c r="I522" s="4"/>
    </row>
    <row r="523" spans="1:9" ht="15">
      <c r="A523" s="21">
        <f t="shared" si="9"/>
        <v>46</v>
      </c>
      <c r="B523" s="14" t="s">
        <v>745</v>
      </c>
      <c r="C523" s="85" t="str">
        <f ca="1">IFERROR(__xludf.DUMMYFUNCTION("GOOGLETRANSLATE(B523:B538,""RU"",""UK"")"),"Круг  шліф. 25А(білий) 80х10х20")</f>
        <v>Круг  шліф. 25А(білий) 80х10х20</v>
      </c>
      <c r="D523" s="15" t="s">
        <v>6</v>
      </c>
      <c r="E523" s="15">
        <v>14</v>
      </c>
      <c r="F523" s="91" t="s">
        <v>304</v>
      </c>
      <c r="G523" s="4"/>
      <c r="H523" s="4"/>
      <c r="I523" s="4"/>
    </row>
    <row r="524" spans="1:9" ht="15">
      <c r="A524" s="21">
        <f t="shared" si="9"/>
        <v>47</v>
      </c>
      <c r="B524" s="14" t="s">
        <v>746</v>
      </c>
      <c r="C524" s="85" t="str">
        <f ca="1">IFERROR(__xludf.DUMMYFUNCTION("GOOGLETRANSLATE(B524:B539,""RU"",""UK"")"),"Круг  шліф. 25А (білий) 80х13х20/80х20х20 40п ст1")</f>
        <v>Круг  шліф. 25А (білий) 80х13х20/80х20х20 40п ст1</v>
      </c>
      <c r="D524" s="15" t="s">
        <v>6</v>
      </c>
      <c r="E524" s="15" t="s">
        <v>747</v>
      </c>
      <c r="F524" s="91" t="s">
        <v>201</v>
      </c>
      <c r="G524" s="4"/>
      <c r="H524" s="4"/>
      <c r="I524" s="4"/>
    </row>
    <row r="525" spans="1:9" ht="15">
      <c r="A525" s="21">
        <f t="shared" si="9"/>
        <v>48</v>
      </c>
      <c r="B525" s="14" t="s">
        <v>748</v>
      </c>
      <c r="C525" s="85" t="str">
        <f ca="1">IFERROR(__xludf.DUMMYFUNCTION("GOOGLETRANSLATE(B525:B540,""RU"",""UK"")"),"Круг  шліф. 25А(білий) 80х50х20/39А 80х40х20")</f>
        <v>Круг  шліф. 25А(білий) 80х50х20/39А 80х40х20</v>
      </c>
      <c r="D525" s="15" t="s">
        <v>6</v>
      </c>
      <c r="E525" s="15" t="s">
        <v>749</v>
      </c>
      <c r="F525" s="91" t="s">
        <v>104</v>
      </c>
      <c r="G525" s="4"/>
      <c r="H525" s="4"/>
      <c r="I525" s="4"/>
    </row>
    <row r="526" spans="1:9" ht="15">
      <c r="A526" s="21">
        <f t="shared" si="9"/>
        <v>49</v>
      </c>
      <c r="B526" s="14" t="s">
        <v>750</v>
      </c>
      <c r="C526" s="85" t="str">
        <f ca="1">IFERROR(__xludf.DUMMYFUNCTION("GOOGLETRANSLATE(B526:B541,""RU"",""UK"")"),"Круг  шліф. 92А(бузковий) 80х60х20F46СМ1")</f>
        <v>Круг  шліф. 92А(бузковий) 80х60х20F46СМ1</v>
      </c>
      <c r="D526" s="15" t="s">
        <v>6</v>
      </c>
      <c r="E526" s="15">
        <v>4</v>
      </c>
      <c r="F526" s="91" t="s">
        <v>338</v>
      </c>
      <c r="G526" s="4"/>
      <c r="H526" s="4"/>
      <c r="I526" s="4"/>
    </row>
    <row r="527" spans="1:9" ht="15">
      <c r="A527" s="21">
        <f t="shared" si="9"/>
        <v>50</v>
      </c>
      <c r="B527" s="14" t="s">
        <v>751</v>
      </c>
      <c r="C527" s="85" t="str">
        <f ca="1">IFERROR(__xludf.DUMMYFUNCTION("GOOGLETRANSLATE(B527:B542,""RU"",""UK"")"),"Круг  шліф. 34А 80х60х20F46СМ1")</f>
        <v>Круг  шліф. 34А 80х60х20F46СМ1</v>
      </c>
      <c r="D527" s="15" t="s">
        <v>6</v>
      </c>
      <c r="E527" s="15">
        <v>2</v>
      </c>
      <c r="F527" s="91" t="s">
        <v>338</v>
      </c>
      <c r="G527" s="4"/>
      <c r="H527" s="4"/>
      <c r="I527" s="4"/>
    </row>
    <row r="528" spans="1:9" ht="15">
      <c r="A528" s="21">
        <f t="shared" si="9"/>
        <v>51</v>
      </c>
      <c r="B528" s="14" t="s">
        <v>752</v>
      </c>
      <c r="C528" s="85" t="str">
        <f ca="1">IFERROR(__xludf.DUMMYFUNCTION("GOOGLETRANSLATE(B528:B543,""RU"",""UK"")"),"Круг  шліф. 24А 80х60х20 (внутр.50х30)")</f>
        <v>Круг  шліф. 24А 80х60х20 (внутр.50х30)</v>
      </c>
      <c r="D528" s="15" t="s">
        <v>6</v>
      </c>
      <c r="E528" s="15">
        <v>4</v>
      </c>
      <c r="F528" s="91" t="s">
        <v>338</v>
      </c>
      <c r="G528" s="4"/>
      <c r="H528" s="4"/>
      <c r="I528" s="4"/>
    </row>
    <row r="529" spans="1:9" ht="15">
      <c r="A529" s="21">
        <f t="shared" si="9"/>
        <v>52</v>
      </c>
      <c r="B529" s="14" t="s">
        <v>753</v>
      </c>
      <c r="C529" s="85" t="str">
        <f ca="1">IFERROR(__xludf.DUMMYFUNCTION("GOOGLETRANSLATE(B529:B544,""RU"",""UK"")"),"Круг  шліф. 25А(білий) 100х13х20")</f>
        <v>Круг  шліф. 25А(білий) 100х13х20</v>
      </c>
      <c r="D529" s="15" t="s">
        <v>6</v>
      </c>
      <c r="E529" s="15">
        <v>20</v>
      </c>
      <c r="F529" s="91" t="s">
        <v>319</v>
      </c>
      <c r="G529" s="4"/>
      <c r="H529" s="4"/>
      <c r="I529" s="4"/>
    </row>
    <row r="530" spans="1:9" ht="15">
      <c r="A530" s="21">
        <f t="shared" si="9"/>
        <v>53</v>
      </c>
      <c r="B530" s="14" t="s">
        <v>754</v>
      </c>
      <c r="C530" s="85" t="str">
        <f ca="1">IFERROR(__xludf.DUMMYFUNCTION("GOOGLETRANSLATE(B530:B545,""RU"",""UK"")"),"Круг  шліф. 25А (білий) 100х20х20/100х40х20")</f>
        <v>Круг  шліф. 25А (білий) 100х20х20/100х40х20</v>
      </c>
      <c r="D530" s="15" t="s">
        <v>6</v>
      </c>
      <c r="E530" s="15" t="s">
        <v>755</v>
      </c>
      <c r="F530" s="91" t="s">
        <v>119</v>
      </c>
      <c r="G530" s="4"/>
      <c r="H530" s="4"/>
      <c r="I530" s="4"/>
    </row>
    <row r="531" spans="1:9" ht="15">
      <c r="A531" s="21">
        <f t="shared" si="9"/>
        <v>54</v>
      </c>
      <c r="B531" s="14" t="s">
        <v>756</v>
      </c>
      <c r="C531" s="85" t="str">
        <f ca="1">IFERROR(__xludf.DUMMYFUNCTION("GOOGLETRANSLATE(B531:B546,""RU"",""UK"")"),"Круг  шліф. 25А(білий) 100х50х20")</f>
        <v>Круг  шліф. 25А(білий) 100х50х20</v>
      </c>
      <c r="D531" s="15" t="s">
        <v>6</v>
      </c>
      <c r="E531" s="15">
        <v>2</v>
      </c>
      <c r="F531" s="91" t="s">
        <v>327</v>
      </c>
      <c r="G531" s="4"/>
      <c r="H531" s="4"/>
      <c r="I531" s="4"/>
    </row>
    <row r="532" spans="1:9" ht="15">
      <c r="A532" s="21">
        <f t="shared" si="9"/>
        <v>55</v>
      </c>
      <c r="B532" s="14" t="s">
        <v>757</v>
      </c>
      <c r="C532" s="85" t="str">
        <f ca="1">IFERROR(__xludf.DUMMYFUNCTION("GOOGLETRANSLATE(B532:B547,""RU"",""UK"")"),"Круг  шліф. 25А(білий) 125х6х20")</f>
        <v>Круг  шліф. 25А(білий) 125х6х20</v>
      </c>
      <c r="D532" s="15" t="s">
        <v>6</v>
      </c>
      <c r="E532" s="15">
        <v>12</v>
      </c>
      <c r="F532" s="91" t="s">
        <v>338</v>
      </c>
      <c r="G532" s="4"/>
      <c r="H532" s="4"/>
      <c r="I532" s="4"/>
    </row>
    <row r="533" spans="1:9" ht="15">
      <c r="A533" s="21">
        <f t="shared" si="9"/>
        <v>56</v>
      </c>
      <c r="B533" s="14" t="s">
        <v>758</v>
      </c>
      <c r="C533" s="85" t="str">
        <f ca="1">IFERROR(__xludf.DUMMYFUNCTION("GOOGLETRANSLATE(B533:B548,""RU"",""UK"")"),"Круг  шліф. 14А (вулканіт) 125х3х32")</f>
        <v>Круг  шліф. 14А (вулканіт) 125х3х32</v>
      </c>
      <c r="D533" s="15" t="s">
        <v>6</v>
      </c>
      <c r="E533" s="15">
        <v>1</v>
      </c>
      <c r="F533" s="91" t="s">
        <v>255</v>
      </c>
      <c r="G533" s="4"/>
      <c r="H533" s="4"/>
      <c r="I533" s="4"/>
    </row>
    <row r="534" spans="1:9" ht="15">
      <c r="A534" s="21">
        <f t="shared" si="9"/>
        <v>57</v>
      </c>
      <c r="B534" s="16" t="s">
        <v>759</v>
      </c>
      <c r="C534" s="85" t="str">
        <f ca="1">IFERROR(__xludf.DUMMYFUNCTION("GOOGLETRANSLATE(B534:B549,""RU"",""UK"")"),"Круг  шліф. 14А40П (F46) (сірий) 125х20х32 СМ2")</f>
        <v>Круг  шліф. 14А40П (F46) (сірий) 125х20х32 СМ2</v>
      </c>
      <c r="D534" s="15" t="s">
        <v>6</v>
      </c>
      <c r="E534" s="15">
        <v>10</v>
      </c>
      <c r="F534" s="91" t="s">
        <v>760</v>
      </c>
      <c r="G534" s="4"/>
      <c r="H534" s="4"/>
      <c r="I534" s="4"/>
    </row>
    <row r="535" spans="1:9" ht="15">
      <c r="A535" s="21">
        <f t="shared" si="9"/>
        <v>58</v>
      </c>
      <c r="B535" s="16" t="s">
        <v>761</v>
      </c>
      <c r="C535" s="85" t="str">
        <f ca="1">IFERROR(__xludf.DUMMYFUNCTION("GOOGLETRANSLATE(B535:B550,""RU"",""UK"")"),"Круг  шліф.64С25П (зелене) 125х20х32")</f>
        <v>Круг  шліф.64С25П (зелене) 125х20х32</v>
      </c>
      <c r="D535" s="15" t="s">
        <v>6</v>
      </c>
      <c r="E535" s="15">
        <v>1</v>
      </c>
      <c r="F535" s="91" t="s">
        <v>760</v>
      </c>
      <c r="G535" s="4"/>
      <c r="H535" s="4"/>
      <c r="I535" s="4"/>
    </row>
    <row r="536" spans="1:9" ht="15">
      <c r="A536" s="21">
        <f t="shared" si="9"/>
        <v>59</v>
      </c>
      <c r="B536" s="16" t="s">
        <v>762</v>
      </c>
      <c r="C536" s="85" t="str">
        <f ca="1">IFERROR(__xludf.DUMMYFUNCTION("GOOGLETRANSLATE(B536:B551,""RU"",""UK"")"),"Круг  шліф. 64С25П 125х25х32")</f>
        <v>Круг  шліф. 64С25П 125х25х32</v>
      </c>
      <c r="D536" s="15" t="s">
        <v>6</v>
      </c>
      <c r="E536" s="15">
        <v>4</v>
      </c>
      <c r="F536" s="91" t="s">
        <v>20</v>
      </c>
      <c r="G536" s="4"/>
      <c r="H536" s="4"/>
      <c r="I536" s="4"/>
    </row>
    <row r="537" spans="1:9" ht="15">
      <c r="A537" s="21">
        <f t="shared" si="9"/>
        <v>60</v>
      </c>
      <c r="B537" s="16" t="s">
        <v>763</v>
      </c>
      <c r="C537" s="85" t="str">
        <f ca="1">IFERROR(__xludf.DUMMYFUNCTION("GOOGLETRANSLATE(B537:B552,""RU"",""UK"")"),"Круг  шліф. 25А40П (біле) 125х20х32")</f>
        <v>Круг  шліф. 25А40П (біле) 125х20х32</v>
      </c>
      <c r="D537" s="15" t="s">
        <v>6</v>
      </c>
      <c r="E537" s="15">
        <v>11</v>
      </c>
      <c r="F537" s="91" t="s">
        <v>760</v>
      </c>
      <c r="G537" s="4"/>
      <c r="H537" s="4"/>
      <c r="I537" s="4"/>
    </row>
    <row r="538" spans="1:9" ht="15">
      <c r="A538" s="21">
        <f t="shared" si="9"/>
        <v>61</v>
      </c>
      <c r="B538" s="16" t="s">
        <v>764</v>
      </c>
      <c r="C538" s="85" t="str">
        <f ca="1">IFERROR(__xludf.DUMMYFUNCTION("GOOGLETRANSLATE(B538:B553,""RU"",""UK"")"),"Круг  шліф. 92А40П (біле) 125х25х32 СМ1")</f>
        <v>Круг  шліф. 92А40П (біле) 125х25х32 СМ1</v>
      </c>
      <c r="D538" s="15" t="s">
        <v>6</v>
      </c>
      <c r="E538" s="15">
        <v>1</v>
      </c>
      <c r="F538" s="91" t="s">
        <v>20</v>
      </c>
      <c r="G538" s="4"/>
      <c r="H538" s="4"/>
      <c r="I538" s="4"/>
    </row>
    <row r="539" spans="1:9" ht="15">
      <c r="A539" s="21">
        <f t="shared" si="9"/>
        <v>62</v>
      </c>
      <c r="B539" s="14" t="s">
        <v>765</v>
      </c>
      <c r="C539" s="85" t="str">
        <f ca="1">IFERROR(__xludf.DUMMYFUNCTION("GOOGLETRANSLATE(B539:B554,""RU"",""UK"")"),"Круг  шліф. 14А(вулканіт) 150х3х32/150х4х32/150х6х32")</f>
        <v>Круг  шліф. 14А(вулканіт) 150х3х32/150х4х32/150х6х32</v>
      </c>
      <c r="D539" s="15" t="s">
        <v>6</v>
      </c>
      <c r="E539" s="15" t="s">
        <v>766</v>
      </c>
      <c r="F539" s="91" t="s">
        <v>255</v>
      </c>
      <c r="G539" s="4"/>
      <c r="H539" s="4"/>
      <c r="I539" s="4"/>
    </row>
    <row r="540" spans="1:9" ht="15">
      <c r="A540" s="21">
        <f t="shared" si="9"/>
        <v>63</v>
      </c>
      <c r="B540" s="14" t="s">
        <v>767</v>
      </c>
      <c r="C540" s="85" t="str">
        <f ca="1">IFERROR(__xludf.DUMMYFUNCTION("GOOGLETRANSLATE(B540:B555,""RU"",""UK"")"),"Круг  шліф. 25А (біле) 150х6х32")</f>
        <v>Круг  шліф. 25А (біле) 150х6х32</v>
      </c>
      <c r="D540" s="15" t="s">
        <v>6</v>
      </c>
      <c r="E540" s="15">
        <v>37</v>
      </c>
      <c r="F540" s="91" t="s">
        <v>319</v>
      </c>
      <c r="G540" s="4"/>
      <c r="H540" s="4"/>
      <c r="I540" s="4"/>
    </row>
    <row r="541" spans="1:9" ht="15">
      <c r="A541" s="21">
        <f t="shared" si="9"/>
        <v>64</v>
      </c>
      <c r="B541" s="14" t="s">
        <v>768</v>
      </c>
      <c r="C541" s="85" t="str">
        <f ca="1">IFERROR(__xludf.DUMMYFUNCTION("GOOGLETRANSLATE(B541:B556,""RU"",""UK"")"),"Круг  шліф. 25А (біле) 150х8х32")</f>
        <v>Круг  шліф. 25А (біле) 150х8х32</v>
      </c>
      <c r="D541" s="15" t="s">
        <v>6</v>
      </c>
      <c r="E541" s="15">
        <v>9</v>
      </c>
      <c r="F541" s="91" t="s">
        <v>119</v>
      </c>
      <c r="G541" s="4"/>
      <c r="H541" s="4"/>
      <c r="I541" s="4"/>
    </row>
    <row r="542" spans="1:9" ht="15">
      <c r="A542" s="21">
        <f t="shared" si="9"/>
        <v>65</v>
      </c>
      <c r="B542" s="14" t="s">
        <v>769</v>
      </c>
      <c r="C542" s="85" t="str">
        <f ca="1">IFERROR(__xludf.DUMMYFUNCTION("GOOGLETRANSLATE(B542:B557,""RU"",""UK"")"),"Круг  шліф.25А (біле) 150х10х32")</f>
        <v>Круг  шліф.25А (біле) 150х10х32</v>
      </c>
      <c r="D542" s="15" t="s">
        <v>6</v>
      </c>
      <c r="E542" s="15">
        <v>13</v>
      </c>
      <c r="F542" s="91" t="s">
        <v>327</v>
      </c>
      <c r="G542" s="4"/>
      <c r="H542" s="4"/>
      <c r="I542" s="4"/>
    </row>
    <row r="543" spans="1:9" ht="15">
      <c r="A543" s="21">
        <f t="shared" si="9"/>
        <v>66</v>
      </c>
      <c r="B543" s="14" t="s">
        <v>770</v>
      </c>
      <c r="C543" s="85" t="str">
        <f ca="1">IFERROR(__xludf.DUMMYFUNCTION("GOOGLETRANSLATE(B543:B558,""RU"",""UK"")"),"Круг  шліф. 25А25П С1/СМ1 150х13х32")</f>
        <v>Круг  шліф. 25А25П С1/СМ1 150х13х32</v>
      </c>
      <c r="D543" s="15" t="s">
        <v>6</v>
      </c>
      <c r="E543" s="15" t="s">
        <v>771</v>
      </c>
      <c r="F543" s="91" t="s">
        <v>140</v>
      </c>
      <c r="G543" s="4"/>
      <c r="H543" s="4"/>
      <c r="I543" s="4"/>
    </row>
    <row r="544" spans="1:9" ht="15">
      <c r="A544" s="21">
        <f t="shared" ref="A544:A607" si="10">A543+1</f>
        <v>67</v>
      </c>
      <c r="B544" s="14" t="s">
        <v>772</v>
      </c>
      <c r="C544" s="85" t="str">
        <f ca="1">IFERROR(__xludf.DUMMYFUNCTION("GOOGLETRANSLATE(B544:B559,""RU"",""UK"")"),"Круг  шліф. 25А25Псм1 150х16х32")</f>
        <v>Круг  шліф. 25А25Псм1 150х16х32</v>
      </c>
      <c r="D544" s="15" t="s">
        <v>6</v>
      </c>
      <c r="E544" s="15">
        <v>2</v>
      </c>
      <c r="F544" s="91" t="s">
        <v>20</v>
      </c>
      <c r="G544" s="4"/>
      <c r="H544" s="4"/>
      <c r="I544" s="4"/>
    </row>
    <row r="545" spans="1:9" ht="15">
      <c r="A545" s="21">
        <f t="shared" si="10"/>
        <v>68</v>
      </c>
      <c r="B545" s="14" t="s">
        <v>773</v>
      </c>
      <c r="C545" s="85" t="str">
        <f ca="1">IFERROR(__xludf.DUMMYFUNCTION("GOOGLETRANSLATE(B545:B560,""RU"",""UK"")"),"Круг  шліф. 25А 25П/40П (білий) 150х20х32 СМ2")</f>
        <v>Круг  шліф. 25А 25П/40П (білий) 150х20х32 СМ2</v>
      </c>
      <c r="D545" s="15" t="s">
        <v>6</v>
      </c>
      <c r="E545" s="15" t="s">
        <v>774</v>
      </c>
      <c r="F545" s="91" t="s">
        <v>24</v>
      </c>
      <c r="G545" s="4"/>
      <c r="H545" s="4"/>
      <c r="I545" s="4"/>
    </row>
    <row r="546" spans="1:9" ht="15">
      <c r="A546" s="21">
        <f t="shared" si="10"/>
        <v>69</v>
      </c>
      <c r="B546" s="14" t="s">
        <v>775</v>
      </c>
      <c r="C546" s="85" t="str">
        <f ca="1">IFERROR(__xludf.DUMMYFUNCTION("GOOGLETRANSLATE(B546:B561,""RU"",""UK"")"),"Круг  шліф. 25А 40П (біле) 150х25х32 СМ2/СТ2")</f>
        <v>Круг  шліф. 25А 40П (біле) 150х25х32 СМ2/СТ2</v>
      </c>
      <c r="D546" s="15" t="s">
        <v>6</v>
      </c>
      <c r="E546" s="15" t="s">
        <v>776</v>
      </c>
      <c r="F546" s="91" t="s">
        <v>162</v>
      </c>
      <c r="G546" s="4"/>
      <c r="H546" s="4"/>
      <c r="I546" s="4"/>
    </row>
    <row r="547" spans="1:9" ht="15">
      <c r="A547" s="21">
        <f t="shared" si="10"/>
        <v>70</v>
      </c>
      <c r="B547" s="14" t="s">
        <v>777</v>
      </c>
      <c r="C547" s="85" t="str">
        <f ca="1">IFERROR(__xludf.DUMMYFUNCTION("GOOGLETRANSLATE(B547:B562,""RU"",""UK"")"),"Круг  шліф. 24А40П/25П (білий) 150х32х32")</f>
        <v>Круг  шліф. 24А40П/25П (білий) 150х32х32</v>
      </c>
      <c r="D547" s="15" t="s">
        <v>6</v>
      </c>
      <c r="E547" s="15" t="s">
        <v>778</v>
      </c>
      <c r="F547" s="91" t="s">
        <v>779</v>
      </c>
      <c r="G547" s="4"/>
      <c r="H547" s="4"/>
      <c r="I547" s="4"/>
    </row>
    <row r="548" spans="1:9" ht="15">
      <c r="A548" s="21">
        <f t="shared" si="10"/>
        <v>71</v>
      </c>
      <c r="B548" s="19" t="s">
        <v>780</v>
      </c>
      <c r="C548" s="85" t="str">
        <f ca="1">IFERROR(__xludf.DUMMYFUNCTION("GOOGLETRANSLATE(B548:B563,""RU"",""UK"")"),"Круг  шліф. 64С 40П 150х20х32")</f>
        <v>Круг  шліф. 64С 40П 150х20х32</v>
      </c>
      <c r="D548" s="15" t="s">
        <v>6</v>
      </c>
      <c r="E548" s="15">
        <v>0</v>
      </c>
      <c r="F548" s="91" t="s">
        <v>631</v>
      </c>
      <c r="G548" s="4"/>
      <c r="H548" s="4"/>
      <c r="I548" s="4"/>
    </row>
    <row r="549" spans="1:9" ht="15">
      <c r="A549" s="21">
        <f t="shared" si="10"/>
        <v>72</v>
      </c>
      <c r="B549" s="34" t="s">
        <v>781</v>
      </c>
      <c r="C549" s="85" t="str">
        <f ca="1">IFERROR(__xludf.DUMMYFUNCTION("GOOGLETRANSLATE(B549:B564,""RU"",""UK"")"),"Круг  шліф. 92А 40П СТ1 150х20х32")</f>
        <v>Круг  шліф. 92А 40П СТ1 150х20х32</v>
      </c>
      <c r="D549" s="35" t="s">
        <v>6</v>
      </c>
      <c r="E549" s="35">
        <v>2</v>
      </c>
      <c r="F549" s="96" t="s">
        <v>24</v>
      </c>
      <c r="G549" s="4"/>
      <c r="H549" s="4"/>
      <c r="I549" s="4"/>
    </row>
    <row r="550" spans="1:9" ht="15">
      <c r="A550" s="21">
        <f t="shared" si="10"/>
        <v>73</v>
      </c>
      <c r="B550" s="36" t="s">
        <v>782</v>
      </c>
      <c r="C550" s="85" t="str">
        <f ca="1">IFERROR(__xludf.DUMMYFUNCTION("GOOGLETRANSLATE(B550:B565,""RU"",""UK"")"),"Круг полірувальне паропластове ПФ 150х20х32")</f>
        <v>Круг полірувальне паропластове ПФ 150х20х32</v>
      </c>
      <c r="D550" s="15" t="s">
        <v>6</v>
      </c>
      <c r="E550" s="15">
        <v>9</v>
      </c>
      <c r="F550" s="91" t="s">
        <v>760</v>
      </c>
      <c r="G550" s="4"/>
      <c r="H550" s="4"/>
      <c r="I550" s="4"/>
    </row>
    <row r="551" spans="1:9" ht="15">
      <c r="A551" s="21">
        <f t="shared" si="10"/>
        <v>74</v>
      </c>
      <c r="B551" s="16" t="s">
        <v>783</v>
      </c>
      <c r="C551" s="85" t="str">
        <f ca="1">IFERROR(__xludf.DUMMYFUNCTION("GOOGLETRANSLATE(B551:B566,""RU"",""UK"")"),"Круг  шліф. 14А 40П (46F) 150х20х32 СМ2")</f>
        <v>Круг  шліф. 14А 40П (46F) 150х20х32 СМ2</v>
      </c>
      <c r="D551" s="15" t="s">
        <v>6</v>
      </c>
      <c r="E551" s="15">
        <v>2</v>
      </c>
      <c r="F551" s="91" t="s">
        <v>140</v>
      </c>
      <c r="G551" s="4"/>
      <c r="H551" s="4"/>
      <c r="I551" s="4"/>
    </row>
    <row r="552" spans="1:9" ht="15">
      <c r="A552" s="21">
        <f t="shared" si="10"/>
        <v>75</v>
      </c>
      <c r="B552" s="16" t="s">
        <v>784</v>
      </c>
      <c r="C552" s="85" t="str">
        <f ca="1">IFERROR(__xludf.DUMMYFUNCTION("GOOGLETRANSLATE(B552:B567,""RU"",""UK"")"),"Круг  шліф. 14А 40П (46F) 150х25х32 СМ2")</f>
        <v>Круг  шліф. 14А 40П (46F) 150х25х32 СМ2</v>
      </c>
      <c r="D552" s="15" t="s">
        <v>6</v>
      </c>
      <c r="E552" s="15">
        <v>6</v>
      </c>
      <c r="F552" s="91" t="s">
        <v>20</v>
      </c>
      <c r="G552" s="4"/>
      <c r="H552" s="4"/>
      <c r="I552" s="4"/>
    </row>
    <row r="553" spans="1:9" ht="15">
      <c r="A553" s="21">
        <f t="shared" si="10"/>
        <v>76</v>
      </c>
      <c r="B553" s="14" t="s">
        <v>785</v>
      </c>
      <c r="C553" s="85" t="str">
        <f ca="1">IFERROR(__xludf.DUMMYFUNCTION("GOOGLETRANSLATE(B553:B568,""RU"",""UK"")"),"Круг  шліф. 14А обдир. 150х25х32 бакеліт")</f>
        <v>Круг  шліф. 14А обдир. 150х25х32 бакеліт</v>
      </c>
      <c r="D553" s="15" t="s">
        <v>6</v>
      </c>
      <c r="E553" s="15">
        <v>6</v>
      </c>
      <c r="F553" s="91" t="s">
        <v>140</v>
      </c>
      <c r="G553" s="4"/>
      <c r="H553" s="4"/>
      <c r="I553" s="4"/>
    </row>
    <row r="554" spans="1:9" ht="15">
      <c r="A554" s="21">
        <f t="shared" si="10"/>
        <v>77</v>
      </c>
      <c r="B554" s="14" t="s">
        <v>786</v>
      </c>
      <c r="C554" s="85" t="str">
        <f ca="1">IFERROR(__xludf.DUMMYFUNCTION("GOOGLETRANSLATE(B554:B569,""RU"",""UK"")"),"Круг  шліф. 14А 150х32х32")</f>
        <v>Круг  шліф. 14А 150х32х32</v>
      </c>
      <c r="D554" s="15" t="s">
        <v>6</v>
      </c>
      <c r="E554" s="15">
        <v>23</v>
      </c>
      <c r="F554" s="91" t="s">
        <v>24</v>
      </c>
      <c r="G554" s="4"/>
      <c r="H554" s="4"/>
      <c r="I554" s="4"/>
    </row>
    <row r="555" spans="1:9" ht="15">
      <c r="A555" s="21">
        <f t="shared" si="10"/>
        <v>78</v>
      </c>
      <c r="B555" s="14" t="s">
        <v>787</v>
      </c>
      <c r="C555" s="85" t="str">
        <f ca="1">IFERROR(__xludf.DUMMYFUNCTION("GOOGLETRANSLATE(B555:B570,""RU"",""UK"")"),"Круг  шліф. 64С 150х32х32")</f>
        <v>Круг  шліф. 64С 150х32х32</v>
      </c>
      <c r="D555" s="15" t="s">
        <v>6</v>
      </c>
      <c r="E555" s="15">
        <v>2</v>
      </c>
      <c r="F555" s="91" t="s">
        <v>16</v>
      </c>
      <c r="G555" s="4"/>
      <c r="H555" s="4"/>
      <c r="I555" s="4"/>
    </row>
    <row r="556" spans="1:9" ht="15">
      <c r="A556" s="21">
        <f t="shared" si="10"/>
        <v>79</v>
      </c>
      <c r="B556" s="14" t="s">
        <v>788</v>
      </c>
      <c r="C556" s="85" t="str">
        <f ca="1">IFERROR(__xludf.DUMMYFUNCTION("GOOGLETRANSLATE(B556:B571,""RU"",""UK"")"),"Круг  шліф. 14С 40СМ 175х16х32")</f>
        <v>Круг  шліф. 14С 40СМ 175х16х32</v>
      </c>
      <c r="D556" s="15" t="s">
        <v>6</v>
      </c>
      <c r="E556" s="15">
        <v>4</v>
      </c>
      <c r="F556" s="91" t="s">
        <v>140</v>
      </c>
      <c r="G556" s="4"/>
      <c r="H556" s="4"/>
      <c r="I556" s="4"/>
    </row>
    <row r="557" spans="1:9" ht="15">
      <c r="A557" s="21">
        <f t="shared" si="10"/>
        <v>80</v>
      </c>
      <c r="B557" s="14" t="s">
        <v>789</v>
      </c>
      <c r="C557" s="85" t="str">
        <f ca="1">IFERROR(__xludf.DUMMYFUNCTION("GOOGLETRANSLATE(B557:B572,""RU"",""UK"")"),"Круг  шліф. 14А F46 (40)СМ2 (сірий) 175х20х32")</f>
        <v>Круг  шліф. 14А F46 (40)СМ2 (сірий) 175х20х32</v>
      </c>
      <c r="D557" s="15" t="s">
        <v>6</v>
      </c>
      <c r="E557" s="15">
        <v>4</v>
      </c>
      <c r="F557" s="91" t="s">
        <v>24</v>
      </c>
      <c r="G557" s="4"/>
      <c r="H557" s="4"/>
      <c r="I557" s="4"/>
    </row>
    <row r="558" spans="1:9" ht="15">
      <c r="A558" s="21">
        <f t="shared" si="10"/>
        <v>81</v>
      </c>
      <c r="B558" s="14" t="s">
        <v>790</v>
      </c>
      <c r="C558" s="85" t="str">
        <f ca="1">IFERROR(__xludf.DUMMYFUNCTION("GOOGLETRANSLATE(B558:B573,""RU"",""UK"")"),"Круг  шліф. 14А 40 СМ (сірий) 175х25х32")</f>
        <v>Круг  шліф. 14А 40 СМ (сірий) 175х25х32</v>
      </c>
      <c r="D558" s="15" t="s">
        <v>6</v>
      </c>
      <c r="E558" s="15">
        <v>21</v>
      </c>
      <c r="F558" s="91" t="s">
        <v>162</v>
      </c>
      <c r="G558" s="4"/>
      <c r="H558" s="4"/>
      <c r="I558" s="4"/>
    </row>
    <row r="559" spans="1:9" ht="15">
      <c r="A559" s="21">
        <f t="shared" si="10"/>
        <v>82</v>
      </c>
      <c r="B559" s="14" t="s">
        <v>791</v>
      </c>
      <c r="C559" s="85" t="str">
        <f ca="1">IFERROR(__xludf.DUMMYFUNCTION("GOOGLETRANSLATE(B559:B574,""RU"",""UK"")"),"Круг  шліф. 25А 40СМ 175х8х32")</f>
        <v>Круг  шліф. 25А 40СМ 175х8х32</v>
      </c>
      <c r="D559" s="15" t="s">
        <v>6</v>
      </c>
      <c r="E559" s="15">
        <v>1</v>
      </c>
      <c r="F559" s="91" t="s">
        <v>140</v>
      </c>
      <c r="G559" s="4"/>
      <c r="H559" s="4"/>
      <c r="I559" s="4"/>
    </row>
    <row r="560" spans="1:9" ht="15">
      <c r="A560" s="21">
        <f t="shared" si="10"/>
        <v>83</v>
      </c>
      <c r="B560" s="14" t="s">
        <v>792</v>
      </c>
      <c r="C560" s="85" t="str">
        <f ca="1">IFERROR(__xludf.DUMMYFUNCTION("GOOGLETRANSLATE(B560:B575,""RU"",""UK"")"),"Круг  шліф. 25А 40СМ /23ПСМ1 175х14х32")</f>
        <v>Круг  шліф. 25А 40СМ /23ПСМ1 175х14х32</v>
      </c>
      <c r="D560" s="15" t="s">
        <v>6</v>
      </c>
      <c r="E560" s="15" t="s">
        <v>793</v>
      </c>
      <c r="F560" s="91" t="s">
        <v>20</v>
      </c>
      <c r="G560" s="4"/>
      <c r="H560" s="4"/>
      <c r="I560" s="4"/>
    </row>
    <row r="561" spans="1:9" ht="15">
      <c r="A561" s="21">
        <f t="shared" si="10"/>
        <v>84</v>
      </c>
      <c r="B561" s="14" t="s">
        <v>794</v>
      </c>
      <c r="C561" s="85" t="str">
        <f ca="1">IFERROR(__xludf.DUMMYFUNCTION("GOOGLETRANSLATE(B561:B576,""RU"",""UK"")"),"Круг  шліф. 25А 40СМ2 175х20х32")</f>
        <v>Круг  шліф. 25А 40СМ2 175х20х32</v>
      </c>
      <c r="D561" s="15" t="s">
        <v>6</v>
      </c>
      <c r="E561" s="15">
        <v>25</v>
      </c>
      <c r="F561" s="91" t="s">
        <v>162</v>
      </c>
      <c r="G561" s="4"/>
      <c r="H561" s="4"/>
      <c r="I561" s="4"/>
    </row>
    <row r="562" spans="1:9" ht="15">
      <c r="A562" s="21">
        <f t="shared" si="10"/>
        <v>85</v>
      </c>
      <c r="B562" s="34" t="s">
        <v>795</v>
      </c>
      <c r="C562" s="85" t="str">
        <f ca="1">IFERROR(__xludf.DUMMYFUNCTION("GOOGLETRANSLATE(B562:B577,""RU"",""UK"")"),"Круг  шліф. 92А 25П 175х32х32")</f>
        <v>Круг  шліф. 92А 25П 175х32х32</v>
      </c>
      <c r="D562" s="35" t="s">
        <v>6</v>
      </c>
      <c r="E562" s="35">
        <v>25</v>
      </c>
      <c r="F562" s="96" t="s">
        <v>106</v>
      </c>
      <c r="G562" s="4"/>
      <c r="H562" s="4"/>
      <c r="I562" s="4"/>
    </row>
    <row r="563" spans="1:9" ht="15">
      <c r="A563" s="21">
        <f t="shared" si="10"/>
        <v>86</v>
      </c>
      <c r="B563" s="14" t="s">
        <v>796</v>
      </c>
      <c r="C563" s="85" t="str">
        <f ca="1">IFERROR(__xludf.DUMMYFUNCTION("GOOGLETRANSLATE(B563:B578,""RU"",""UK"")"),"Круг  шліф. 54С 40СМ 175х20х32")</f>
        <v>Круг  шліф. 54С 40СМ 175х20х32</v>
      </c>
      <c r="D563" s="15" t="s">
        <v>6</v>
      </c>
      <c r="E563" s="15">
        <v>1</v>
      </c>
      <c r="F563" s="91" t="s">
        <v>162</v>
      </c>
      <c r="G563" s="4"/>
      <c r="H563" s="4"/>
      <c r="I563" s="4"/>
    </row>
    <row r="564" spans="1:9" ht="15">
      <c r="A564" s="21">
        <f t="shared" si="10"/>
        <v>87</v>
      </c>
      <c r="B564" s="14" t="s">
        <v>797</v>
      </c>
      <c r="C564" s="85" t="str">
        <f ca="1">IFERROR(__xludf.DUMMYFUNCTION("GOOGLETRANSLATE(B564:B579,""RU"",""UK"")"),"Круг  шліф. 63С 40СМ 175х10х32")</f>
        <v>Круг  шліф. 63С 40СМ 175х10х32</v>
      </c>
      <c r="D564" s="15" t="s">
        <v>6</v>
      </c>
      <c r="E564" s="15">
        <v>3</v>
      </c>
      <c r="F564" s="91" t="s">
        <v>327</v>
      </c>
      <c r="G564" s="4"/>
      <c r="H564" s="4"/>
      <c r="I564" s="4"/>
    </row>
    <row r="565" spans="1:9" ht="15">
      <c r="A565" s="21">
        <f t="shared" si="10"/>
        <v>88</v>
      </c>
      <c r="B565" s="14" t="s">
        <v>798</v>
      </c>
      <c r="C565" s="85" t="str">
        <f ca="1">IFERROR(__xludf.DUMMYFUNCTION("GOOGLETRANSLATE(B565:B580,""RU"",""UK"")"),"Круг  шліф. 63С 40 СМ 175х14х32")</f>
        <v>Круг  шліф. 63С 40 СМ 175х14х32</v>
      </c>
      <c r="D565" s="15" t="s">
        <v>6</v>
      </c>
      <c r="E565" s="15">
        <v>1</v>
      </c>
      <c r="F565" s="91" t="s">
        <v>140</v>
      </c>
      <c r="G565" s="4"/>
      <c r="H565" s="4"/>
      <c r="I565" s="4"/>
    </row>
    <row r="566" spans="1:9" ht="15">
      <c r="A566" s="21">
        <f t="shared" si="10"/>
        <v>89</v>
      </c>
      <c r="B566" s="19" t="s">
        <v>799</v>
      </c>
      <c r="C566" s="85" t="str">
        <f ca="1">IFERROR(__xludf.DUMMYFUNCTION("GOOGLETRANSLATE(B566:B581,""RU"",""UK"")"),"Круг  шліф. 64С 40СМ (зелене) 175х20х32")</f>
        <v>Круг  шліф. 64С 40СМ (зелене) 175х20х32</v>
      </c>
      <c r="D566" s="15" t="s">
        <v>6</v>
      </c>
      <c r="E566" s="15">
        <v>0</v>
      </c>
      <c r="F566" s="91" t="s">
        <v>106</v>
      </c>
      <c r="G566" s="4"/>
      <c r="H566" s="4"/>
      <c r="I566" s="4"/>
    </row>
    <row r="567" spans="1:9" ht="15">
      <c r="A567" s="21">
        <f t="shared" si="10"/>
        <v>90</v>
      </c>
      <c r="B567" s="14" t="s">
        <v>800</v>
      </c>
      <c r="C567" s="85" t="str">
        <f ca="1">IFERROR(__xludf.DUMMYFUNCTION("GOOGLETRANSLATE(B567:B582,""RU"",""UK"")"),"Круг  шліф. 14А 25СМ (сірий) 200х10х32")</f>
        <v>Круг  шліф. 14А 25СМ (сірий) 200х10х32</v>
      </c>
      <c r="D567" s="15" t="s">
        <v>6</v>
      </c>
      <c r="E567" s="15">
        <v>1</v>
      </c>
      <c r="F567" s="91" t="s">
        <v>119</v>
      </c>
      <c r="G567" s="4"/>
      <c r="H567" s="4"/>
      <c r="I567" s="4"/>
    </row>
    <row r="568" spans="1:9" ht="15">
      <c r="A568" s="21">
        <f t="shared" si="10"/>
        <v>91</v>
      </c>
      <c r="B568" s="14" t="s">
        <v>801</v>
      </c>
      <c r="C568" s="85" t="str">
        <f ca="1">IFERROR(__xludf.DUMMYFUNCTION("GOOGLETRANSLATE(B568:B583,""RU"",""UK"")"),"Круг  шліф. 25А40П 200х10х32/25А25П 200х10х32")</f>
        <v>Круг  шліф. 25А40П 200х10х32/25А25П 200х10х32</v>
      </c>
      <c r="D568" s="15" t="s">
        <v>6</v>
      </c>
      <c r="E568" s="15" t="s">
        <v>802</v>
      </c>
      <c r="F568" s="91" t="s">
        <v>140</v>
      </c>
      <c r="G568" s="4"/>
      <c r="H568" s="4"/>
      <c r="I568" s="4"/>
    </row>
    <row r="569" spans="1:9" ht="15">
      <c r="A569" s="21">
        <f t="shared" si="10"/>
        <v>92</v>
      </c>
      <c r="B569" s="14" t="s">
        <v>803</v>
      </c>
      <c r="C569" s="85" t="str">
        <f ca="1">IFERROR(__xludf.DUMMYFUNCTION("GOOGLETRANSLATE(B569:B584,""RU"",""UK"")"),"Круг  шліф. 14АБ 50Н СТ (бакеліт) 200х10х32")</f>
        <v>Круг  шліф. 14АБ 50Н СТ (бакеліт) 200х10х32</v>
      </c>
      <c r="D569" s="15" t="s">
        <v>6</v>
      </c>
      <c r="E569" s="15">
        <v>4</v>
      </c>
      <c r="F569" s="91" t="s">
        <v>119</v>
      </c>
      <c r="G569" s="4"/>
      <c r="H569" s="4"/>
      <c r="I569" s="4"/>
    </row>
    <row r="570" spans="1:9" ht="15">
      <c r="A570" s="21">
        <f t="shared" si="10"/>
        <v>93</v>
      </c>
      <c r="B570" s="14" t="s">
        <v>804</v>
      </c>
      <c r="C570" s="85" t="str">
        <f ca="1">IFERROR(__xludf.DUMMYFUNCTION("GOOGLETRANSLATE(B570:B585,""RU"",""UK"")"),"Круг  шліф. 14АБ 80Н СТ3 (бакеліт) 200х25х32")</f>
        <v>Круг  шліф. 14АБ 80Н СТ3 (бакеліт) 200х25х32</v>
      </c>
      <c r="D570" s="15" t="s">
        <v>6</v>
      </c>
      <c r="E570" s="15">
        <v>1</v>
      </c>
      <c r="F570" s="91" t="s">
        <v>24</v>
      </c>
      <c r="G570" s="4"/>
      <c r="H570" s="4"/>
      <c r="I570" s="4"/>
    </row>
    <row r="571" spans="1:9" ht="15">
      <c r="A571" s="21">
        <f t="shared" si="10"/>
        <v>94</v>
      </c>
      <c r="B571" s="16" t="s">
        <v>805</v>
      </c>
      <c r="C571" s="85" t="str">
        <f ca="1">IFERROR(__xludf.DUMMYFUNCTION("GOOGLETRANSLATE(B571:B586,""RU"",""UK"")"),"Круг  шліф. 64С 25П К 200х20х32")</f>
        <v>Круг  шліф. 64С 25П К 200х20х32</v>
      </c>
      <c r="D571" s="15" t="s">
        <v>6</v>
      </c>
      <c r="E571" s="15">
        <v>3</v>
      </c>
      <c r="F571" s="91" t="s">
        <v>16</v>
      </c>
      <c r="G571" s="4"/>
      <c r="H571" s="4"/>
      <c r="I571" s="4"/>
    </row>
    <row r="572" spans="1:9" ht="15">
      <c r="A572" s="21">
        <f t="shared" si="10"/>
        <v>95</v>
      </c>
      <c r="B572" s="16" t="s">
        <v>806</v>
      </c>
      <c r="C572" s="85" t="str">
        <f ca="1">IFERROR(__xludf.DUMMYFUNCTION("GOOGLETRANSLATE(B572:B587,""RU"",""UK"")"),"Круг  шліф. 54С 200х25х32")</f>
        <v>Круг  шліф. 54С 200х25х32</v>
      </c>
      <c r="D572" s="15" t="s">
        <v>6</v>
      </c>
      <c r="E572" s="15">
        <v>1</v>
      </c>
      <c r="F572" s="91" t="s">
        <v>22</v>
      </c>
      <c r="G572" s="4"/>
      <c r="H572" s="4"/>
      <c r="I572" s="4"/>
    </row>
    <row r="573" spans="1:9" ht="15">
      <c r="A573" s="21">
        <f t="shared" si="10"/>
        <v>96</v>
      </c>
      <c r="B573" s="34" t="s">
        <v>807</v>
      </c>
      <c r="C573" s="85" t="str">
        <f ca="1">IFERROR(__xludf.DUMMYFUNCTION("GOOGLETRANSLATE(B573:B588,""RU"",""UK"")"),"Круг  шліф. 92А 40П 200х20х32 СМ2/C1")</f>
        <v>Круг  шліф. 92А 40П 200х20х32 СМ2/C1</v>
      </c>
      <c r="D573" s="35" t="s">
        <v>6</v>
      </c>
      <c r="E573" s="35" t="s">
        <v>808</v>
      </c>
      <c r="F573" s="96" t="s">
        <v>162</v>
      </c>
      <c r="G573" s="4"/>
      <c r="H573" s="4"/>
      <c r="I573" s="4"/>
    </row>
    <row r="574" spans="1:9" ht="15">
      <c r="A574" s="21">
        <f t="shared" si="10"/>
        <v>97</v>
      </c>
      <c r="B574" s="34" t="s">
        <v>809</v>
      </c>
      <c r="C574" s="85" t="str">
        <f ca="1">IFERROR(__xludf.DUMMYFUNCTION("GOOGLETRANSLATE(B574:B589,""RU"",""UK"")"),"Круг  шліф. 92А 40П 200х20х32 СТ")</f>
        <v>Круг  шліф. 92А 40П 200х20х32 СТ</v>
      </c>
      <c r="D574" s="35" t="s">
        <v>6</v>
      </c>
      <c r="E574" s="35">
        <v>147</v>
      </c>
      <c r="F574" s="96" t="s">
        <v>162</v>
      </c>
      <c r="G574" s="4"/>
      <c r="H574" s="4"/>
      <c r="I574" s="4"/>
    </row>
    <row r="575" spans="1:9" ht="15">
      <c r="A575" s="21">
        <f t="shared" si="10"/>
        <v>98</v>
      </c>
      <c r="B575" s="34" t="s">
        <v>810</v>
      </c>
      <c r="C575" s="85" t="str">
        <f ca="1">IFERROR(__xludf.DUMMYFUNCTION("GOOGLETRANSLATE(B575:B590,""RU"",""UK"")"),"Круг  шліф. 92А 16П 200х20х32 СТ1")</f>
        <v>Круг  шліф. 92А 16П 200х20х32 СТ1</v>
      </c>
      <c r="D575" s="35" t="s">
        <v>6</v>
      </c>
      <c r="E575" s="35">
        <v>1</v>
      </c>
      <c r="F575" s="96" t="s">
        <v>162</v>
      </c>
      <c r="G575" s="4"/>
      <c r="H575" s="4"/>
      <c r="I575" s="4"/>
    </row>
    <row r="576" spans="1:9" ht="15">
      <c r="A576" s="21">
        <f t="shared" si="10"/>
        <v>99</v>
      </c>
      <c r="B576" s="14" t="s">
        <v>811</v>
      </c>
      <c r="C576" s="85" t="str">
        <f ca="1">IFERROR(__xludf.DUMMYFUNCTION("GOOGLETRANSLATE(B576:B591,""RU"",""UK"")"),"Круг  шліф. 14А F46 (40П) 200х20х32 CM1")</f>
        <v>Круг  шліф. 14А F46 (40П) 200х20х32 CM1</v>
      </c>
      <c r="D576" s="15" t="s">
        <v>6</v>
      </c>
      <c r="E576" s="15">
        <v>4</v>
      </c>
      <c r="F576" s="91" t="s">
        <v>162</v>
      </c>
      <c r="G576" s="4"/>
      <c r="H576" s="4"/>
      <c r="I576" s="4"/>
    </row>
    <row r="577" spans="1:9" ht="15">
      <c r="A577" s="21">
        <f t="shared" si="10"/>
        <v>100</v>
      </c>
      <c r="B577" s="14" t="s">
        <v>812</v>
      </c>
      <c r="C577" s="85" t="str">
        <f ca="1">IFERROR(__xludf.DUMMYFUNCTION("GOOGLETRANSLATE(B577:B592,""RU"",""UK"")"),"Круг  шліф. 14А F46 (40П) 200х25х32 CM")</f>
        <v>Круг  шліф. 14А F46 (40П) 200х25х32 CM</v>
      </c>
      <c r="D577" s="15" t="s">
        <v>6</v>
      </c>
      <c r="E577" s="15">
        <v>109</v>
      </c>
      <c r="F577" s="91" t="s">
        <v>106</v>
      </c>
      <c r="G577" s="4"/>
      <c r="H577" s="4"/>
      <c r="I577" s="4"/>
    </row>
    <row r="578" spans="1:9" ht="15">
      <c r="A578" s="21">
        <f t="shared" si="10"/>
        <v>101</v>
      </c>
      <c r="B578" s="14" t="s">
        <v>813</v>
      </c>
      <c r="C578" s="85" t="str">
        <f ca="1">IFERROR(__xludf.DUMMYFUNCTION("GOOGLETRANSLATE(B578:B593,""RU"",""UK"")"),"Круг  шліф. 92А 200х25х32 бакеліт")</f>
        <v>Круг  шліф. 92А 200х25х32 бакеліт</v>
      </c>
      <c r="D578" s="15" t="s">
        <v>6</v>
      </c>
      <c r="E578" s="15">
        <v>25</v>
      </c>
      <c r="F578" s="91" t="s">
        <v>24</v>
      </c>
      <c r="G578" s="4"/>
      <c r="H578" s="4"/>
      <c r="I578" s="4"/>
    </row>
    <row r="579" spans="1:9" ht="15">
      <c r="A579" s="21">
        <f t="shared" si="10"/>
        <v>102</v>
      </c>
      <c r="B579" s="34" t="s">
        <v>814</v>
      </c>
      <c r="C579" s="85" t="str">
        <f ca="1">IFERROR(__xludf.DUMMYFUNCTION("GOOGLETRANSLATE(B579:B594,""RU"",""UK"")"),"Круг  шліф. 92А 25П 200х25х76")</f>
        <v>Круг  шліф. 92А 25П 200х25х76</v>
      </c>
      <c r="D579" s="35" t="s">
        <v>6</v>
      </c>
      <c r="E579" s="35">
        <v>2</v>
      </c>
      <c r="F579" s="96" t="s">
        <v>162</v>
      </c>
      <c r="G579" s="4"/>
      <c r="H579" s="4"/>
      <c r="I579" s="4"/>
    </row>
    <row r="580" spans="1:9" ht="15">
      <c r="A580" s="21">
        <f t="shared" si="10"/>
        <v>103</v>
      </c>
      <c r="B580" s="14" t="s">
        <v>815</v>
      </c>
      <c r="C580" s="85" t="str">
        <f ca="1">IFERROR(__xludf.DUMMYFUNCTION("GOOGLETRANSLATE(B580:B595,""RU"",""UK"")"),"Круг  шліф. 25А 25СМ 200х25х76")</f>
        <v>Круг  шліф. 25А 25СМ 200х25х76</v>
      </c>
      <c r="D580" s="15" t="s">
        <v>6</v>
      </c>
      <c r="E580" s="15">
        <v>1</v>
      </c>
      <c r="F580" s="91" t="s">
        <v>162</v>
      </c>
      <c r="G580" s="4"/>
      <c r="H580" s="4"/>
      <c r="I580" s="4"/>
    </row>
    <row r="581" spans="1:9" ht="15">
      <c r="A581" s="21">
        <f t="shared" si="10"/>
        <v>104</v>
      </c>
      <c r="B581" s="14" t="s">
        <v>816</v>
      </c>
      <c r="C581" s="85" t="str">
        <f ca="1">IFERROR(__xludf.DUMMYFUNCTION("GOOGLETRANSLATE(B581:B596,""RU"",""UK"")"),"Круг  шліф. 64С 200х20х76 вулканіт.")</f>
        <v>Круг  шліф. 64С 200х20х76 вулканіт.</v>
      </c>
      <c r="D581" s="15" t="s">
        <v>6</v>
      </c>
      <c r="E581" s="15">
        <v>6</v>
      </c>
      <c r="F581" s="91" t="s">
        <v>140</v>
      </c>
      <c r="G581" s="4"/>
      <c r="H581" s="4"/>
      <c r="I581" s="4"/>
    </row>
    <row r="582" spans="1:9" ht="15">
      <c r="A582" s="21">
        <f t="shared" si="10"/>
        <v>105</v>
      </c>
      <c r="B582" s="14" t="s">
        <v>817</v>
      </c>
      <c r="C582" s="85" t="str">
        <f ca="1">IFERROR(__xludf.DUMMYFUNCTION("GOOGLETRANSLATE(B582:B597,""RU"",""UK"")"),"Круг  шліф. 64С 200х32х76")</f>
        <v>Круг  шліф. 64С 200х32х76</v>
      </c>
      <c r="D582" s="15" t="s">
        <v>6</v>
      </c>
      <c r="E582" s="15">
        <v>10</v>
      </c>
      <c r="F582" s="91" t="s">
        <v>106</v>
      </c>
      <c r="G582" s="4"/>
      <c r="H582" s="4"/>
      <c r="I582" s="4"/>
    </row>
    <row r="583" spans="1:9" ht="15">
      <c r="A583" s="21">
        <f t="shared" si="10"/>
        <v>106</v>
      </c>
      <c r="B583" s="14" t="s">
        <v>818</v>
      </c>
      <c r="C583" s="85" t="str">
        <f ca="1">IFERROR(__xludf.DUMMYFUNCTION("GOOGLETRANSLATE(B583:B598,""RU"",""UK"")"),"Круг  шліф. 25А / 92А25П 200х32х76")</f>
        <v>Круг  шліф. 25А / 92А25П 200х32х76</v>
      </c>
      <c r="D583" s="15" t="s">
        <v>6</v>
      </c>
      <c r="E583" s="15" t="s">
        <v>793</v>
      </c>
      <c r="F583" s="91" t="s">
        <v>106</v>
      </c>
      <c r="G583" s="4"/>
      <c r="H583" s="4"/>
      <c r="I583" s="4"/>
    </row>
    <row r="584" spans="1:9" ht="15">
      <c r="A584" s="21">
        <f t="shared" si="10"/>
        <v>107</v>
      </c>
      <c r="B584" s="14" t="s">
        <v>819</v>
      </c>
      <c r="C584" s="85" t="str">
        <f ca="1">IFERROR(__xludf.DUMMYFUNCTION("GOOGLETRANSLATE(B584:B599,""RU"",""UK"")"),"Круг  шліф. 25А 16П/25П/40П 200х40х76")</f>
        <v>Круг  шліф. 25А 16П/25П/40П 200х40х76</v>
      </c>
      <c r="D584" s="15" t="s">
        <v>6</v>
      </c>
      <c r="E584" s="15" t="s">
        <v>820</v>
      </c>
      <c r="F584" s="91" t="s">
        <v>22</v>
      </c>
      <c r="G584" s="4"/>
      <c r="H584" s="4"/>
      <c r="I584" s="4"/>
    </row>
    <row r="585" spans="1:9" ht="15">
      <c r="A585" s="21">
        <f t="shared" si="10"/>
        <v>108</v>
      </c>
      <c r="B585" s="14" t="s">
        <v>821</v>
      </c>
      <c r="C585" s="85" t="str">
        <f ca="1">IFERROR(__xludf.DUMMYFUNCTION("GOOGLETRANSLATE(B585:B600,""RU"",""UK"")"),"Круг  шліф. 14А 200х40х76")</f>
        <v>Круг  шліф. 14А 200х40х76</v>
      </c>
      <c r="D585" s="15" t="s">
        <v>6</v>
      </c>
      <c r="E585" s="15">
        <v>2</v>
      </c>
      <c r="F585" s="91" t="s">
        <v>20</v>
      </c>
      <c r="G585" s="4"/>
      <c r="H585" s="4"/>
      <c r="I585" s="4"/>
    </row>
    <row r="586" spans="1:9" ht="15">
      <c r="A586" s="21">
        <f t="shared" si="10"/>
        <v>109</v>
      </c>
      <c r="B586" s="14" t="s">
        <v>822</v>
      </c>
      <c r="C586" s="85" t="str">
        <f ca="1">IFERROR(__xludf.DUMMYFUNCTION("GOOGLETRANSLATE(B586:B601,""RU"",""UK"")"),"Круг  шліф. 14А40п / 14А25п (сірий) 250х13х76")</f>
        <v>Круг  шліф. 14А40п / 14А25п (сірий) 250х13х76</v>
      </c>
      <c r="D586" s="15" t="s">
        <v>6</v>
      </c>
      <c r="E586" s="15" t="s">
        <v>710</v>
      </c>
      <c r="F586" s="91" t="s">
        <v>20</v>
      </c>
      <c r="G586" s="4"/>
      <c r="H586" s="4"/>
      <c r="I586" s="4"/>
    </row>
    <row r="587" spans="1:9" ht="15">
      <c r="A587" s="21">
        <f t="shared" si="10"/>
        <v>110</v>
      </c>
      <c r="B587" s="14" t="s">
        <v>823</v>
      </c>
      <c r="C587" s="85" t="str">
        <f ca="1">IFERROR(__xludf.DUMMYFUNCTION("GOOGLETRANSLATE(B587:B602,""RU"",""UK"")"),"Круг  шліф. 14А25п (сірий) 250х13х32")</f>
        <v>Круг  шліф. 14А25п (сірий) 250х13х32</v>
      </c>
      <c r="D587" s="15" t="s">
        <v>6</v>
      </c>
      <c r="E587" s="15">
        <v>2</v>
      </c>
      <c r="F587" s="91" t="s">
        <v>20</v>
      </c>
      <c r="G587" s="4"/>
      <c r="H587" s="4"/>
      <c r="I587" s="4"/>
    </row>
    <row r="588" spans="1:9" ht="15">
      <c r="A588" s="21">
        <f t="shared" si="10"/>
        <v>111</v>
      </c>
      <c r="B588" s="14" t="s">
        <v>824</v>
      </c>
      <c r="C588" s="85" t="str">
        <f ca="1">IFERROR(__xludf.DUMMYFUNCTION("GOOGLETRANSLATE(B588:B603,""RU"",""UK"")"),"Круг  шліф. 14А25п СМ / 14А40п СМ (сірий) 250х20х32")</f>
        <v>Круг  шліф. 14А25п СМ / 14А40п СМ (сірий) 250х20х32</v>
      </c>
      <c r="D588" s="15" t="s">
        <v>6</v>
      </c>
      <c r="E588" s="15" t="s">
        <v>825</v>
      </c>
      <c r="F588" s="91" t="s">
        <v>53</v>
      </c>
      <c r="G588" s="4"/>
      <c r="H588" s="4"/>
      <c r="I588" s="4"/>
    </row>
    <row r="589" spans="1:9" ht="15">
      <c r="A589" s="21">
        <f t="shared" si="10"/>
        <v>112</v>
      </c>
      <c r="B589" s="14" t="s">
        <v>826</v>
      </c>
      <c r="C589" s="85" t="str">
        <f ca="1">IFERROR(__xludf.DUMMYFUNCTION("GOOGLETRANSLATE(B589:B604,""RU"",""UK"")"),"Круг  шліф. 14А F22 СТ2 бакеліт 250х25х32")</f>
        <v>Круг  шліф. 14А F22 СТ2 бакеліт 250х25х32</v>
      </c>
      <c r="D589" s="15" t="s">
        <v>6</v>
      </c>
      <c r="E589" s="15">
        <v>2</v>
      </c>
      <c r="F589" s="91" t="s">
        <v>53</v>
      </c>
      <c r="G589" s="4"/>
      <c r="H589" s="4"/>
      <c r="I589" s="4"/>
    </row>
    <row r="590" spans="1:9" ht="15">
      <c r="A590" s="21">
        <f t="shared" si="10"/>
        <v>113</v>
      </c>
      <c r="B590" s="14" t="s">
        <v>827</v>
      </c>
      <c r="C590" s="85" t="str">
        <f ca="1">IFERROR(__xludf.DUMMYFUNCTION("GOOGLETRANSLATE(B590:B605,""RU"",""UK"")"),"Круг  шліф. 63С 25п СМ2 (зелений) 250х20х76")</f>
        <v>Круг  шліф. 63С 25п СМ2 (зелений) 250х20х76</v>
      </c>
      <c r="D590" s="15" t="s">
        <v>6</v>
      </c>
      <c r="E590" s="15">
        <v>1</v>
      </c>
      <c r="F590" s="91" t="s">
        <v>27</v>
      </c>
      <c r="G590" s="4"/>
      <c r="H590" s="4"/>
      <c r="I590" s="4"/>
    </row>
    <row r="591" spans="1:9" ht="15">
      <c r="A591" s="21">
        <f t="shared" si="10"/>
        <v>114</v>
      </c>
      <c r="B591" s="14" t="s">
        <v>828</v>
      </c>
      <c r="C591" s="85" t="str">
        <f ca="1">IFERROR(__xludf.DUMMYFUNCTION("GOOGLETRANSLATE(B591:B606,""RU"",""UK"")"),"Круг  шліф. 64С 40п (зелене) 250х25х76")</f>
        <v>Круг  шліф. 64С 40п (зелене) 250х25х76</v>
      </c>
      <c r="D591" s="15" t="s">
        <v>6</v>
      </c>
      <c r="E591" s="15">
        <v>23</v>
      </c>
      <c r="F591" s="91" t="s">
        <v>63</v>
      </c>
      <c r="G591" s="4"/>
      <c r="H591" s="4"/>
      <c r="I591" s="4"/>
    </row>
    <row r="592" spans="1:9" ht="15">
      <c r="A592" s="21">
        <f t="shared" si="10"/>
        <v>115</v>
      </c>
      <c r="B592" s="14" t="s">
        <v>829</v>
      </c>
      <c r="C592" s="85" t="str">
        <f ca="1">IFERROR(__xludf.DUMMYFUNCTION("GOOGLETRANSLATE(B592:B607,""RU"",""UK"")"),"Круг  шліф. 54С 40П(зелений) 250х25х76")</f>
        <v>Круг  шліф. 54С 40П(зелений) 250х25х76</v>
      </c>
      <c r="D592" s="15" t="s">
        <v>6</v>
      </c>
      <c r="E592" s="15">
        <v>6</v>
      </c>
      <c r="F592" s="91" t="s">
        <v>63</v>
      </c>
      <c r="G592" s="4"/>
      <c r="H592" s="4"/>
      <c r="I592" s="4"/>
    </row>
    <row r="593" spans="1:9" ht="15">
      <c r="A593" s="21">
        <f t="shared" si="10"/>
        <v>116</v>
      </c>
      <c r="B593" s="14" t="s">
        <v>830</v>
      </c>
      <c r="C593" s="85" t="str">
        <f ca="1">IFERROR(__xludf.DUMMYFUNCTION("GOOGLETRANSLATE(B593:B608,""RU"",""UK"")"),"Круг  шліф. 64С 40П(зелений) / 54С 250х32х76")</f>
        <v>Круг  шліф. 64С 40П(зелений) / 54С 250х32х76</v>
      </c>
      <c r="D593" s="15" t="s">
        <v>6</v>
      </c>
      <c r="E593" s="15" t="s">
        <v>831</v>
      </c>
      <c r="F593" s="91" t="s">
        <v>102</v>
      </c>
      <c r="G593" s="4"/>
      <c r="H593" s="4"/>
      <c r="I593" s="4"/>
    </row>
    <row r="594" spans="1:9" ht="15">
      <c r="A594" s="21">
        <f t="shared" si="10"/>
        <v>117</v>
      </c>
      <c r="B594" s="34" t="s">
        <v>832</v>
      </c>
      <c r="C594" s="85" t="str">
        <f ca="1">IFERROR(__xludf.DUMMYFUNCTION("GOOGLETRANSLATE(B594:B609,""RU"",""UK"")"),"Круг  шліф. 92А25П см1 250х13х32")</f>
        <v>Круг  шліф. 92А25П см1 250х13х32</v>
      </c>
      <c r="D594" s="35" t="s">
        <v>6</v>
      </c>
      <c r="E594" s="35">
        <v>11</v>
      </c>
      <c r="F594" s="96" t="s">
        <v>162</v>
      </c>
      <c r="G594" s="4"/>
      <c r="H594" s="4"/>
      <c r="I594" s="4"/>
    </row>
    <row r="595" spans="1:9" ht="15">
      <c r="A595" s="21">
        <f t="shared" si="10"/>
        <v>118</v>
      </c>
      <c r="B595" s="34" t="s">
        <v>833</v>
      </c>
      <c r="C595" s="85" t="str">
        <f ca="1">IFERROR(__xludf.DUMMYFUNCTION("GOOGLETRANSLATE(B595:B610,""RU"",""UK"")"),"Круг  шліф. 92А25П см1 250х16х76")</f>
        <v>Круг  шліф. 92А25П см1 250х16х76</v>
      </c>
      <c r="D595" s="35" t="s">
        <v>6</v>
      </c>
      <c r="E595" s="35">
        <v>6</v>
      </c>
      <c r="F595" s="96" t="s">
        <v>22</v>
      </c>
      <c r="G595" s="4"/>
      <c r="H595" s="4"/>
      <c r="I595" s="4"/>
    </row>
    <row r="596" spans="1:9" ht="15">
      <c r="A596" s="21">
        <f t="shared" si="10"/>
        <v>119</v>
      </c>
      <c r="B596" s="34" t="s">
        <v>834</v>
      </c>
      <c r="C596" s="85" t="str">
        <f ca="1">IFERROR(__xludf.DUMMYFUNCTION("GOOGLETRANSLATE(B596:B611,""RU"",""UK"")"),"Круг  шліф. 92А40П см1 250х16х76")</f>
        <v>Круг  шліф. 92А40П см1 250х16х76</v>
      </c>
      <c r="D596" s="35" t="s">
        <v>6</v>
      </c>
      <c r="E596" s="35">
        <v>3</v>
      </c>
      <c r="F596" s="96" t="s">
        <v>22</v>
      </c>
      <c r="G596" s="4"/>
      <c r="H596" s="4"/>
      <c r="I596" s="4"/>
    </row>
    <row r="597" spans="1:9" ht="15">
      <c r="A597" s="21">
        <f t="shared" si="10"/>
        <v>120</v>
      </c>
      <c r="B597" s="34" t="s">
        <v>835</v>
      </c>
      <c r="C597" s="85" t="str">
        <f ca="1">IFERROR(__xludf.DUMMYFUNCTION("GOOGLETRANSLATE(B597:B612,""RU"",""UK"")"),"Круг  шліф. 92А25П см1 250х20х76")</f>
        <v>Круг  шліф. 92А25П см1 250х20х76</v>
      </c>
      <c r="D597" s="35" t="s">
        <v>6</v>
      </c>
      <c r="E597" s="35">
        <v>1</v>
      </c>
      <c r="F597" s="96" t="s">
        <v>413</v>
      </c>
      <c r="G597" s="4"/>
      <c r="H597" s="4"/>
      <c r="I597" s="4"/>
    </row>
    <row r="598" spans="1:9" ht="15">
      <c r="A598" s="21">
        <f t="shared" si="10"/>
        <v>121</v>
      </c>
      <c r="B598" s="34" t="s">
        <v>836</v>
      </c>
      <c r="C598" s="85" t="str">
        <f ca="1">IFERROR(__xludf.DUMMYFUNCTION("GOOGLETRANSLATE(B598:B613,""RU"",""UK"")"),"Круг  шліф. 92А40П 250х25х76 С1/СМ1,2")</f>
        <v>Круг  шліф. 92А40П 250х25х76 С1/СМ1,2</v>
      </c>
      <c r="D598" s="35" t="s">
        <v>6</v>
      </c>
      <c r="E598" s="35" t="s">
        <v>749</v>
      </c>
      <c r="F598" s="96" t="s">
        <v>36</v>
      </c>
      <c r="G598" s="4"/>
      <c r="H598" s="4"/>
      <c r="I598" s="4"/>
    </row>
    <row r="599" spans="1:9" ht="15">
      <c r="A599" s="21">
        <f t="shared" si="10"/>
        <v>122</v>
      </c>
      <c r="B599" s="34" t="s">
        <v>837</v>
      </c>
      <c r="C599" s="85" t="str">
        <f ca="1">IFERROR(__xludf.DUMMYFUNCTION("GOOGLETRANSLATE(B599:B614,""RU"",""UK"")"),"Круг  шліф. 92А16П ст1 250х25х76")</f>
        <v>Круг  шліф. 92А16П ст1 250х25х76</v>
      </c>
      <c r="D599" s="35" t="s">
        <v>6</v>
      </c>
      <c r="E599" s="35">
        <v>1</v>
      </c>
      <c r="F599" s="96" t="s">
        <v>36</v>
      </c>
      <c r="G599" s="4"/>
      <c r="H599" s="4"/>
      <c r="I599" s="4"/>
    </row>
    <row r="600" spans="1:9" ht="15">
      <c r="A600" s="21">
        <f t="shared" si="10"/>
        <v>123</v>
      </c>
      <c r="B600" s="34" t="s">
        <v>838</v>
      </c>
      <c r="C600" s="85" t="str">
        <f ca="1">IFERROR(__xludf.DUMMYFUNCTION("GOOGLETRANSLATE(B600:B615,""RU"",""UK"")"),"Круг  шліф. 92А12П СМ2/СМ1 250х32х76")</f>
        <v>Круг  шліф. 92А12П СМ2/СМ1 250х32х76</v>
      </c>
      <c r="D600" s="35" t="s">
        <v>6</v>
      </c>
      <c r="E600" s="35">
        <v>0</v>
      </c>
      <c r="F600" s="96" t="s">
        <v>27</v>
      </c>
      <c r="G600" s="4"/>
      <c r="H600" s="4"/>
      <c r="I600" s="4"/>
    </row>
    <row r="601" spans="1:9" ht="15">
      <c r="A601" s="21">
        <f t="shared" si="10"/>
        <v>124</v>
      </c>
      <c r="B601" s="34" t="s">
        <v>839</v>
      </c>
      <c r="C601" s="85" t="str">
        <f ca="1">IFERROR(__xludf.DUMMYFUNCTION("GOOGLETRANSLATE(B601:B616,""RU"",""UK"")"),"Круг  шліф. 91А 40П СМ1 250х32х76")</f>
        <v>Круг  шліф. 91А 40П СМ1 250х32х76</v>
      </c>
      <c r="D601" s="35" t="s">
        <v>6</v>
      </c>
      <c r="E601" s="35">
        <v>1</v>
      </c>
      <c r="F601" s="96" t="s">
        <v>840</v>
      </c>
      <c r="G601" s="4"/>
      <c r="H601" s="4"/>
      <c r="I601" s="4"/>
    </row>
    <row r="602" spans="1:9" ht="15">
      <c r="A602" s="21">
        <f t="shared" si="10"/>
        <v>125</v>
      </c>
      <c r="B602" s="19" t="s">
        <v>841</v>
      </c>
      <c r="C602" s="85" t="str">
        <f ca="1">IFERROR(__xludf.DUMMYFUNCTION("GOOGLETRANSLATE(B602:B617,""RU"",""UK"")"),"Круг  шліф. 39А 250х25х76")</f>
        <v>Круг  шліф. 39А 250х25х76</v>
      </c>
      <c r="D602" s="15" t="s">
        <v>6</v>
      </c>
      <c r="E602" s="15">
        <v>2</v>
      </c>
      <c r="F602" s="91" t="s">
        <v>842</v>
      </c>
      <c r="G602" s="4"/>
      <c r="H602" s="4"/>
      <c r="I602" s="4"/>
    </row>
    <row r="603" spans="1:9" ht="15">
      <c r="A603" s="21">
        <f t="shared" si="10"/>
        <v>126</v>
      </c>
      <c r="B603" s="16" t="s">
        <v>843</v>
      </c>
      <c r="C603" s="85" t="str">
        <f ca="1">IFERROR(__xludf.DUMMYFUNCTION("GOOGLETRANSLATE(B603:B618,""RU"",""UK"")"),"Круг  шліф. 14А 40П СТ 250х20х76/14А40П С2/14А40П СТ2")</f>
        <v>Круг  шліф. 14А 40П СТ 250х20х76/14А40П С2/14А40П СТ2</v>
      </c>
      <c r="D603" s="17" t="s">
        <v>6</v>
      </c>
      <c r="E603" s="17" t="s">
        <v>844</v>
      </c>
      <c r="F603" s="92" t="s">
        <v>413</v>
      </c>
      <c r="G603" s="4"/>
      <c r="H603" s="4"/>
      <c r="I603" s="4"/>
    </row>
    <row r="604" spans="1:9" ht="15">
      <c r="A604" s="21">
        <f t="shared" si="10"/>
        <v>127</v>
      </c>
      <c r="B604" s="19" t="s">
        <v>845</v>
      </c>
      <c r="C604" s="85" t="str">
        <f ca="1">IFERROR(__xludf.DUMMYFUNCTION("GOOGLETRANSLATE(B604:B619,""RU"",""UK"")"),"Круг  шліф. 14А 40П СМ2 250х20х76")</f>
        <v>Круг  шліф. 14А 40П СМ2 250х20х76</v>
      </c>
      <c r="D604" s="17" t="s">
        <v>6</v>
      </c>
      <c r="E604" s="17">
        <v>0</v>
      </c>
      <c r="F604" s="92" t="s">
        <v>413</v>
      </c>
      <c r="G604" s="4"/>
      <c r="H604" s="4"/>
      <c r="I604" s="4"/>
    </row>
    <row r="605" spans="1:9" ht="15">
      <c r="A605" s="21">
        <f t="shared" si="10"/>
        <v>128</v>
      </c>
      <c r="B605" s="16" t="s">
        <v>846</v>
      </c>
      <c r="C605" s="85" t="str">
        <f ca="1">IFERROR(__xludf.DUMMYFUNCTION("GOOGLETRANSLATE(B605:B620,""RU"",""UK"")"),"Круг  шліф. 14А 25П См2 250х20х76/14А 25П С1/С2 250х20х76")</f>
        <v>Круг  шліф. 14А 25П См2 250х20х76/14А 25П С1/С2 250х20х76</v>
      </c>
      <c r="D605" s="17" t="s">
        <v>6</v>
      </c>
      <c r="E605" s="17" t="s">
        <v>847</v>
      </c>
      <c r="F605" s="92" t="s">
        <v>413</v>
      </c>
      <c r="G605" s="4"/>
      <c r="H605" s="4"/>
      <c r="I605" s="4"/>
    </row>
    <row r="606" spans="1:9" ht="15">
      <c r="A606" s="21">
        <f t="shared" si="10"/>
        <v>129</v>
      </c>
      <c r="B606" s="16" t="s">
        <v>848</v>
      </c>
      <c r="C606" s="85" t="str">
        <f ca="1">IFERROR(__xludf.DUMMYFUNCTION("GOOGLETRANSLATE(B606:B621,""RU"",""UK"")"),"Круг  шліф. 14А 16П См1 250х20х76")</f>
        <v>Круг  шліф. 14А 16П См1 250х20х76</v>
      </c>
      <c r="D606" s="17" t="s">
        <v>6</v>
      </c>
      <c r="E606" s="17">
        <v>1</v>
      </c>
      <c r="F606" s="92" t="s">
        <v>413</v>
      </c>
      <c r="G606" s="4"/>
      <c r="H606" s="4"/>
      <c r="I606" s="4"/>
    </row>
    <row r="607" spans="1:9" ht="15">
      <c r="A607" s="21">
        <f t="shared" si="10"/>
        <v>130</v>
      </c>
      <c r="B607" s="16" t="s">
        <v>849</v>
      </c>
      <c r="C607" s="85" t="str">
        <f ca="1">IFERROR(__xludf.DUMMYFUNCTION("GOOGLETRANSLATE(B607:B622,""RU"",""UK"")"),"Круг  шліф. 14А 40П См1,2/С1/СТ1 250х25х76")</f>
        <v>Круг  шліф. 14А 40П См1,2/С1/СТ1 250х25х76</v>
      </c>
      <c r="D607" s="17" t="s">
        <v>6</v>
      </c>
      <c r="E607" s="17" t="s">
        <v>850</v>
      </c>
      <c r="F607" s="92" t="s">
        <v>851</v>
      </c>
      <c r="G607" s="4"/>
      <c r="H607" s="4"/>
      <c r="I607" s="4"/>
    </row>
    <row r="608" spans="1:9" ht="15">
      <c r="A608" s="21">
        <f t="shared" ref="A608:A671" si="11">A607+1</f>
        <v>131</v>
      </c>
      <c r="B608" s="16" t="s">
        <v>852</v>
      </c>
      <c r="C608" s="85" t="str">
        <f ca="1">IFERROR(__xludf.DUMMYFUNCTION("GOOGLETRANSLATE(B608:B623,""RU"",""UK"")"),"Круг  шліф. 14А 25П СМ1,2 250х25х76")</f>
        <v>Круг  шліф. 14А 25П СМ1,2 250х25х76</v>
      </c>
      <c r="D608" s="17" t="s">
        <v>6</v>
      </c>
      <c r="E608" s="17">
        <v>22</v>
      </c>
      <c r="F608" s="92" t="s">
        <v>851</v>
      </c>
      <c r="G608" s="4"/>
      <c r="H608" s="4"/>
      <c r="I608" s="4"/>
    </row>
    <row r="609" spans="1:9" ht="15">
      <c r="A609" s="21">
        <f t="shared" si="11"/>
        <v>132</v>
      </c>
      <c r="B609" s="16" t="s">
        <v>853</v>
      </c>
      <c r="C609" s="85" t="str">
        <f ca="1">IFERROR(__xludf.DUMMYFUNCTION("GOOGLETRANSLATE(B609:B624,""RU"",""UK"")"),"Круг  шліф. 14А П40 250х32х76 СМ2/СМ1/Р13")</f>
        <v>Круг  шліф. 14А П40 250х32х76 СМ2/СМ1/Р13</v>
      </c>
      <c r="D609" s="17" t="s">
        <v>6</v>
      </c>
      <c r="E609" s="17" t="s">
        <v>854</v>
      </c>
      <c r="F609" s="92" t="s">
        <v>102</v>
      </c>
      <c r="G609" s="4"/>
      <c r="H609" s="4"/>
      <c r="I609" s="4"/>
    </row>
    <row r="610" spans="1:9" ht="15">
      <c r="A610" s="21">
        <f t="shared" si="11"/>
        <v>133</v>
      </c>
      <c r="B610" s="16" t="s">
        <v>855</v>
      </c>
      <c r="C610" s="85" t="str">
        <f ca="1">IFERROR(__xludf.DUMMYFUNCTION("GOOGLETRANSLATE(B610:B625,""RU"",""UK"")"),"Круг  шліф. 14А П25 250х32х76 СТ2/СМ1")</f>
        <v>Круг  шліф. 14А П25 250х32х76 СТ2/СМ1</v>
      </c>
      <c r="D610" s="37"/>
      <c r="E610" s="17" t="s">
        <v>438</v>
      </c>
      <c r="F610" s="92" t="s">
        <v>102</v>
      </c>
      <c r="G610" s="4"/>
      <c r="H610" s="4"/>
      <c r="I610" s="4"/>
    </row>
    <row r="611" spans="1:9" ht="15">
      <c r="A611" s="21">
        <f t="shared" si="11"/>
        <v>134</v>
      </c>
      <c r="B611" s="16" t="s">
        <v>856</v>
      </c>
      <c r="C611" s="85" t="str">
        <f ca="1">IFERROR(__xludf.DUMMYFUNCTION("GOOGLETRANSLATE(B611:B626,""RU"",""UK"")"),"Круг  шліф. 25А 25П СМ1 250х16х76")</f>
        <v>Круг  шліф. 25А 25П СМ1 250х16х76</v>
      </c>
      <c r="D611" s="17" t="s">
        <v>6</v>
      </c>
      <c r="E611" s="17">
        <v>6</v>
      </c>
      <c r="F611" s="92" t="s">
        <v>272</v>
      </c>
      <c r="G611" s="4"/>
      <c r="H611" s="4"/>
      <c r="I611" s="4"/>
    </row>
    <row r="612" spans="1:9" ht="15">
      <c r="A612" s="21">
        <f t="shared" si="11"/>
        <v>135</v>
      </c>
      <c r="B612" s="16" t="s">
        <v>857</v>
      </c>
      <c r="C612" s="85" t="str">
        <f ca="1">IFERROR(__xludf.DUMMYFUNCTION("GOOGLETRANSLATE(B612:B627,""RU"",""UK"")"),"Круг  шліф. 24А 25П СМ2 250х20х76")</f>
        <v>Круг  шліф. 24А 25П СМ2 250х20х76</v>
      </c>
      <c r="D612" s="17" t="s">
        <v>6</v>
      </c>
      <c r="E612" s="17">
        <v>3</v>
      </c>
      <c r="F612" s="92" t="s">
        <v>27</v>
      </c>
      <c r="G612" s="4"/>
      <c r="H612" s="4"/>
      <c r="I612" s="4"/>
    </row>
    <row r="613" spans="1:9" ht="15">
      <c r="A613" s="21">
        <f t="shared" si="11"/>
        <v>136</v>
      </c>
      <c r="B613" s="16" t="s">
        <v>858</v>
      </c>
      <c r="C613" s="85" t="str">
        <f ca="1">IFERROR(__xludf.DUMMYFUNCTION("GOOGLETRANSLATE(B613:B628,""RU"",""UK"")"),"Круг  шліф. 25А 40П СМ1/СМ2 250х20х76")</f>
        <v>Круг  шліф. 25А 40П СМ1/СМ2 250х20х76</v>
      </c>
      <c r="D613" s="17" t="s">
        <v>6</v>
      </c>
      <c r="E613" s="17" t="s">
        <v>710</v>
      </c>
      <c r="F613" s="92" t="s">
        <v>78</v>
      </c>
      <c r="G613" s="4"/>
      <c r="H613" s="4"/>
      <c r="I613" s="4"/>
    </row>
    <row r="614" spans="1:9" ht="15">
      <c r="A614" s="21">
        <f t="shared" si="11"/>
        <v>137</v>
      </c>
      <c r="B614" s="16" t="s">
        <v>859</v>
      </c>
      <c r="C614" s="85" t="str">
        <f ca="1">IFERROR(__xludf.DUMMYFUNCTION("GOOGLETRANSLATE(B614:B629,""RU"",""UK"")"),"Круг  шліф. 24А (біле) 250х20х76 ПВД")</f>
        <v>Круг  шліф. 24А (біле) 250х20х76 ПВД</v>
      </c>
      <c r="D614" s="17" t="s">
        <v>6</v>
      </c>
      <c r="E614" s="17">
        <v>4</v>
      </c>
      <c r="F614" s="92" t="s">
        <v>162</v>
      </c>
      <c r="G614" s="4"/>
      <c r="H614" s="4"/>
      <c r="I614" s="4"/>
    </row>
    <row r="615" spans="1:9" ht="15">
      <c r="A615" s="21">
        <f t="shared" si="11"/>
        <v>138</v>
      </c>
      <c r="B615" s="16" t="s">
        <v>860</v>
      </c>
      <c r="C615" s="85" t="str">
        <f ca="1">IFERROR(__xludf.DUMMYFUNCTION("GOOGLETRANSLATE(B615:B630,""RU"",""UK"")"),"Круг  шліф. 25А 16П С1 250х25х76")</f>
        <v>Круг  шліф. 25А 16П С1 250х25х76</v>
      </c>
      <c r="D615" s="17" t="s">
        <v>6</v>
      </c>
      <c r="E615" s="17">
        <v>3</v>
      </c>
      <c r="F615" s="92" t="s">
        <v>63</v>
      </c>
      <c r="G615" s="4"/>
      <c r="H615" s="4"/>
      <c r="I615" s="4"/>
    </row>
    <row r="616" spans="1:9" ht="15">
      <c r="A616" s="21">
        <f t="shared" si="11"/>
        <v>139</v>
      </c>
      <c r="B616" s="14" t="s">
        <v>861</v>
      </c>
      <c r="C616" s="85" t="str">
        <f ca="1">IFERROR(__xludf.DUMMYFUNCTION("GOOGLETRANSLATE(B616:B631,""RU"",""UK"")"),"Круг  шліф. 25А М50П 250х25х76")</f>
        <v>Круг  шліф. 25А М50П 250х25х76</v>
      </c>
      <c r="D616" s="15" t="s">
        <v>6</v>
      </c>
      <c r="E616" s="15">
        <v>12</v>
      </c>
      <c r="F616" s="91" t="s">
        <v>63</v>
      </c>
      <c r="G616" s="4"/>
      <c r="H616" s="4"/>
      <c r="I616" s="4"/>
    </row>
    <row r="617" spans="1:9" ht="15">
      <c r="A617" s="21">
        <f t="shared" si="11"/>
        <v>140</v>
      </c>
      <c r="B617" s="14" t="s">
        <v>862</v>
      </c>
      <c r="C617" s="85" t="str">
        <f ca="1">IFERROR(__xludf.DUMMYFUNCTION("GOOGLETRANSLATE(B617:B632,""RU"",""UK"")"),"Круг  шліф. 14А 40п СT/СМ 250х40х76")</f>
        <v>Круг  шліф. 14А 40п СT/СМ 250х40х76</v>
      </c>
      <c r="D617" s="15" t="s">
        <v>6</v>
      </c>
      <c r="E617" s="15" t="s">
        <v>712</v>
      </c>
      <c r="F617" s="91" t="s">
        <v>88</v>
      </c>
      <c r="G617" s="4"/>
      <c r="H617" s="4"/>
      <c r="I617" s="4"/>
    </row>
    <row r="618" spans="1:9" ht="15">
      <c r="A618" s="21">
        <f t="shared" si="11"/>
        <v>141</v>
      </c>
      <c r="B618" s="14" t="s">
        <v>863</v>
      </c>
      <c r="C618" s="85" t="str">
        <f ca="1">IFERROR(__xludf.DUMMYFUNCTION("GOOGLETRANSLATE(B618:B633,""RU"",""UK"")"),"Круг  шліф. 14А 25П СМ1 250х40х76")</f>
        <v>Круг  шліф. 14А 25П СМ1 250х40х76</v>
      </c>
      <c r="D618" s="15" t="s">
        <v>6</v>
      </c>
      <c r="E618" s="15">
        <v>1</v>
      </c>
      <c r="F618" s="91" t="s">
        <v>88</v>
      </c>
      <c r="G618" s="4"/>
      <c r="H618" s="4"/>
      <c r="I618" s="4"/>
    </row>
    <row r="619" spans="1:9" ht="15">
      <c r="A619" s="21">
        <f t="shared" si="11"/>
        <v>142</v>
      </c>
      <c r="B619" s="16" t="s">
        <v>864</v>
      </c>
      <c r="C619" s="85" t="str">
        <f ca="1">IFERROR(__xludf.DUMMYFUNCTION("GOOGLETRANSLATE(B619:B634,""RU"",""UK"")"),"Круг  шліф. 25А 40П 250х32х76 C1/C2/СТ1/M3")</f>
        <v>Круг  шліф. 25А 40П 250х32х76 C1/C2/СТ1/M3</v>
      </c>
      <c r="D619" s="15" t="s">
        <v>6</v>
      </c>
      <c r="E619" s="15">
        <v>9</v>
      </c>
      <c r="F619" s="91" t="s">
        <v>102</v>
      </c>
      <c r="G619" s="4"/>
      <c r="H619" s="4"/>
      <c r="I619" s="4"/>
    </row>
    <row r="620" spans="1:9" ht="15">
      <c r="A620" s="21">
        <f t="shared" si="11"/>
        <v>143</v>
      </c>
      <c r="B620" s="19" t="s">
        <v>865</v>
      </c>
      <c r="C620" s="85" t="str">
        <f ca="1">IFERROR(__xludf.DUMMYFUNCTION("GOOGLETRANSLATE(B620:B635,""RU"",""UK"")"),"Круг  шліф. 25А 40П 250х40х76 СМ2")</f>
        <v>Круг  шліф. 25А 40П 250х40х76 СМ2</v>
      </c>
      <c r="D620" s="15" t="s">
        <v>6</v>
      </c>
      <c r="E620" s="15">
        <v>0</v>
      </c>
      <c r="F620" s="91" t="s">
        <v>80</v>
      </c>
      <c r="G620" s="4"/>
      <c r="H620" s="4"/>
      <c r="I620" s="4"/>
    </row>
    <row r="621" spans="1:9" ht="15">
      <c r="A621" s="21">
        <f t="shared" si="11"/>
        <v>144</v>
      </c>
      <c r="B621" s="14" t="s">
        <v>866</v>
      </c>
      <c r="C621" s="85" t="str">
        <f ca="1">IFERROR(__xludf.DUMMYFUNCTION("GOOGLETRANSLATE(B621:B636,""RU"",""UK"")"),"Круг  шліф. 64С 25П/40П/12П 250х40х76")</f>
        <v>Круг  шліф. 64С 25П/40П/12П 250х40х76</v>
      </c>
      <c r="D621" s="15" t="s">
        <v>6</v>
      </c>
      <c r="E621" s="26" t="s">
        <v>867</v>
      </c>
      <c r="F621" s="91" t="s">
        <v>80</v>
      </c>
      <c r="G621" s="4"/>
      <c r="H621" s="4"/>
      <c r="I621" s="4"/>
    </row>
    <row r="622" spans="1:9" ht="15">
      <c r="A622" s="21">
        <f t="shared" si="11"/>
        <v>145</v>
      </c>
      <c r="B622" s="34" t="s">
        <v>868</v>
      </c>
      <c r="C622" s="85" t="str">
        <f ca="1">IFERROR(__xludf.DUMMYFUNCTION("GOOGLETRANSLATE(B622:B637,""RU"",""UK"")"),"Круг  шліф. 96А 40П/92А25СТ1 250х40х76")</f>
        <v>Круг  шліф. 96А 40П/92А25СТ1 250х40х76</v>
      </c>
      <c r="D622" s="35" t="s">
        <v>6</v>
      </c>
      <c r="E622" s="35" t="s">
        <v>869</v>
      </c>
      <c r="F622" s="96" t="s">
        <v>80</v>
      </c>
      <c r="G622" s="4"/>
      <c r="H622" s="4"/>
      <c r="I622" s="4"/>
    </row>
    <row r="623" spans="1:9" ht="15">
      <c r="A623" s="21">
        <f t="shared" si="11"/>
        <v>146</v>
      </c>
      <c r="B623" s="34" t="s">
        <v>870</v>
      </c>
      <c r="C623" s="85" t="str">
        <f ca="1">IFERROR(__xludf.DUMMYFUNCTION("GOOGLETRANSLATE(B623:B638,""RU"",""UK"")"),"Круг  шліф. 91А-92А 12П/16П 250х40х76")</f>
        <v>Круг  шліф. 91А-92А 12П/16П 250х40х76</v>
      </c>
      <c r="D623" s="35" t="s">
        <v>6</v>
      </c>
      <c r="E623" s="35" t="s">
        <v>324</v>
      </c>
      <c r="F623" s="96" t="s">
        <v>111</v>
      </c>
      <c r="G623" s="4"/>
      <c r="H623" s="4"/>
      <c r="I623" s="4"/>
    </row>
    <row r="624" spans="1:9" ht="15">
      <c r="A624" s="21">
        <f t="shared" si="11"/>
        <v>147</v>
      </c>
      <c r="B624" s="14" t="s">
        <v>871</v>
      </c>
      <c r="C624" s="85" t="str">
        <f ca="1">IFERROR(__xludf.DUMMYFUNCTION("GOOGLETRANSLATE(B624:B639,""RU"",""UK"")"),"Круг  шліф. 14А25П С2 300х10х76")</f>
        <v>Круг  шліф. 14А25П С2 300х10х76</v>
      </c>
      <c r="D624" s="15" t="s">
        <v>6</v>
      </c>
      <c r="E624" s="15">
        <v>3</v>
      </c>
      <c r="F624" s="91" t="s">
        <v>53</v>
      </c>
      <c r="G624" s="4"/>
      <c r="H624" s="4"/>
      <c r="I624" s="4"/>
    </row>
    <row r="625" spans="1:9" ht="15">
      <c r="A625" s="21">
        <f t="shared" si="11"/>
        <v>148</v>
      </c>
      <c r="B625" s="14" t="s">
        <v>872</v>
      </c>
      <c r="C625" s="85" t="str">
        <f ca="1">IFERROR(__xludf.DUMMYFUNCTION("GOOGLETRANSLATE(B625:B640,""RU"",""UK"")"),"Круг  шліф. 39А 40П 300х25х76")</f>
        <v>Круг  шліф. 39А 40П 300х25х76</v>
      </c>
      <c r="D625" s="15" t="s">
        <v>6</v>
      </c>
      <c r="E625" s="15">
        <v>2</v>
      </c>
      <c r="F625" s="91" t="s">
        <v>33</v>
      </c>
      <c r="G625" s="4"/>
      <c r="H625" s="4"/>
      <c r="I625" s="4"/>
    </row>
    <row r="626" spans="1:9" ht="15">
      <c r="A626" s="21">
        <f t="shared" si="11"/>
        <v>149</v>
      </c>
      <c r="B626" s="16" t="s">
        <v>873</v>
      </c>
      <c r="C626" s="85" t="str">
        <f ca="1">IFERROR(__xludf.DUMMYFUNCTION("GOOGLETRANSLATE(B626:B641,""RU"",""UK"")"),"Круг  шліф. 25А 40П СТ2 300х20х76")</f>
        <v>Круг  шліф. 25А 40П СТ2 300х20х76</v>
      </c>
      <c r="D626" s="15" t="s">
        <v>6</v>
      </c>
      <c r="E626" s="15">
        <v>2</v>
      </c>
      <c r="F626" s="91" t="s">
        <v>78</v>
      </c>
      <c r="G626" s="4"/>
      <c r="H626" s="4"/>
      <c r="I626" s="4"/>
    </row>
    <row r="627" spans="1:9" ht="15">
      <c r="A627" s="21">
        <f t="shared" si="11"/>
        <v>150</v>
      </c>
      <c r="B627" s="16" t="s">
        <v>874</v>
      </c>
      <c r="C627" s="85" t="str">
        <f ca="1">IFERROR(__xludf.DUMMYFUNCTION("GOOGLETRANSLATE(B627:B642,""RU"",""UK"")"),"Круг  шліф. 25А 40П СТ1 300х25х76")</f>
        <v>Круг  шліф. 25А 40П СТ1 300х25х76</v>
      </c>
      <c r="D627" s="15" t="s">
        <v>6</v>
      </c>
      <c r="E627" s="15">
        <v>1</v>
      </c>
      <c r="F627" s="91" t="s">
        <v>283</v>
      </c>
      <c r="G627" s="4"/>
      <c r="H627" s="4"/>
      <c r="I627" s="4"/>
    </row>
    <row r="628" spans="1:9" ht="15">
      <c r="A628" s="21">
        <f t="shared" si="11"/>
        <v>151</v>
      </c>
      <c r="B628" s="16" t="s">
        <v>875</v>
      </c>
      <c r="C628" s="85" t="str">
        <f ca="1">IFERROR(__xludf.DUMMYFUNCTION("GOOGLETRANSLATE(B628:B643,""RU"",""UK"")"),"Круг  шліф. 25А 40П СТ2 300х40х76")</f>
        <v>Круг  шліф. 25А 40П СТ2 300х40х76</v>
      </c>
      <c r="D628" s="15" t="s">
        <v>6</v>
      </c>
      <c r="E628" s="15">
        <v>4</v>
      </c>
      <c r="F628" s="91" t="s">
        <v>38</v>
      </c>
      <c r="G628" s="4"/>
      <c r="H628" s="4"/>
      <c r="I628" s="4"/>
    </row>
    <row r="629" spans="1:9" ht="15">
      <c r="A629" s="21">
        <f t="shared" si="11"/>
        <v>152</v>
      </c>
      <c r="B629" s="14" t="s">
        <v>876</v>
      </c>
      <c r="C629" s="85" t="str">
        <f ca="1">IFERROR(__xludf.DUMMYFUNCTION("GOOGLETRANSLATE(B629:B644,""RU"",""UK"")"),"Круг  шліф. 14А 25П/40П СТ/40П СМ1,2 300х40х76")</f>
        <v>Круг  шліф. 14А 25П/40П СТ/40П СМ1,2 300х40х76</v>
      </c>
      <c r="D629" s="15" t="s">
        <v>6</v>
      </c>
      <c r="E629" s="15" t="s">
        <v>877</v>
      </c>
      <c r="F629" s="91" t="s">
        <v>71</v>
      </c>
      <c r="G629" s="4"/>
      <c r="H629" s="4"/>
      <c r="I629" s="4"/>
    </row>
    <row r="630" spans="1:9" ht="15">
      <c r="A630" s="21">
        <f t="shared" si="11"/>
        <v>153</v>
      </c>
      <c r="B630" s="19" t="s">
        <v>878</v>
      </c>
      <c r="C630" s="85" t="str">
        <f ca="1">IFERROR(__xludf.DUMMYFUNCTION("GOOGLETRANSLATE(B630:B645,""RU"",""UK"")"),"Круг  шліф. 64С 40П (зелене) 300х40х76 СМ1")</f>
        <v>Круг  шліф. 64С 40П (зелене) 300х40х76 СМ1</v>
      </c>
      <c r="D630" s="15" t="s">
        <v>6</v>
      </c>
      <c r="E630" s="15">
        <v>2</v>
      </c>
      <c r="F630" s="91" t="s">
        <v>75</v>
      </c>
      <c r="G630" s="4"/>
      <c r="H630" s="4"/>
      <c r="I630" s="4"/>
    </row>
    <row r="631" spans="1:9" ht="15">
      <c r="A631" s="21">
        <f t="shared" si="11"/>
        <v>154</v>
      </c>
      <c r="B631" s="34" t="s">
        <v>879</v>
      </c>
      <c r="C631" s="85" t="str">
        <f ca="1">IFERROR(__xludf.DUMMYFUNCTION("GOOGLETRANSLATE(B631:B646,""RU"",""UK"")"),"Круг  шліф. 93А 40П 300х40х76")</f>
        <v>Круг  шліф. 93А 40П 300х40х76</v>
      </c>
      <c r="D631" s="35" t="s">
        <v>6</v>
      </c>
      <c r="E631" s="35">
        <v>0</v>
      </c>
      <c r="F631" s="96" t="s">
        <v>75</v>
      </c>
      <c r="G631" s="4"/>
      <c r="H631" s="4"/>
      <c r="I631" s="4"/>
    </row>
    <row r="632" spans="1:9" ht="15">
      <c r="A632" s="21">
        <f t="shared" si="11"/>
        <v>155</v>
      </c>
      <c r="B632" s="16" t="s">
        <v>880</v>
      </c>
      <c r="C632" s="85" t="str">
        <f ca="1">IFERROR(__xludf.DUMMYFUNCTION("GOOGLETRANSLATE(B632:B647,""RU"",""UK"")"),"Круг  шліф. 24А16П СТ2 (білий) 300х10х127")</f>
        <v>Круг  шліф. 24А16П СТ2 (білий) 300х10х127</v>
      </c>
      <c r="D632" s="17" t="s">
        <v>6</v>
      </c>
      <c r="E632" s="17">
        <v>1</v>
      </c>
      <c r="F632" s="92" t="s">
        <v>53</v>
      </c>
      <c r="G632" s="4"/>
      <c r="H632" s="4"/>
      <c r="I632" s="4"/>
    </row>
    <row r="633" spans="1:9" ht="15">
      <c r="A633" s="21">
        <f t="shared" si="11"/>
        <v>156</v>
      </c>
      <c r="B633" s="14" t="s">
        <v>881</v>
      </c>
      <c r="C633" s="85" t="str">
        <f ca="1">IFERROR(__xludf.DUMMYFUNCTION("GOOGLETRANSLATE(B633:B648,""RU"",""UK"")"),"Круг  шліф. 24А (білий) / 14А 300х10х127")</f>
        <v>Круг  шліф. 24А (білий) / 14А 300х10х127</v>
      </c>
      <c r="D633" s="15" t="s">
        <v>6</v>
      </c>
      <c r="E633" s="15" t="s">
        <v>882</v>
      </c>
      <c r="F633" s="91" t="s">
        <v>53</v>
      </c>
      <c r="G633" s="4"/>
      <c r="H633" s="4"/>
      <c r="I633" s="4"/>
    </row>
    <row r="634" spans="1:9" ht="15">
      <c r="A634" s="21">
        <f t="shared" si="11"/>
        <v>157</v>
      </c>
      <c r="B634" s="16" t="s">
        <v>883</v>
      </c>
      <c r="C634" s="85" t="str">
        <f ca="1">IFERROR(__xludf.DUMMYFUNCTION("GOOGLETRANSLATE(B634:B649,""RU"",""UK"")"),"Круг  шліф. 14А25П СМ2 (сірий) 300х10х127")</f>
        <v>Круг  шліф. 14А25П СМ2 (сірий) 300х10х127</v>
      </c>
      <c r="D634" s="17" t="s">
        <v>6</v>
      </c>
      <c r="E634" s="17">
        <v>1</v>
      </c>
      <c r="F634" s="92" t="s">
        <v>53</v>
      </c>
      <c r="G634" s="4"/>
      <c r="H634" s="4"/>
      <c r="I634" s="4"/>
    </row>
    <row r="635" spans="1:9" ht="15">
      <c r="A635" s="21">
        <f t="shared" si="11"/>
        <v>158</v>
      </c>
      <c r="B635" s="34" t="s">
        <v>884</v>
      </c>
      <c r="C635" s="85" t="str">
        <f ca="1">IFERROR(__xludf.DUMMYFUNCTION("GOOGLETRANSLATE(B635:B650,""RU"",""UK"")"),"Круг  шліф. 92-95А 300х13х127")</f>
        <v>Круг  шліф. 92-95А 300х13х127</v>
      </c>
      <c r="D635" s="35" t="s">
        <v>6</v>
      </c>
      <c r="E635" s="35">
        <v>14</v>
      </c>
      <c r="F635" s="96" t="s">
        <v>78</v>
      </c>
      <c r="G635" s="4"/>
      <c r="H635" s="4"/>
      <c r="I635" s="4"/>
    </row>
    <row r="636" spans="1:9" ht="15">
      <c r="A636" s="21">
        <f t="shared" si="11"/>
        <v>159</v>
      </c>
      <c r="B636" s="14" t="s">
        <v>885</v>
      </c>
      <c r="C636" s="85" t="str">
        <f ca="1">IFERROR(__xludf.DUMMYFUNCTION("GOOGLETRANSLATE(B636:B651,""RU"",""UK"")"),"Круг  шліф. 25А 40П СМ2 300х13х127")</f>
        <v>Круг  шліф. 25А 40П СМ2 300х13х127</v>
      </c>
      <c r="D636" s="15" t="s">
        <v>6</v>
      </c>
      <c r="E636" s="15">
        <v>16</v>
      </c>
      <c r="F636" s="91" t="s">
        <v>78</v>
      </c>
      <c r="G636" s="4"/>
      <c r="H636" s="4"/>
      <c r="I636" s="4"/>
    </row>
    <row r="637" spans="1:9" ht="15">
      <c r="A637" s="21">
        <f t="shared" si="11"/>
        <v>160</v>
      </c>
      <c r="B637" s="14" t="s">
        <v>886</v>
      </c>
      <c r="C637" s="85" t="str">
        <f ca="1">IFERROR(__xludf.DUMMYFUNCTION("GOOGLETRANSLATE(B637:B652,""RU"",""UK"")"),"Круг  шліф. 14А 25П 300х20х127")</f>
        <v>Круг  шліф. 14А 25П 300х20х127</v>
      </c>
      <c r="D637" s="15" t="s">
        <v>6</v>
      </c>
      <c r="E637" s="15">
        <v>9</v>
      </c>
      <c r="F637" s="91" t="s">
        <v>663</v>
      </c>
      <c r="G637" s="4"/>
      <c r="H637" s="4"/>
      <c r="I637" s="4"/>
    </row>
    <row r="638" spans="1:9" ht="15">
      <c r="A638" s="21">
        <f t="shared" si="11"/>
        <v>161</v>
      </c>
      <c r="B638" s="34" t="s">
        <v>887</v>
      </c>
      <c r="C638" s="85" t="str">
        <f ca="1">IFERROR(__xludf.DUMMYFUNCTION("GOOGLETRANSLATE(B638:B653,""RU"",""UK"")"),"Круг  шліф. 91А16ПСТ2 300х25х127")</f>
        <v>Круг  шліф. 91А16ПСТ2 300х25х127</v>
      </c>
      <c r="D638" s="15" t="s">
        <v>6</v>
      </c>
      <c r="E638" s="15">
        <v>2</v>
      </c>
      <c r="F638" s="91" t="s">
        <v>102</v>
      </c>
      <c r="G638" s="4"/>
      <c r="H638" s="4"/>
      <c r="I638" s="4"/>
    </row>
    <row r="639" spans="1:9" ht="15">
      <c r="A639" s="21">
        <f t="shared" si="11"/>
        <v>162</v>
      </c>
      <c r="B639" s="16" t="s">
        <v>888</v>
      </c>
      <c r="C639" s="85" t="str">
        <f ca="1">IFERROR(__xludf.DUMMYFUNCTION("GOOGLETRANSLATE(B639:B654,""RU"",""UK"")"),"Круг  шліф. 24А16ПСТ1,2 300х25х127")</f>
        <v>Круг  шліф. 24А16ПСТ1,2 300х25х127</v>
      </c>
      <c r="D639" s="15" t="s">
        <v>6</v>
      </c>
      <c r="E639" s="15">
        <v>2</v>
      </c>
      <c r="F639" s="91" t="s">
        <v>889</v>
      </c>
      <c r="G639" s="4"/>
      <c r="H639" s="4"/>
      <c r="I639" s="4"/>
    </row>
    <row r="640" spans="1:9" ht="15">
      <c r="A640" s="21">
        <f t="shared" si="11"/>
        <v>163</v>
      </c>
      <c r="B640" s="16" t="s">
        <v>890</v>
      </c>
      <c r="C640" s="85" t="str">
        <f ca="1">IFERROR(__xludf.DUMMYFUNCTION("GOOGLETRANSLATE(B640:B655,""RU"",""UK"")"),"Круг  шліф. 25А 25П 300х40х127 СМ1/СТ1 (білий)")</f>
        <v>Круг  шліф. 25А 25П 300х40х127 СМ1/СТ1 (білий)</v>
      </c>
      <c r="D640" s="15" t="s">
        <v>6</v>
      </c>
      <c r="E640" s="15" t="s">
        <v>749</v>
      </c>
      <c r="F640" s="91" t="s">
        <v>891</v>
      </c>
      <c r="G640" s="4"/>
      <c r="H640" s="4"/>
      <c r="I640" s="4"/>
    </row>
    <row r="641" spans="1:9" ht="15">
      <c r="A641" s="21">
        <f t="shared" si="11"/>
        <v>164</v>
      </c>
      <c r="B641" s="16" t="s">
        <v>892</v>
      </c>
      <c r="C641" s="85" t="str">
        <f ca="1">IFERROR(__xludf.DUMMYFUNCTION("GOOGLETRANSLATE(B641:B656,""RU"",""UK"")"),"Круг  шліф. 24А 40П 300х40х127 СМ2/С1/С2 (білий)")</f>
        <v>Круг  шліф. 24А 40П 300х40х127 СМ2/С1/С2 (білий)</v>
      </c>
      <c r="D641" s="15" t="s">
        <v>6</v>
      </c>
      <c r="E641" s="15" t="s">
        <v>893</v>
      </c>
      <c r="F641" s="91" t="s">
        <v>891</v>
      </c>
      <c r="G641" s="4"/>
      <c r="H641" s="4"/>
      <c r="I641" s="4"/>
    </row>
    <row r="642" spans="1:9" ht="15">
      <c r="A642" s="21">
        <f t="shared" si="11"/>
        <v>165</v>
      </c>
      <c r="B642" s="19" t="s">
        <v>894</v>
      </c>
      <c r="C642" s="85" t="str">
        <f ca="1">IFERROR(__xludf.DUMMYFUNCTION("GOOGLETRANSLATE(B642:B657,""RU"",""UK"")"),"Круг  шліф. 91А16ПСТ2 300х40х127")</f>
        <v>Круг  шліф. 91А16ПСТ2 300х40х127</v>
      </c>
      <c r="D642" s="35" t="s">
        <v>6</v>
      </c>
      <c r="E642" s="35">
        <v>0</v>
      </c>
      <c r="F642" s="96" t="s">
        <v>38</v>
      </c>
      <c r="G642" s="4"/>
      <c r="H642" s="4"/>
      <c r="I642" s="4"/>
    </row>
    <row r="643" spans="1:9" ht="15">
      <c r="A643" s="21">
        <f t="shared" si="11"/>
        <v>166</v>
      </c>
      <c r="B643" s="16" t="s">
        <v>895</v>
      </c>
      <c r="C643" s="85" t="str">
        <f ca="1">IFERROR(__xludf.DUMMYFUNCTION("GOOGLETRANSLATE(B643:B658,""RU"",""UK"")"),"Круг  шліф. 14А 40П СТ1,2/С1/СМ1-2/L (сірий) 300х40х127")</f>
        <v>Круг  шліф. 14А 40П СТ1,2/С1/СМ1-2/L (сірий) 300х40х127</v>
      </c>
      <c r="D643" s="17" t="s">
        <v>6</v>
      </c>
      <c r="E643" s="17" t="s">
        <v>896</v>
      </c>
      <c r="F643" s="91" t="s">
        <v>71</v>
      </c>
      <c r="G643" s="4"/>
      <c r="H643" s="4"/>
      <c r="I643" s="4"/>
    </row>
    <row r="644" spans="1:9" ht="15">
      <c r="A644" s="21">
        <f t="shared" si="11"/>
        <v>167</v>
      </c>
      <c r="B644" s="14" t="s">
        <v>897</v>
      </c>
      <c r="C644" s="85" t="str">
        <f ca="1">IFERROR(__xludf.DUMMYFUNCTION("GOOGLETRANSLATE(B644:B659,""RU"",""UK"")"),"Круг  шліф. 14А25П(сірий) 300х40х127")</f>
        <v>Круг  шліф. 14А25П(сірий) 300х40х127</v>
      </c>
      <c r="D644" s="15" t="s">
        <v>6</v>
      </c>
      <c r="E644" s="15">
        <v>42</v>
      </c>
      <c r="F644" s="91" t="s">
        <v>71</v>
      </c>
      <c r="G644" s="4"/>
      <c r="H644" s="4"/>
      <c r="I644" s="4"/>
    </row>
    <row r="645" spans="1:9" ht="15">
      <c r="A645" s="21">
        <f t="shared" si="11"/>
        <v>168</v>
      </c>
      <c r="B645" s="14" t="s">
        <v>898</v>
      </c>
      <c r="C645" s="85" t="str">
        <f ca="1">IFERROR(__xludf.DUMMYFUNCTION("GOOGLETRANSLATE(B645:B660,""RU"",""UK"")"),"Круг  шліф. 14А 40П/63П бакеліт 300х40х127")</f>
        <v>Круг  шліф. 14А 40П/63П бакеліт 300х40х127</v>
      </c>
      <c r="D645" s="15" t="s">
        <v>6</v>
      </c>
      <c r="E645" s="15" t="s">
        <v>899</v>
      </c>
      <c r="F645" s="91" t="s">
        <v>71</v>
      </c>
      <c r="G645" s="4"/>
      <c r="H645" s="4"/>
      <c r="I645" s="4"/>
    </row>
    <row r="646" spans="1:9" ht="15">
      <c r="A646" s="21">
        <f t="shared" si="11"/>
        <v>169</v>
      </c>
      <c r="B646" s="14" t="s">
        <v>900</v>
      </c>
      <c r="C646" s="85" t="str">
        <f ca="1">IFERROR(__xludf.DUMMYFUNCTION("GOOGLETRANSLATE(B646:B661,""RU"",""UK"")"),"Круг  шліф. 54А 40/25П (сірий) 300х40х127")</f>
        <v>Круг  шліф. 54А 40/25П (сірий) 300х40х127</v>
      </c>
      <c r="D646" s="15" t="s">
        <v>6</v>
      </c>
      <c r="E646" s="15" t="s">
        <v>793</v>
      </c>
      <c r="F646" s="91" t="s">
        <v>38</v>
      </c>
      <c r="G646" s="4"/>
      <c r="H646" s="4"/>
      <c r="I646" s="4"/>
    </row>
    <row r="647" spans="1:9" ht="15">
      <c r="A647" s="21">
        <f t="shared" si="11"/>
        <v>170</v>
      </c>
      <c r="B647" s="16" t="s">
        <v>901</v>
      </c>
      <c r="C647" s="85" t="str">
        <f ca="1">IFERROR(__xludf.DUMMYFUNCTION("GOOGLETRANSLATE(B647:B662,""RU"",""UK"")"),"Круг  шліф. 64С 300х40х127 40П СМ1/СМ2 (зелений)")</f>
        <v>Круг  шліф. 64С 300х40х127 40П СМ1/СМ2 (зелений)</v>
      </c>
      <c r="D647" s="15" t="s">
        <v>6</v>
      </c>
      <c r="E647" s="15" t="s">
        <v>902</v>
      </c>
      <c r="F647" s="91" t="s">
        <v>891</v>
      </c>
      <c r="G647" s="4"/>
      <c r="H647" s="4"/>
      <c r="I647" s="4"/>
    </row>
    <row r="648" spans="1:9" ht="15">
      <c r="A648" s="21">
        <f t="shared" si="11"/>
        <v>171</v>
      </c>
      <c r="B648" s="14" t="s">
        <v>903</v>
      </c>
      <c r="C648" s="85" t="str">
        <f ca="1">IFERROR(__xludf.DUMMYFUNCTION("GOOGLETRANSLATE(B648:B663,""RU"",""UK"")"),"Круг  шліф. 64С25П СМ2/16П СМ1 300х40х127 (зелений)")</f>
        <v>Круг  шліф. 64С25П СМ2/16П СМ1 300х40х127 (зелений)</v>
      </c>
      <c r="D648" s="15" t="s">
        <v>6</v>
      </c>
      <c r="E648" s="15" t="s">
        <v>749</v>
      </c>
      <c r="F648" s="91" t="s">
        <v>891</v>
      </c>
      <c r="G648" s="4"/>
      <c r="H648" s="4"/>
      <c r="I648" s="4"/>
    </row>
    <row r="649" spans="1:9" ht="15">
      <c r="A649" s="21">
        <f t="shared" si="11"/>
        <v>172</v>
      </c>
      <c r="B649" s="16" t="s">
        <v>904</v>
      </c>
      <c r="C649" s="85" t="str">
        <f ca="1">IFERROR(__xludf.DUMMYFUNCTION("GOOGLETRANSLATE(B649:B664,""RU"",""UK"")"),"Круг  шліф. 24А16пСТ2 / 24А16пСМ2 / 25А16пСМ2 350х16х127")</f>
        <v>Круг  шліф. 24А16пСТ2 / 24А16пСМ2 / 25А16пСМ2 350х16х127</v>
      </c>
      <c r="D649" s="17" t="s">
        <v>6</v>
      </c>
      <c r="E649" s="17" t="s">
        <v>905</v>
      </c>
      <c r="F649" s="92" t="s">
        <v>71</v>
      </c>
      <c r="G649" s="4"/>
      <c r="H649" s="4"/>
      <c r="I649" s="4"/>
    </row>
    <row r="650" spans="1:9" ht="15">
      <c r="A650" s="21">
        <f t="shared" si="11"/>
        <v>173</v>
      </c>
      <c r="B650" s="14" t="s">
        <v>906</v>
      </c>
      <c r="C650" s="85" t="str">
        <f ca="1">IFERROR(__xludf.DUMMYFUNCTION("GOOGLETRANSLATE(B650:B665,""RU"",""UK"")"),"Круг  шліф. 64С 16П/М50/М63 350х32х127")</f>
        <v>Круг  шліф. 64С 16П/М50/М63 350х32х127</v>
      </c>
      <c r="D650" s="15" t="s">
        <v>6</v>
      </c>
      <c r="E650" s="15" t="s">
        <v>907</v>
      </c>
      <c r="F650" s="91" t="s">
        <v>38</v>
      </c>
      <c r="G650" s="4"/>
      <c r="H650" s="4"/>
      <c r="I650" s="4"/>
    </row>
    <row r="651" spans="1:9" ht="15">
      <c r="A651" s="21">
        <f t="shared" si="11"/>
        <v>174</v>
      </c>
      <c r="B651" s="16" t="s">
        <v>908</v>
      </c>
      <c r="C651" s="85" t="str">
        <f ca="1">IFERROR(__xludf.DUMMYFUNCTION("GOOGLETRANSLATE(B651:B666,""RU"",""UK"")"),"Круг  шліф. 64С 40П СМ/СМ2/L/СТ 350х40х127")</f>
        <v>Круг  шліф. 64С 40П СМ/СМ2/L/СТ 350х40х127</v>
      </c>
      <c r="D651" s="15" t="s">
        <v>6</v>
      </c>
      <c r="E651" s="15" t="s">
        <v>909</v>
      </c>
      <c r="F651" s="91" t="s">
        <v>910</v>
      </c>
      <c r="G651" s="4"/>
      <c r="H651" s="4"/>
      <c r="I651" s="4"/>
    </row>
    <row r="652" spans="1:9" ht="15">
      <c r="A652" s="21">
        <f t="shared" si="11"/>
        <v>175</v>
      </c>
      <c r="B652" s="14" t="s">
        <v>911</v>
      </c>
      <c r="C652" s="85" t="str">
        <f ca="1">IFERROR(__xludf.DUMMYFUNCTION("GOOGLETRANSLATE(B652:B667,""RU"",""UK"")"),"Круг  шліф. 64С 25П СМ1/СМ2 350х40х127")</f>
        <v>Круг  шліф. 64С 25П СМ1/СМ2 350х40х127</v>
      </c>
      <c r="D652" s="15" t="s">
        <v>6</v>
      </c>
      <c r="E652" s="15" t="s">
        <v>912</v>
      </c>
      <c r="F652" s="91" t="s">
        <v>910</v>
      </c>
      <c r="G652" s="4"/>
      <c r="H652" s="4"/>
      <c r="I652" s="4"/>
    </row>
    <row r="653" spans="1:9" ht="15">
      <c r="A653" s="21">
        <f t="shared" si="11"/>
        <v>176</v>
      </c>
      <c r="B653" s="14" t="s">
        <v>913</v>
      </c>
      <c r="C653" s="85" t="str">
        <f ca="1">IFERROR(__xludf.DUMMYFUNCTION("GOOGLETRANSLATE(B653:B668,""RU"",""UK"")"),"Круг  шліф. 64С 16П 350х40х127")</f>
        <v>Круг  шліф. 64С 16П 350х40х127</v>
      </c>
      <c r="D653" s="15" t="s">
        <v>6</v>
      </c>
      <c r="E653" s="15">
        <v>1</v>
      </c>
      <c r="F653" s="91" t="s">
        <v>914</v>
      </c>
      <c r="G653" s="4"/>
      <c r="H653" s="4"/>
      <c r="I653" s="4"/>
    </row>
    <row r="654" spans="1:9" ht="15">
      <c r="A654" s="21">
        <f t="shared" si="11"/>
        <v>177</v>
      </c>
      <c r="B654" s="14" t="s">
        <v>915</v>
      </c>
      <c r="C654" s="85" t="str">
        <f ca="1">IFERROR(__xludf.DUMMYFUNCTION("GOOGLETRANSLATE(B654:B669,""RU"",""UK"")"),"Круг  шліф. 64С 350х50х127")</f>
        <v>Круг  шліф. 64С 350х50х127</v>
      </c>
      <c r="D654" s="15" t="s">
        <v>6</v>
      </c>
      <c r="E654" s="15">
        <v>1</v>
      </c>
      <c r="F654" s="91" t="s">
        <v>910</v>
      </c>
      <c r="G654" s="4"/>
      <c r="H654" s="4"/>
      <c r="I654" s="4"/>
    </row>
    <row r="655" spans="1:9" ht="15">
      <c r="A655" s="21">
        <f t="shared" si="11"/>
        <v>178</v>
      </c>
      <c r="B655" s="16" t="s">
        <v>916</v>
      </c>
      <c r="C655" s="85" t="str">
        <f ca="1">IFERROR(__xludf.DUMMYFUNCTION("GOOGLETRANSLATE(B655:B670,""RU"",""UK"")"),"Круг  шліф. 25А F46 (40П) 350х40х127 CM (білі)")</f>
        <v>Круг  шліф. 25А F46 (40П) 350х40х127 CM (білі)</v>
      </c>
      <c r="D655" s="15" t="s">
        <v>6</v>
      </c>
      <c r="E655" s="15">
        <v>27</v>
      </c>
      <c r="F655" s="91" t="s">
        <v>914</v>
      </c>
      <c r="G655" s="4"/>
      <c r="H655" s="4"/>
      <c r="I655" s="4"/>
    </row>
    <row r="656" spans="1:9" ht="15">
      <c r="A656" s="21">
        <f t="shared" si="11"/>
        <v>179</v>
      </c>
      <c r="B656" s="14" t="s">
        <v>917</v>
      </c>
      <c r="C656" s="85" t="str">
        <f ca="1">IFERROR(__xludf.DUMMYFUNCTION("GOOGLETRANSLATE(B656:B671,""RU"",""UK"")"),"Круг  шліф. 25А 25П 350х40х127 СМ2 (білі)")</f>
        <v>Круг  шліф. 25А 25П 350х40х127 СМ2 (білі)</v>
      </c>
      <c r="D656" s="15" t="s">
        <v>6</v>
      </c>
      <c r="E656" s="15">
        <v>7</v>
      </c>
      <c r="F656" s="91" t="s">
        <v>914</v>
      </c>
      <c r="G656" s="4"/>
      <c r="H656" s="4"/>
      <c r="I656" s="4"/>
    </row>
    <row r="657" spans="1:9" ht="15">
      <c r="A657" s="21">
        <f t="shared" si="11"/>
        <v>180</v>
      </c>
      <c r="B657" s="34" t="s">
        <v>918</v>
      </c>
      <c r="C657" s="85" t="str">
        <f ca="1">IFERROR(__xludf.DUMMYFUNCTION("GOOGLETRANSLATE(B657:B672,""RU"",""UK"")"),"Круг  шліф. 92А 40П СМ1 (бузковий) 350х40х127")</f>
        <v>Круг  шліф. 92А 40П СМ1 (бузковий) 350х40х127</v>
      </c>
      <c r="D657" s="35" t="s">
        <v>6</v>
      </c>
      <c r="E657" s="35">
        <v>5</v>
      </c>
      <c r="F657" s="96" t="s">
        <v>914</v>
      </c>
      <c r="G657" s="4"/>
      <c r="H657" s="4"/>
      <c r="I657" s="4"/>
    </row>
    <row r="658" spans="1:9" ht="15">
      <c r="A658" s="21">
        <f t="shared" si="11"/>
        <v>181</v>
      </c>
      <c r="B658" s="34" t="s">
        <v>919</v>
      </c>
      <c r="C658" s="85" t="str">
        <f ca="1">IFERROR(__xludf.DUMMYFUNCTION("GOOGLETRANSLATE(B658:B673,""RU"",""UK"")"),"Круг  шліф. 91А25П / 95А 25П (бузковий) 350х40х127")</f>
        <v>Круг  шліф. 91А25П / 95А 25П (бузковий) 350х40х127</v>
      </c>
      <c r="D658" s="35" t="s">
        <v>6</v>
      </c>
      <c r="E658" s="35" t="s">
        <v>920</v>
      </c>
      <c r="F658" s="96" t="s">
        <v>914</v>
      </c>
      <c r="G658" s="4"/>
      <c r="H658" s="4"/>
      <c r="I658" s="4"/>
    </row>
    <row r="659" spans="1:9" ht="15">
      <c r="A659" s="21">
        <f t="shared" si="11"/>
        <v>182</v>
      </c>
      <c r="B659" s="34" t="s">
        <v>921</v>
      </c>
      <c r="C659" s="85" t="str">
        <f ca="1">IFERROR(__xludf.DUMMYFUNCTION("GOOGLETRANSLATE(B659:B674,""RU"",""UK"")"),"Круг  шліф. 95А 16П СМ2 (бузковий) 350х40х127")</f>
        <v>Круг  шліф. 95А 16П СМ2 (бузковий) 350х40х127</v>
      </c>
      <c r="D659" s="35" t="s">
        <v>6</v>
      </c>
      <c r="E659" s="35">
        <v>3</v>
      </c>
      <c r="F659" s="96" t="s">
        <v>73</v>
      </c>
      <c r="G659" s="4"/>
      <c r="H659" s="4"/>
      <c r="I659" s="4"/>
    </row>
    <row r="660" spans="1:9" ht="15">
      <c r="A660" s="21">
        <f t="shared" si="11"/>
        <v>183</v>
      </c>
      <c r="B660" s="16" t="s">
        <v>922</v>
      </c>
      <c r="C660" s="85" t="str">
        <f ca="1">IFERROR(__xludf.DUMMYFUNCTION("GOOGLETRANSLATE(B660:B675,""RU"",""UK"")"),"Круг  шліф. 14А 1 350х40х127 F46 СМ1,2 / CТ2 / СТ3")</f>
        <v>Круг  шліф. 14А 1 350х40х127 F46 СМ1,2 / CТ2 / СТ3</v>
      </c>
      <c r="D660" s="15" t="s">
        <v>6</v>
      </c>
      <c r="E660" s="15" t="s">
        <v>923</v>
      </c>
      <c r="F660" s="91" t="s">
        <v>10</v>
      </c>
      <c r="G660" s="4"/>
      <c r="H660" s="4"/>
      <c r="I660" s="4"/>
    </row>
    <row r="661" spans="1:9" ht="15">
      <c r="A661" s="21">
        <f t="shared" si="11"/>
        <v>184</v>
      </c>
      <c r="B661" s="14" t="s">
        <v>924</v>
      </c>
      <c r="C661" s="85" t="str">
        <f ca="1">IFERROR(__xludf.DUMMYFUNCTION("GOOGLETRANSLATE(B661:B676,""RU"",""UK"")"),"Круг  шліф. 14А16П/14А25П 350х40х127")</f>
        <v>Круг  шліф. 14А16П/14А25П 350х40х127</v>
      </c>
      <c r="D661" s="15" t="s">
        <v>6</v>
      </c>
      <c r="E661" s="15" t="s">
        <v>925</v>
      </c>
      <c r="F661" s="91" t="s">
        <v>10</v>
      </c>
      <c r="G661" s="4"/>
      <c r="H661" s="4"/>
      <c r="I661" s="4"/>
    </row>
    <row r="662" spans="1:9" ht="15">
      <c r="A662" s="21">
        <f t="shared" si="11"/>
        <v>185</v>
      </c>
      <c r="B662" s="16" t="s">
        <v>926</v>
      </c>
      <c r="C662" s="85" t="str">
        <f ca="1">IFERROR(__xludf.DUMMYFUNCTION("GOOGLETRANSLATE(B662:B677,""RU"",""UK"")"),"Круг  шліф. 94А 25П 350х40х127 Бакеліт")</f>
        <v>Круг  шліф. 94А 25П 350х40х127 Бакеліт</v>
      </c>
      <c r="D662" s="17" t="s">
        <v>6</v>
      </c>
      <c r="E662" s="17">
        <v>4</v>
      </c>
      <c r="F662" s="92" t="s">
        <v>38</v>
      </c>
      <c r="G662" s="4"/>
      <c r="H662" s="4"/>
      <c r="I662" s="4"/>
    </row>
    <row r="663" spans="1:9" ht="15">
      <c r="A663" s="21">
        <f t="shared" si="11"/>
        <v>186</v>
      </c>
      <c r="B663" s="16" t="s">
        <v>927</v>
      </c>
      <c r="C663" s="85" t="str">
        <f ca="1">IFERROR(__xludf.DUMMYFUNCTION("GOOGLETRANSLATE(B663:B678,""RU"",""UK"")"),"Круг  шліф. 94А 40П 350х40х127 Бакеліт")</f>
        <v>Круг  шліф. 94А 40П 350х40х127 Бакеліт</v>
      </c>
      <c r="D663" s="17" t="s">
        <v>6</v>
      </c>
      <c r="E663" s="17">
        <v>3</v>
      </c>
      <c r="F663" s="92" t="s">
        <v>38</v>
      </c>
      <c r="G663" s="4"/>
      <c r="H663" s="4"/>
      <c r="I663" s="4"/>
    </row>
    <row r="664" spans="1:9" ht="15">
      <c r="A664" s="21">
        <f t="shared" si="11"/>
        <v>187</v>
      </c>
      <c r="B664" s="16" t="s">
        <v>928</v>
      </c>
      <c r="C664" s="85" t="str">
        <f ca="1">IFERROR(__xludf.DUMMYFUNCTION("GOOGLETRANSLATE(B664:B679,""RU"",""UK"")"),"Круг  шліф. 94А 50П 350х40х127 Бакеліт")</f>
        <v>Круг  шліф. 94А 50П 350х40х127 Бакеліт</v>
      </c>
      <c r="D664" s="17" t="s">
        <v>6</v>
      </c>
      <c r="E664" s="17">
        <v>3</v>
      </c>
      <c r="F664" s="92" t="s">
        <v>38</v>
      </c>
      <c r="G664" s="4"/>
      <c r="H664" s="4"/>
      <c r="I664" s="4"/>
    </row>
    <row r="665" spans="1:9" ht="15">
      <c r="A665" s="21">
        <f t="shared" si="11"/>
        <v>188</v>
      </c>
      <c r="B665" s="16" t="s">
        <v>929</v>
      </c>
      <c r="C665" s="85" t="str">
        <f ca="1">IFERROR(__xludf.DUMMYFUNCTION("GOOGLETRANSLATE(B665:B680,""RU"",""UK"")"),"Круг  шліф. 93А 80П СТ2 350х40х127 Бакеліт")</f>
        <v>Круг  шліф. 93А 80П СТ2 350х40х127 Бакеліт</v>
      </c>
      <c r="D665" s="17" t="s">
        <v>6</v>
      </c>
      <c r="E665" s="17">
        <v>8</v>
      </c>
      <c r="F665" s="92" t="s">
        <v>38</v>
      </c>
      <c r="G665" s="4"/>
      <c r="H665" s="4"/>
      <c r="I665" s="4"/>
    </row>
    <row r="666" spans="1:9" ht="15">
      <c r="A666" s="21">
        <f t="shared" si="11"/>
        <v>189</v>
      </c>
      <c r="B666" s="16" t="s">
        <v>930</v>
      </c>
      <c r="C666" s="85" t="str">
        <f ca="1">IFERROR(__xludf.DUMMYFUNCTION("GOOGLETRANSLATE(B666:B681,""RU"",""UK"")"),"Круг  шліф. 14А 80П (F22) 350х40х127 Бакеліт")</f>
        <v>Круг  шліф. 14А 80П (F22) 350х40х127 Бакеліт</v>
      </c>
      <c r="D666" s="17" t="s">
        <v>6</v>
      </c>
      <c r="E666" s="17">
        <v>3</v>
      </c>
      <c r="F666" s="92" t="s">
        <v>38</v>
      </c>
      <c r="G666" s="4"/>
      <c r="H666" s="4"/>
      <c r="I666" s="4"/>
    </row>
    <row r="667" spans="1:9" ht="15">
      <c r="A667" s="21">
        <f t="shared" si="11"/>
        <v>190</v>
      </c>
      <c r="B667" s="16" t="s">
        <v>931</v>
      </c>
      <c r="C667" s="85" t="str">
        <f ca="1">IFERROR(__xludf.DUMMYFUNCTION("GOOGLETRANSLATE(B667:B682,""RU"",""UK"")"),"Круг  шліф. 54С 40H 400х40х127 Бакеліт")</f>
        <v>Круг  шліф. 54С 40H 400х40х127 Бакеліт</v>
      </c>
      <c r="D667" s="17" t="s">
        <v>6</v>
      </c>
      <c r="E667" s="17">
        <v>2</v>
      </c>
      <c r="F667" s="92" t="s">
        <v>73</v>
      </c>
      <c r="G667" s="4"/>
      <c r="H667" s="4"/>
      <c r="I667" s="4"/>
    </row>
    <row r="668" spans="1:9" ht="15">
      <c r="A668" s="21">
        <f t="shared" si="11"/>
        <v>191</v>
      </c>
      <c r="B668" s="16" t="s">
        <v>932</v>
      </c>
      <c r="C668" s="85" t="str">
        <f ca="1">IFERROR(__xludf.DUMMYFUNCTION("GOOGLETRANSLATE(B668:B683,""RU"",""UK"")"),"Круг  шліф. 14А 63H 400х40х127 СТ3 Бакеліт")</f>
        <v>Круг  шліф. 14А 63H 400х40х127 СТ3 Бакеліт</v>
      </c>
      <c r="D668" s="17" t="s">
        <v>6</v>
      </c>
      <c r="E668" s="17">
        <v>1</v>
      </c>
      <c r="F668" s="92" t="s">
        <v>73</v>
      </c>
      <c r="G668" s="4"/>
      <c r="H668" s="4"/>
      <c r="I668" s="4"/>
    </row>
    <row r="669" spans="1:9" ht="15">
      <c r="A669" s="21">
        <f t="shared" si="11"/>
        <v>192</v>
      </c>
      <c r="B669" s="16" t="s">
        <v>933</v>
      </c>
      <c r="C669" s="85" t="str">
        <f ca="1">IFERROR(__xludf.DUMMYFUNCTION("GOOGLETRANSLATE(B669:B684,""RU"",""UK"")"),"Круг  шліф. 14А 80H (F22) 400х40х127 СТ3 Бакеліт")</f>
        <v>Круг  шліф. 14А 80H (F22) 400х40х127 СТ3 Бакеліт</v>
      </c>
      <c r="D669" s="17" t="s">
        <v>6</v>
      </c>
      <c r="E669" s="17">
        <v>1</v>
      </c>
      <c r="F669" s="92" t="s">
        <v>73</v>
      </c>
      <c r="G669" s="4"/>
      <c r="H669" s="4"/>
      <c r="I669" s="4"/>
    </row>
    <row r="670" spans="1:9" ht="15">
      <c r="A670" s="21">
        <f t="shared" si="11"/>
        <v>193</v>
      </c>
      <c r="B670" s="16" t="s">
        <v>934</v>
      </c>
      <c r="C670" s="85" t="str">
        <f ca="1">IFERROR(__xludf.DUMMYFUNCTION("GOOGLETRANSLATE(B670:B685,""RU"",""UK"")"),"Круг  шліф. 54С 80H (F22) 400х40х127 Бакеліт")</f>
        <v>Круг  шліф. 54С 80H (F22) 400х40х127 Бакеліт</v>
      </c>
      <c r="D670" s="17" t="s">
        <v>6</v>
      </c>
      <c r="E670" s="17">
        <v>2</v>
      </c>
      <c r="F670" s="92" t="s">
        <v>73</v>
      </c>
      <c r="G670" s="4"/>
      <c r="H670" s="4"/>
      <c r="I670" s="4"/>
    </row>
    <row r="671" spans="1:9" ht="15">
      <c r="A671" s="21">
        <f t="shared" si="11"/>
        <v>194</v>
      </c>
      <c r="B671" s="16" t="s">
        <v>935</v>
      </c>
      <c r="C671" s="85" t="str">
        <f ca="1">IFERROR(__xludf.DUMMYFUNCTION("GOOGLETRANSLATE(B671:B686,""RU"",""UK"")"),"Круг  шліф. 14А 1 400х40х127 F46СМ2 / F60СМ1")</f>
        <v>Круг  шліф. 14А 1 400х40х127 F46СМ2 / F60СМ1</v>
      </c>
      <c r="D671" s="15" t="s">
        <v>6</v>
      </c>
      <c r="E671" s="15" t="s">
        <v>749</v>
      </c>
      <c r="F671" s="91" t="s">
        <v>910</v>
      </c>
      <c r="G671" s="4"/>
      <c r="H671" s="4"/>
      <c r="I671" s="4"/>
    </row>
    <row r="672" spans="1:9" ht="15">
      <c r="A672" s="21">
        <f t="shared" ref="A672:A735" si="12">A671+1</f>
        <v>195</v>
      </c>
      <c r="B672" s="14" t="s">
        <v>936</v>
      </c>
      <c r="C672" s="85" t="str">
        <f ca="1">IFERROR(__xludf.DUMMYFUNCTION("GOOGLETRANSLATE(B672:B687,""RU"",""UK"")"),"Круг  шліф. 64С ПП 400х40х127 40СМ1,2/СТ2 (зелений)")</f>
        <v>Круг  шліф. 64С ПП 400х40х127 40СМ1,2/СТ2 (зелений)</v>
      </c>
      <c r="D672" s="15" t="s">
        <v>6</v>
      </c>
      <c r="E672" s="15" t="s">
        <v>937</v>
      </c>
      <c r="F672" s="91" t="s">
        <v>938</v>
      </c>
      <c r="G672" s="4"/>
      <c r="H672" s="4"/>
      <c r="I672" s="4"/>
    </row>
    <row r="673" spans="1:9" ht="15">
      <c r="A673" s="21">
        <f t="shared" si="12"/>
        <v>196</v>
      </c>
      <c r="B673" s="16" t="s">
        <v>939</v>
      </c>
      <c r="C673" s="85" t="str">
        <f ca="1">IFERROR(__xludf.DUMMYFUNCTION("GOOGLETRANSLATE(B673:B688,""RU"",""UK"")"),"Круг  шліф. 25А 40П СМ2 (білий) 400х40х127")</f>
        <v>Круг  шліф. 25А 40П СМ2 (білий) 400х40х127</v>
      </c>
      <c r="D673" s="15" t="s">
        <v>6</v>
      </c>
      <c r="E673" s="15">
        <v>3</v>
      </c>
      <c r="F673" s="91" t="s">
        <v>938</v>
      </c>
      <c r="G673" s="4"/>
      <c r="H673" s="4"/>
      <c r="I673" s="4"/>
    </row>
    <row r="674" spans="1:9" ht="15">
      <c r="A674" s="21">
        <f t="shared" si="12"/>
        <v>197</v>
      </c>
      <c r="B674" s="14" t="s">
        <v>940</v>
      </c>
      <c r="C674" s="85" t="str">
        <f ca="1">IFERROR(__xludf.DUMMYFUNCTION("GOOGLETRANSLATE(B674:B689,""RU"",""UK"")"),"Круг  шліф. 25А 6П (біле) 400х50х127 СМ2")</f>
        <v>Круг  шліф. 25А 6П (біле) 400х50х127 СМ2</v>
      </c>
      <c r="D674" s="15" t="s">
        <v>6</v>
      </c>
      <c r="E674" s="15">
        <v>1</v>
      </c>
      <c r="F674" s="91" t="s">
        <v>938</v>
      </c>
      <c r="G674" s="4"/>
      <c r="H674" s="4"/>
      <c r="I674" s="4"/>
    </row>
    <row r="675" spans="1:9" ht="15">
      <c r="A675" s="21">
        <f t="shared" si="12"/>
        <v>198</v>
      </c>
      <c r="B675" s="14" t="s">
        <v>941</v>
      </c>
      <c r="C675" s="85" t="str">
        <f ca="1">IFERROR(__xludf.DUMMYFUNCTION("GOOGLETRANSLATE(B675:B690,""RU"",""UK"")"),"Круг  шліф. 25А 400х8х203/400х10х203")</f>
        <v>Круг  шліф. 25А 400х8х203/400х10х203</v>
      </c>
      <c r="D675" s="15" t="s">
        <v>6</v>
      </c>
      <c r="E675" s="15" t="s">
        <v>942</v>
      </c>
      <c r="F675" s="91" t="s">
        <v>231</v>
      </c>
      <c r="G675" s="4"/>
      <c r="H675" s="4"/>
      <c r="I675" s="4"/>
    </row>
    <row r="676" spans="1:9" ht="15">
      <c r="A676" s="21">
        <f t="shared" si="12"/>
        <v>199</v>
      </c>
      <c r="B676" s="14" t="s">
        <v>943</v>
      </c>
      <c r="C676" s="85" t="str">
        <f ca="1">IFERROR(__xludf.DUMMYFUNCTION("GOOGLETRANSLATE(B676:B691,""RU"",""UK"")"),"Круг  шліф. 25А 8П/39А 400х20х203")</f>
        <v>Круг  шліф. 25А 8П/39А 400х20х203</v>
      </c>
      <c r="D676" s="15" t="s">
        <v>6</v>
      </c>
      <c r="E676" s="15" t="s">
        <v>749</v>
      </c>
      <c r="F676" s="91" t="s">
        <v>71</v>
      </c>
      <c r="G676" s="4"/>
      <c r="H676" s="4"/>
      <c r="I676" s="4"/>
    </row>
    <row r="677" spans="1:9" ht="15">
      <c r="A677" s="21">
        <f t="shared" si="12"/>
        <v>200</v>
      </c>
      <c r="B677" s="34" t="s">
        <v>944</v>
      </c>
      <c r="C677" s="85" t="str">
        <f ca="1">IFERROR(__xludf.DUMMYFUNCTION("GOOGLETRANSLATE(B677:B692,""RU"",""UK"")"),"Круг  шліф. 92А 16П 400х10х203")</f>
        <v>Круг  шліф. 92А 16П 400х10х203</v>
      </c>
      <c r="D677" s="35" t="s">
        <v>6</v>
      </c>
      <c r="E677" s="35">
        <v>22</v>
      </c>
      <c r="F677" s="96" t="s">
        <v>80</v>
      </c>
      <c r="G677" s="4"/>
      <c r="H677" s="4"/>
      <c r="I677" s="4"/>
    </row>
    <row r="678" spans="1:9" ht="15">
      <c r="A678" s="21">
        <f t="shared" si="12"/>
        <v>201</v>
      </c>
      <c r="B678" s="19" t="s">
        <v>945</v>
      </c>
      <c r="C678" s="85" t="str">
        <f ca="1">IFERROR(__xludf.DUMMYFUNCTION("GOOGLETRANSLATE(B678:B693,""RU"",""UK"")"),"Круг  шліф. 91А 12П 400х20х203")</f>
        <v>Круг  шліф. 91А 12П 400х20х203</v>
      </c>
      <c r="D678" s="35" t="s">
        <v>6</v>
      </c>
      <c r="E678" s="35">
        <v>0</v>
      </c>
      <c r="F678" s="96" t="s">
        <v>71</v>
      </c>
      <c r="G678" s="4"/>
      <c r="H678" s="4"/>
      <c r="I678" s="4"/>
    </row>
    <row r="679" spans="1:9" ht="15">
      <c r="A679" s="21">
        <f t="shared" si="12"/>
        <v>202</v>
      </c>
      <c r="B679" s="34" t="s">
        <v>946</v>
      </c>
      <c r="C679" s="85" t="str">
        <f ca="1">IFERROR(__xludf.DUMMYFUNCTION("GOOGLETRANSLATE(B679:B694,""RU"",""UK"")"),"Круг  шліф. 92А (бузковий) 400х32х203")</f>
        <v>Круг  шліф. 92А (бузковий) 400х32х203</v>
      </c>
      <c r="D679" s="35" t="s">
        <v>6</v>
      </c>
      <c r="E679" s="35">
        <v>1</v>
      </c>
      <c r="F679" s="96" t="s">
        <v>75</v>
      </c>
      <c r="G679" s="4"/>
      <c r="H679" s="4"/>
      <c r="I679" s="4"/>
    </row>
    <row r="680" spans="1:9" ht="15">
      <c r="A680" s="21">
        <f t="shared" si="12"/>
        <v>203</v>
      </c>
      <c r="B680" s="39" t="s">
        <v>947</v>
      </c>
      <c r="C680" s="85" t="str">
        <f ca="1">IFERROR(__xludf.DUMMYFUNCTION("GOOGLETRANSLATE(B680:B695,""RU"",""UK"")"),"Круг  шліф. 64С 6П (зелен.) 400х40х203")</f>
        <v>Круг  шліф. 64С 6П (зелен.) 400х40х203</v>
      </c>
      <c r="D680" s="40" t="s">
        <v>6</v>
      </c>
      <c r="E680" s="40">
        <v>6</v>
      </c>
      <c r="F680" s="97" t="s">
        <v>948</v>
      </c>
      <c r="G680" s="4"/>
      <c r="H680" s="4"/>
      <c r="I680" s="4"/>
    </row>
    <row r="681" spans="1:9" ht="15">
      <c r="A681" s="21">
        <f t="shared" si="12"/>
        <v>204</v>
      </c>
      <c r="B681" s="16" t="s">
        <v>949</v>
      </c>
      <c r="C681" s="85" t="str">
        <f ca="1">IFERROR(__xludf.DUMMYFUNCTION("GOOGLETRANSLATE(B681:B696,""RU"",""UK"")"),"Круг  шліф.64С 1 400х40х203 F46(40П) СМ / F60 СM1 (зелений)")</f>
        <v>Круг  шліф.64С 1 400х40х203 F46(40П) СМ / F60 СM1 (зелений)</v>
      </c>
      <c r="D681" s="15" t="s">
        <v>6</v>
      </c>
      <c r="E681" s="15" t="s">
        <v>749</v>
      </c>
      <c r="F681" s="91" t="s">
        <v>910</v>
      </c>
      <c r="G681" s="4"/>
      <c r="H681" s="4"/>
      <c r="I681" s="4"/>
    </row>
    <row r="682" spans="1:9" ht="15">
      <c r="A682" s="21">
        <f t="shared" si="12"/>
        <v>205</v>
      </c>
      <c r="B682" s="16" t="s">
        <v>950</v>
      </c>
      <c r="C682" s="85" t="str">
        <f ca="1">IFERROR(__xludf.DUMMYFUNCTION("GOOGLETRANSLATE(B682:B697,""RU"",""UK"")"),"Круг  шліф. 14А ПП 400х40х203 40п СМ1,2/25п(F60)")</f>
        <v>Круг  шліф. 14А ПП 400х40х203 40п СМ1,2/25п(F60)</v>
      </c>
      <c r="D682" s="15" t="s">
        <v>6</v>
      </c>
      <c r="E682" s="15" t="s">
        <v>700</v>
      </c>
      <c r="F682" s="91" t="s">
        <v>951</v>
      </c>
      <c r="G682" s="4"/>
      <c r="H682" s="4"/>
      <c r="I682" s="4"/>
    </row>
    <row r="683" spans="1:9" ht="15">
      <c r="A683" s="21">
        <f t="shared" si="12"/>
        <v>206</v>
      </c>
      <c r="B683" s="16" t="s">
        <v>952</v>
      </c>
      <c r="C683" s="85" t="str">
        <f ca="1">IFERROR(__xludf.DUMMYFUNCTION("GOOGLETRANSLATE(B683:B698,""RU"",""UK"")"),"Круг  шліф. 14АБ F22 (П80) 400х40х203 Т2 / СТ3 Бакеліт")</f>
        <v>Круг  шліф. 14АБ F22 (П80) 400х40х203 Т2 / СТ3 Бакеліт</v>
      </c>
      <c r="D683" s="15" t="s">
        <v>6</v>
      </c>
      <c r="E683" s="15" t="s">
        <v>749</v>
      </c>
      <c r="F683" s="91" t="s">
        <v>10</v>
      </c>
      <c r="G683" s="4"/>
      <c r="H683" s="4"/>
      <c r="I683" s="4"/>
    </row>
    <row r="684" spans="1:9" ht="15">
      <c r="A684" s="21">
        <f t="shared" si="12"/>
        <v>207</v>
      </c>
      <c r="B684" s="16" t="s">
        <v>953</v>
      </c>
      <c r="C684" s="85" t="str">
        <f ca="1">IFERROR(__xludf.DUMMYFUNCTION("GOOGLETRANSLATE(B684:B699,""RU"",""UK"")"),"Круг  шліф. 25А ПП 400х40х203 40 СM2 (білий)")</f>
        <v>Круг  шліф. 25А ПП 400х40х203 40 СM2 (білий)</v>
      </c>
      <c r="D684" s="15" t="s">
        <v>6</v>
      </c>
      <c r="E684" s="15">
        <v>1</v>
      </c>
      <c r="F684" s="91" t="s">
        <v>954</v>
      </c>
      <c r="G684" s="4"/>
      <c r="H684" s="4"/>
      <c r="I684" s="4"/>
    </row>
    <row r="685" spans="1:9" ht="15">
      <c r="A685" s="21">
        <f t="shared" si="12"/>
        <v>208</v>
      </c>
      <c r="B685" s="16" t="s">
        <v>955</v>
      </c>
      <c r="C685" s="85" t="str">
        <f ca="1">IFERROR(__xludf.DUMMYFUNCTION("GOOGLETRANSLATE(B685:B700,""RU"",""UK"")"),"Круг  шліф. 25А ПП 400-420х63х203 40П (білий) Б/в")</f>
        <v>Круг  шліф. 25А ПП 400-420х63х203 40П (білий) Б/в</v>
      </c>
      <c r="D685" s="15" t="s">
        <v>6</v>
      </c>
      <c r="E685" s="15">
        <v>2</v>
      </c>
      <c r="F685" s="91" t="s">
        <v>71</v>
      </c>
      <c r="G685" s="4"/>
      <c r="H685" s="4"/>
      <c r="I685" s="4"/>
    </row>
    <row r="686" spans="1:9" ht="15">
      <c r="A686" s="21">
        <f t="shared" si="12"/>
        <v>209</v>
      </c>
      <c r="B686" s="14" t="s">
        <v>956</v>
      </c>
      <c r="C686" s="85" t="str">
        <f ca="1">IFERROR(__xludf.DUMMYFUNCTION("GOOGLETRANSLATE(B686:B701,""RU"",""UK"")"),"Круг  шліф. 54С F46 400х50х203")</f>
        <v>Круг  шліф. 54С F46 400х50х203</v>
      </c>
      <c r="D686" s="15" t="s">
        <v>6</v>
      </c>
      <c r="E686" s="15">
        <v>1</v>
      </c>
      <c r="F686" s="91" t="s">
        <v>84</v>
      </c>
      <c r="G686" s="4"/>
      <c r="H686" s="4"/>
      <c r="I686" s="4"/>
    </row>
    <row r="687" spans="1:9" ht="15">
      <c r="A687" s="21">
        <f t="shared" si="12"/>
        <v>210</v>
      </c>
      <c r="B687" s="14" t="s">
        <v>957</v>
      </c>
      <c r="C687" s="85" t="str">
        <f ca="1">IFERROR(__xludf.DUMMYFUNCTION("GOOGLETRANSLATE(B687:B702,""RU"",""UK"")"),"Круг  шліф. 64С 40П (зелен.) 400х50х203")</f>
        <v>Круг  шліф. 64С 40П (зелен.) 400х50х203</v>
      </c>
      <c r="D687" s="15" t="s">
        <v>6</v>
      </c>
      <c r="E687" s="15">
        <v>25</v>
      </c>
      <c r="F687" s="91" t="s">
        <v>84</v>
      </c>
      <c r="G687" s="4"/>
      <c r="H687" s="4"/>
      <c r="I687" s="4"/>
    </row>
    <row r="688" spans="1:9" ht="15">
      <c r="A688" s="21">
        <f t="shared" si="12"/>
        <v>211</v>
      </c>
      <c r="B688" s="39" t="s">
        <v>958</v>
      </c>
      <c r="C688" s="85" t="str">
        <f ca="1">IFERROR(__xludf.DUMMYFUNCTION("GOOGLETRANSLATE(B688:B703,""RU"",""UK"")"),"Круг  шліф. 64С М63П СМ2 (зелен.) 400х50х203")</f>
        <v>Круг  шліф. 64С М63П СМ2 (зелен.) 400х50х203</v>
      </c>
      <c r="D688" s="40" t="s">
        <v>6</v>
      </c>
      <c r="E688" s="40">
        <v>3</v>
      </c>
      <c r="F688" s="97" t="s">
        <v>914</v>
      </c>
      <c r="G688" s="4"/>
      <c r="H688" s="4"/>
      <c r="I688" s="4"/>
    </row>
    <row r="689" spans="1:9" ht="15">
      <c r="A689" s="21">
        <f t="shared" si="12"/>
        <v>212</v>
      </c>
      <c r="B689" s="14" t="s">
        <v>959</v>
      </c>
      <c r="C689" s="85" t="str">
        <f ca="1">IFERROR(__xludf.DUMMYFUNCTION("GOOGLETRANSLATE(B689:B704,""RU"",""UK"")"),"Круг  шліф. 64С 40П (зелен.) 410-430х50х203 Б/в")</f>
        <v>Круг  шліф. 64С 40П (зелен.) 410-430х50х203 Б/в</v>
      </c>
      <c r="D689" s="40" t="s">
        <v>6</v>
      </c>
      <c r="E689" s="17">
        <v>2</v>
      </c>
      <c r="F689" s="92" t="s">
        <v>71</v>
      </c>
      <c r="G689" s="4"/>
      <c r="H689" s="4"/>
      <c r="I689" s="4"/>
    </row>
    <row r="690" spans="1:9" ht="15">
      <c r="A690" s="21">
        <f t="shared" si="12"/>
        <v>213</v>
      </c>
      <c r="B690" s="16" t="s">
        <v>960</v>
      </c>
      <c r="C690" s="85" t="str">
        <f ca="1">IFERROR(__xludf.DUMMYFUNCTION("GOOGLETRANSLATE(B690:B705,""RU"",""UK"")"),"Круг  шліф. 24А12П 450х10х203")</f>
        <v>Круг  шліф. 24А12П 450х10х203</v>
      </c>
      <c r="D690" s="17" t="s">
        <v>6</v>
      </c>
      <c r="E690" s="17">
        <v>7</v>
      </c>
      <c r="F690" s="92" t="s">
        <v>63</v>
      </c>
      <c r="G690" s="4"/>
      <c r="H690" s="4"/>
      <c r="I690" s="4"/>
    </row>
    <row r="691" spans="1:9" ht="15">
      <c r="A691" s="21">
        <f t="shared" si="12"/>
        <v>214</v>
      </c>
      <c r="B691" s="14" t="s">
        <v>961</v>
      </c>
      <c r="C691" s="85" t="str">
        <f ca="1">IFERROR(__xludf.DUMMYFUNCTION("GOOGLETRANSLATE(B691:B706,""RU"",""UK"")"),"Круг  шліф. 14А60П (сірий) 450х40х203")</f>
        <v>Круг  шліф. 14А60П (сірий) 450х40х203</v>
      </c>
      <c r="D691" s="15" t="s">
        <v>6</v>
      </c>
      <c r="E691" s="15">
        <v>1</v>
      </c>
      <c r="F691" s="91" t="s">
        <v>910</v>
      </c>
      <c r="G691" s="4"/>
      <c r="H691" s="4"/>
      <c r="I691" s="4"/>
    </row>
    <row r="692" spans="1:9" ht="15">
      <c r="A692" s="21">
        <f t="shared" si="12"/>
        <v>215</v>
      </c>
      <c r="B692" s="34" t="s">
        <v>962</v>
      </c>
      <c r="C692" s="85" t="str">
        <f ca="1">IFERROR(__xludf.DUMMYFUNCTION("GOOGLETRANSLATE(B692:B707,""RU"",""UK"")"),"Круг  шліф. 95А16П 450х40х203")</f>
        <v>Круг  шліф. 95А16П 450х40х203</v>
      </c>
      <c r="D692" s="35" t="s">
        <v>6</v>
      </c>
      <c r="E692" s="35">
        <v>1</v>
      </c>
      <c r="F692" s="96" t="s">
        <v>84</v>
      </c>
      <c r="G692" s="4"/>
      <c r="H692" s="4"/>
      <c r="I692" s="4"/>
    </row>
    <row r="693" spans="1:9" ht="15">
      <c r="A693" s="21">
        <f t="shared" si="12"/>
        <v>216</v>
      </c>
      <c r="B693" s="14" t="s">
        <v>963</v>
      </c>
      <c r="C693" s="85" t="str">
        <f ca="1">IFERROR(__xludf.DUMMYFUNCTION("GOOGLETRANSLATE(B693:B708,""RU"",""UK"")"),"Круг  шліф. 25А 40п(білий) 450х40х203")</f>
        <v>Круг  шліф. 25А 40п(білий) 450х40х203</v>
      </c>
      <c r="D693" s="15" t="s">
        <v>6</v>
      </c>
      <c r="E693" s="15">
        <v>4</v>
      </c>
      <c r="F693" s="91" t="s">
        <v>84</v>
      </c>
      <c r="G693" s="4"/>
      <c r="H693" s="4"/>
      <c r="I693" s="4"/>
    </row>
    <row r="694" spans="1:9" ht="15">
      <c r="A694" s="21">
        <f t="shared" si="12"/>
        <v>217</v>
      </c>
      <c r="B694" s="14" t="s">
        <v>964</v>
      </c>
      <c r="C694" s="85" t="str">
        <f ca="1">IFERROR(__xludf.DUMMYFUNCTION("GOOGLETRANSLATE(B694:B709,""RU"",""UK"")"),"Круг  шліф. 64С 40П СТ2 450х40х203")</f>
        <v>Круг  шліф. 64С 40П СТ2 450х40х203</v>
      </c>
      <c r="D694" s="15" t="s">
        <v>6</v>
      </c>
      <c r="E694" s="15">
        <v>2</v>
      </c>
      <c r="F694" s="91" t="s">
        <v>84</v>
      </c>
      <c r="G694" s="4"/>
      <c r="H694" s="4"/>
      <c r="I694" s="4"/>
    </row>
    <row r="695" spans="1:9" ht="15">
      <c r="A695" s="21">
        <f t="shared" si="12"/>
        <v>218</v>
      </c>
      <c r="B695" s="14" t="s">
        <v>965</v>
      </c>
      <c r="C695" s="85" t="str">
        <f ca="1">IFERROR(__xludf.DUMMYFUNCTION("GOOGLETRANSLATE(B695:B710,""RU"",""UK"")"),"Круг  шліф. 64С 40П (зелене) 450х40х127")</f>
        <v>Круг  шліф. 64С 40П (зелене) 450х40х127</v>
      </c>
      <c r="D695" s="15" t="s">
        <v>6</v>
      </c>
      <c r="E695" s="15">
        <v>1</v>
      </c>
      <c r="F695" s="91" t="s">
        <v>84</v>
      </c>
      <c r="G695" s="4"/>
      <c r="H695" s="4"/>
      <c r="I695" s="4"/>
    </row>
    <row r="696" spans="1:9" ht="15">
      <c r="A696" s="21">
        <f t="shared" si="12"/>
        <v>219</v>
      </c>
      <c r="B696" s="34" t="s">
        <v>966</v>
      </c>
      <c r="C696" s="85" t="str">
        <f ca="1">IFERROR(__xludf.DUMMYFUNCTION("GOOGLETRANSLATE(B696:B711,""RU"",""UK"")"),"Круг  шліф. 92А (бузковий) 450х40х127")</f>
        <v>Круг  шліф. 92А (бузковий) 450х40х127</v>
      </c>
      <c r="D696" s="35" t="s">
        <v>6</v>
      </c>
      <c r="E696" s="35">
        <v>1</v>
      </c>
      <c r="F696" s="96" t="s">
        <v>84</v>
      </c>
      <c r="G696" s="4"/>
      <c r="H696" s="4"/>
      <c r="I696" s="4"/>
    </row>
    <row r="697" spans="1:9" ht="15">
      <c r="A697" s="21">
        <f t="shared" si="12"/>
        <v>220</v>
      </c>
      <c r="B697" s="34" t="s">
        <v>967</v>
      </c>
      <c r="C697" s="85" t="str">
        <f ca="1">IFERROR(__xludf.DUMMYFUNCTION("GOOGLETRANSLATE(B697:B712,""RU"",""UK"")"),"Круг  шліф. 92А (бузковий) 450х50х127")</f>
        <v>Круг  шліф. 92А (бузковий) 450х50х127</v>
      </c>
      <c r="D697" s="35" t="s">
        <v>6</v>
      </c>
      <c r="E697" s="35">
        <v>6</v>
      </c>
      <c r="F697" s="96" t="s">
        <v>84</v>
      </c>
      <c r="G697" s="4"/>
      <c r="H697" s="4"/>
      <c r="I697" s="4"/>
    </row>
    <row r="698" spans="1:9" ht="15">
      <c r="A698" s="21">
        <f t="shared" si="12"/>
        <v>221</v>
      </c>
      <c r="B698" s="14" t="s">
        <v>968</v>
      </c>
      <c r="C698" s="85" t="str">
        <f ca="1">IFERROR(__xludf.DUMMYFUNCTION("GOOGLETRANSLATE(B698:B713,""RU"",""UK"")"),"Круг  шліф. 25А 40П С1(білий) 450х50х127")</f>
        <v>Круг  шліф. 25А 40П С1(білий) 450х50х127</v>
      </c>
      <c r="D698" s="15" t="s">
        <v>6</v>
      </c>
      <c r="E698" s="15">
        <v>3</v>
      </c>
      <c r="F698" s="91" t="s">
        <v>84</v>
      </c>
      <c r="G698" s="4"/>
      <c r="H698" s="4"/>
      <c r="I698" s="4"/>
    </row>
    <row r="699" spans="1:9" ht="15">
      <c r="A699" s="21">
        <f t="shared" si="12"/>
        <v>222</v>
      </c>
      <c r="B699" s="16" t="s">
        <v>969</v>
      </c>
      <c r="C699" s="85" t="str">
        <f ca="1">IFERROR(__xludf.DUMMYFUNCTION("GOOGLETRANSLATE(B699:B714,""RU"",""UK"")"),"Круг  шліф. 14А 40П СМ1 (сірий) 450х50х203")</f>
        <v>Круг  шліф. 14А 40П СМ1 (сірий) 450х50х203</v>
      </c>
      <c r="D699" s="17" t="s">
        <v>6</v>
      </c>
      <c r="E699" s="17">
        <v>1</v>
      </c>
      <c r="F699" s="92" t="s">
        <v>84</v>
      </c>
      <c r="G699" s="4"/>
      <c r="H699" s="4"/>
      <c r="I699" s="4"/>
    </row>
    <row r="700" spans="1:9" ht="15">
      <c r="A700" s="21">
        <f t="shared" si="12"/>
        <v>223</v>
      </c>
      <c r="B700" s="16" t="s">
        <v>970</v>
      </c>
      <c r="C700" s="85" t="str">
        <f ca="1">IFERROR(__xludf.DUMMYFUNCTION("GOOGLETRANSLATE(B700:B715,""RU"",""UK"")"),"Круг  шліф. 25А 40П СМ1/C1/CТ (білий) 450х50х203")</f>
        <v>Круг  шліф. 25А 40П СМ1/C1/CТ (білий) 450х50х203</v>
      </c>
      <c r="D700" s="17" t="s">
        <v>6</v>
      </c>
      <c r="E700" s="17" t="s">
        <v>971</v>
      </c>
      <c r="F700" s="92" t="s">
        <v>84</v>
      </c>
      <c r="G700" s="4"/>
      <c r="H700" s="4"/>
      <c r="I700" s="4"/>
    </row>
    <row r="701" spans="1:9" ht="15">
      <c r="A701" s="21">
        <f t="shared" si="12"/>
        <v>224</v>
      </c>
      <c r="B701" s="16" t="s">
        <v>972</v>
      </c>
      <c r="C701" s="85" t="str">
        <f ca="1">IFERROR(__xludf.DUMMYFUNCTION("GOOGLETRANSLATE(B701:B716,""RU"",""UK"")"),"Круг  шліф. 64С 40П 450х50х203")</f>
        <v>Круг  шліф. 64С 40П 450х50х203</v>
      </c>
      <c r="D701" s="17" t="s">
        <v>6</v>
      </c>
      <c r="E701" s="17">
        <v>1</v>
      </c>
      <c r="F701" s="92" t="s">
        <v>84</v>
      </c>
      <c r="G701" s="4"/>
      <c r="H701" s="4"/>
      <c r="I701" s="4"/>
    </row>
    <row r="702" spans="1:9" ht="15">
      <c r="A702" s="21">
        <f t="shared" si="12"/>
        <v>225</v>
      </c>
      <c r="B702" s="16" t="s">
        <v>973</v>
      </c>
      <c r="C702" s="85" t="str">
        <f ca="1">IFERROR(__xludf.DUMMYFUNCTION("GOOGLETRANSLATE(B702:B717,""RU"",""UK"")"),"Круг  шліф. 14А 25П СТ1/40П СМ(сірий) 450х63х203")</f>
        <v>Круг  шліф. 14А 25П СТ1/40П СМ(сірий) 450х63х203</v>
      </c>
      <c r="D702" s="17" t="s">
        <v>6</v>
      </c>
      <c r="E702" s="17" t="s">
        <v>686</v>
      </c>
      <c r="F702" s="92" t="s">
        <v>84</v>
      </c>
      <c r="G702" s="4"/>
      <c r="H702" s="4"/>
      <c r="I702" s="4"/>
    </row>
    <row r="703" spans="1:9" ht="15">
      <c r="A703" s="21">
        <f t="shared" si="12"/>
        <v>226</v>
      </c>
      <c r="B703" s="16" t="s">
        <v>974</v>
      </c>
      <c r="C703" s="85" t="str">
        <f ca="1">IFERROR(__xludf.DUMMYFUNCTION("GOOGLETRANSLATE(B703:B718,""RU"",""UK"")"),"Круг  шліф. 14А 40П (сірий) 450х63х203 Б/в")</f>
        <v>Круг  шліф. 14А 40П (сірий) 450х63х203 Б/в</v>
      </c>
      <c r="D703" s="17" t="s">
        <v>6</v>
      </c>
      <c r="E703" s="17">
        <v>1</v>
      </c>
      <c r="F703" s="92" t="s">
        <v>71</v>
      </c>
      <c r="G703" s="4"/>
      <c r="H703" s="4"/>
      <c r="I703" s="4"/>
    </row>
    <row r="704" spans="1:9" ht="15">
      <c r="A704" s="21">
        <f t="shared" si="12"/>
        <v>227</v>
      </c>
      <c r="B704" s="16" t="s">
        <v>975</v>
      </c>
      <c r="C704" s="85" t="str">
        <f ca="1">IFERROR(__xludf.DUMMYFUNCTION("GOOGLETRANSLATE(B704:B719,""RU"",""UK"")"),"Круг  шліф. 14А 40П (сірий) 470х63х203 Б/в")</f>
        <v>Круг  шліф. 14А 40П (сірий) 470х63х203 Б/в</v>
      </c>
      <c r="D704" s="17" t="s">
        <v>6</v>
      </c>
      <c r="E704" s="17">
        <v>1</v>
      </c>
      <c r="F704" s="92" t="s">
        <v>71</v>
      </c>
      <c r="G704" s="4"/>
      <c r="H704" s="4"/>
      <c r="I704" s="4"/>
    </row>
    <row r="705" spans="1:9" ht="15">
      <c r="A705" s="21">
        <f t="shared" si="12"/>
        <v>228</v>
      </c>
      <c r="B705" s="14" t="s">
        <v>976</v>
      </c>
      <c r="C705" s="85" t="str">
        <f ca="1">IFERROR(__xludf.DUMMYFUNCTION("GOOGLETRANSLATE(B705:B720,""RU"",""UK"")"),"Круг  шліф. 64С 40П CМ/СМ2/М3 450х63х203")</f>
        <v>Круг  шліф. 64С 40П CМ/СМ2/М3 450х63х203</v>
      </c>
      <c r="D705" s="15" t="s">
        <v>6</v>
      </c>
      <c r="E705" s="15" t="s">
        <v>977</v>
      </c>
      <c r="F705" s="91" t="s">
        <v>50</v>
      </c>
      <c r="G705" s="4"/>
      <c r="H705" s="4"/>
      <c r="I705" s="4"/>
    </row>
    <row r="706" spans="1:9" ht="15">
      <c r="A706" s="21">
        <f t="shared" si="12"/>
        <v>229</v>
      </c>
      <c r="B706" s="16" t="s">
        <v>978</v>
      </c>
      <c r="C706" s="85" t="str">
        <f ca="1">IFERROR(__xludf.DUMMYFUNCTION("GOOGLETRANSLATE(B706:B721,""RU"",""UK"")"),"Круг  шліф. 24А 25П СМ1/25АF46 СМ2 450х63х203")</f>
        <v>Круг  шліф. 24А 25П СМ1/25АF46 СМ2 450х63х203</v>
      </c>
      <c r="D706" s="17" t="s">
        <v>6</v>
      </c>
      <c r="E706" s="17" t="s">
        <v>749</v>
      </c>
      <c r="F706" s="92" t="s">
        <v>50</v>
      </c>
      <c r="G706" s="4"/>
      <c r="H706" s="4"/>
      <c r="I706" s="4"/>
    </row>
    <row r="707" spans="1:9" ht="15">
      <c r="A707" s="21">
        <f t="shared" si="12"/>
        <v>230</v>
      </c>
      <c r="B707" s="41" t="s">
        <v>979</v>
      </c>
      <c r="C707" s="85" t="str">
        <f ca="1">IFERROR(__xludf.DUMMYFUNCTION("GOOGLETRANSLATE(B707:B722,""RU"",""UK"")"),"Круг  шліф. 92А 16П 450х63х203 СМ")</f>
        <v>Круг  шліф. 92А 16П 450х63х203 СМ</v>
      </c>
      <c r="D707" s="42" t="s">
        <v>6</v>
      </c>
      <c r="E707" s="42">
        <v>1</v>
      </c>
      <c r="F707" s="98" t="s">
        <v>12</v>
      </c>
      <c r="G707" s="4"/>
      <c r="H707" s="4"/>
      <c r="I707" s="4"/>
    </row>
    <row r="708" spans="1:9" ht="15">
      <c r="A708" s="21">
        <f t="shared" si="12"/>
        <v>231</v>
      </c>
      <c r="B708" s="34" t="s">
        <v>980</v>
      </c>
      <c r="C708" s="85" t="str">
        <f ca="1">IFERROR(__xludf.DUMMYFUNCTION("GOOGLETRANSLATE(B708:B723,""RU"",""UK"")"),"Круг  шліф. 93А 500х40х203")</f>
        <v>Круг  шліф. 93А 500х40х203</v>
      </c>
      <c r="D708" s="35" t="s">
        <v>6</v>
      </c>
      <c r="E708" s="35">
        <v>1</v>
      </c>
      <c r="F708" s="96" t="s">
        <v>50</v>
      </c>
      <c r="G708" s="4"/>
      <c r="H708" s="4"/>
      <c r="I708" s="4"/>
    </row>
    <row r="709" spans="1:9" ht="15">
      <c r="A709" s="21">
        <f t="shared" si="12"/>
        <v>232</v>
      </c>
      <c r="B709" s="14" t="s">
        <v>981</v>
      </c>
      <c r="C709" s="85" t="str">
        <f ca="1">IFERROR(__xludf.DUMMYFUNCTION("GOOGLETRANSLATE(B709:B724,""RU"",""UK"")"),"Круг  шліф. 14А 40П СТ3 500х50х203")</f>
        <v>Круг  шліф. 14А 40П СТ3 500х50х203</v>
      </c>
      <c r="D709" s="15" t="s">
        <v>6</v>
      </c>
      <c r="E709" s="15">
        <v>2</v>
      </c>
      <c r="F709" s="91" t="s">
        <v>14</v>
      </c>
      <c r="G709" s="4"/>
      <c r="H709" s="4"/>
      <c r="I709" s="4"/>
    </row>
    <row r="710" spans="1:9" ht="15">
      <c r="A710" s="21">
        <f t="shared" si="12"/>
        <v>233</v>
      </c>
      <c r="B710" s="14" t="s">
        <v>982</v>
      </c>
      <c r="C710" s="85" t="str">
        <f ca="1">IFERROR(__xludf.DUMMYFUNCTION("GOOGLETRANSLATE(B710:B725,""RU"",""UK"")"),"Круг  шліф. 25А 40П СТ 500х50х203")</f>
        <v>Круг  шліф. 25А 40П СТ 500х50х203</v>
      </c>
      <c r="D710" s="15" t="s">
        <v>6</v>
      </c>
      <c r="E710" s="15" t="s">
        <v>983</v>
      </c>
      <c r="F710" s="91" t="s">
        <v>50</v>
      </c>
      <c r="G710" s="4"/>
      <c r="H710" s="4"/>
      <c r="I710" s="4"/>
    </row>
    <row r="711" spans="1:9" ht="15">
      <c r="A711" s="21">
        <f t="shared" si="12"/>
        <v>234</v>
      </c>
      <c r="B711" s="19" t="s">
        <v>984</v>
      </c>
      <c r="C711" s="85" t="str">
        <f ca="1">IFERROR(__xludf.DUMMYFUNCTION("GOOGLETRANSLATE(B711:B726,""RU"",""UK"")"),"Круг  шліф. 92А 25П СМ2 500х50х203")</f>
        <v>Круг  шліф. 92А 25П СМ2 500х50х203</v>
      </c>
      <c r="D711" s="35" t="s">
        <v>6</v>
      </c>
      <c r="E711" s="35">
        <v>0</v>
      </c>
      <c r="F711" s="96" t="s">
        <v>50</v>
      </c>
      <c r="G711" s="4"/>
      <c r="H711" s="4"/>
      <c r="I711" s="4"/>
    </row>
    <row r="712" spans="1:9" ht="15">
      <c r="A712" s="21">
        <f t="shared" si="12"/>
        <v>235</v>
      </c>
      <c r="B712" s="19" t="s">
        <v>985</v>
      </c>
      <c r="C712" s="85" t="str">
        <f ca="1">IFERROR(__xludf.DUMMYFUNCTION("GOOGLETRANSLATE(B712:B727,""RU"",""UK"")"),"Круг  шліф.14А 40П СМ (сірий) 500х63х203")</f>
        <v>Круг  шліф.14А 40П СМ (сірий) 500х63х203</v>
      </c>
      <c r="D712" s="17" t="s">
        <v>6</v>
      </c>
      <c r="E712" s="17">
        <v>0</v>
      </c>
      <c r="F712" s="92" t="s">
        <v>12</v>
      </c>
      <c r="G712" s="4"/>
      <c r="H712" s="4"/>
      <c r="I712" s="4"/>
    </row>
    <row r="713" spans="1:9" ht="15">
      <c r="A713" s="21">
        <f t="shared" si="12"/>
        <v>236</v>
      </c>
      <c r="B713" s="19" t="s">
        <v>986</v>
      </c>
      <c r="C713" s="85" t="str">
        <f ca="1">IFERROR(__xludf.DUMMYFUNCTION("GOOGLETRANSLATE(B713:B728,""RU"",""UK"")"),"Круг  шліф. 64С 40Н Ст1 500х63х203")</f>
        <v>Круг  шліф. 64С 40Н Ст1 500х63х203</v>
      </c>
      <c r="D713" s="15" t="s">
        <v>6</v>
      </c>
      <c r="E713" s="15">
        <v>0</v>
      </c>
      <c r="F713" s="91" t="s">
        <v>61</v>
      </c>
      <c r="G713" s="4"/>
      <c r="H713" s="4"/>
      <c r="I713" s="4"/>
    </row>
    <row r="714" spans="1:9" ht="15">
      <c r="A714" s="21">
        <f t="shared" si="12"/>
        <v>237</v>
      </c>
      <c r="B714" s="34" t="s">
        <v>987</v>
      </c>
      <c r="C714" s="85" t="str">
        <f ca="1">IFERROR(__xludf.DUMMYFUNCTION("GOOGLETRANSLATE(B714:B729,""RU"",""UK"")"),"Круг  шліф. 92А 25П С1 500х63х203")</f>
        <v>Круг  шліф. 92А 25П С1 500х63х203</v>
      </c>
      <c r="D714" s="35" t="s">
        <v>6</v>
      </c>
      <c r="E714" s="35">
        <v>6</v>
      </c>
      <c r="F714" s="96" t="s">
        <v>61</v>
      </c>
      <c r="G714" s="4"/>
      <c r="H714" s="4"/>
      <c r="I714" s="4"/>
    </row>
    <row r="715" spans="1:9" ht="15">
      <c r="A715" s="21">
        <f t="shared" si="12"/>
        <v>238</v>
      </c>
      <c r="B715" s="34" t="s">
        <v>988</v>
      </c>
      <c r="C715" s="85" t="str">
        <f ca="1">IFERROR(__xludf.DUMMYFUNCTION("GOOGLETRANSLATE(B715:B730,""RU"",""UK"")"),"Круг  шліф. 91А 40П СТ1/СМ2 500х63х203")</f>
        <v>Круг  шліф. 91А 40П СТ1/СМ2 500х63х203</v>
      </c>
      <c r="D715" s="35" t="s">
        <v>6</v>
      </c>
      <c r="E715" s="35" t="s">
        <v>920</v>
      </c>
      <c r="F715" s="96" t="s">
        <v>61</v>
      </c>
      <c r="G715" s="4"/>
      <c r="H715" s="4"/>
      <c r="I715" s="4"/>
    </row>
    <row r="716" spans="1:9" ht="15">
      <c r="A716" s="21">
        <f t="shared" si="12"/>
        <v>239</v>
      </c>
      <c r="B716" s="34" t="s">
        <v>989</v>
      </c>
      <c r="C716" s="85" t="str">
        <f ca="1">IFERROR(__xludf.DUMMYFUNCTION("GOOGLETRANSLATE(B716:B731,""RU"",""UK"")"),"Круг  шліф. 92А 50Н СТ 500х63х203")</f>
        <v>Круг  шліф. 92А 50Н СТ 500х63х203</v>
      </c>
      <c r="D716" s="35" t="s">
        <v>6</v>
      </c>
      <c r="E716" s="35">
        <v>9</v>
      </c>
      <c r="F716" s="96" t="s">
        <v>61</v>
      </c>
      <c r="G716" s="4"/>
      <c r="H716" s="4"/>
      <c r="I716" s="4"/>
    </row>
    <row r="717" spans="1:9" ht="15">
      <c r="A717" s="21">
        <f t="shared" si="12"/>
        <v>240</v>
      </c>
      <c r="B717" s="14" t="s">
        <v>990</v>
      </c>
      <c r="C717" s="85" t="str">
        <f ca="1">IFERROR(__xludf.DUMMYFUNCTION("GOOGLETRANSLATE(B717:B732,""RU"",""UK"")"),"Круг  шліф. 25А 40П (біле) 600х50х305")</f>
        <v>Круг  шліф. 25А 40П (біле) 600х50х305</v>
      </c>
      <c r="D717" s="15" t="s">
        <v>6</v>
      </c>
      <c r="E717" s="15">
        <v>3</v>
      </c>
      <c r="F717" s="91" t="s">
        <v>991</v>
      </c>
      <c r="G717" s="4"/>
      <c r="H717" s="4"/>
      <c r="I717" s="4"/>
    </row>
    <row r="718" spans="1:9" ht="15">
      <c r="A718" s="21">
        <f t="shared" si="12"/>
        <v>241</v>
      </c>
      <c r="B718" s="14" t="s">
        <v>992</v>
      </c>
      <c r="C718" s="85" t="str">
        <f ca="1">IFERROR(__xludf.DUMMYFUNCTION("GOOGLETRANSLATE(B718:B733,""RU"",""UK"")"),"Круг  шліф. 25А 40П/50П (білий) 600х63х305")</f>
        <v>Круг  шліф. 25А 40П/50П (білий) 600х63х305</v>
      </c>
      <c r="D718" s="15" t="s">
        <v>6</v>
      </c>
      <c r="E718" s="15" t="s">
        <v>993</v>
      </c>
      <c r="F718" s="91" t="s">
        <v>48</v>
      </c>
      <c r="G718" s="4"/>
      <c r="H718" s="4"/>
      <c r="I718" s="4"/>
    </row>
    <row r="719" spans="1:9" ht="15">
      <c r="A719" s="21">
        <f t="shared" si="12"/>
        <v>242</v>
      </c>
      <c r="B719" s="14" t="s">
        <v>994</v>
      </c>
      <c r="C719" s="85" t="str">
        <f ca="1">IFERROR(__xludf.DUMMYFUNCTION("GOOGLETRANSLATE(B719:B734,""RU"",""UK"")"),"Круг  шліф. 25А 25П М3 (білий) 600х63х305")</f>
        <v>Круг  шліф. 25А 25П М3 (білий) 600х63х305</v>
      </c>
      <c r="D719" s="15" t="s">
        <v>6</v>
      </c>
      <c r="E719" s="15">
        <v>1</v>
      </c>
      <c r="F719" s="91" t="s">
        <v>48</v>
      </c>
      <c r="G719" s="4"/>
      <c r="H719" s="4"/>
      <c r="I719" s="4"/>
    </row>
    <row r="720" spans="1:9" ht="15">
      <c r="A720" s="21">
        <f t="shared" si="12"/>
        <v>243</v>
      </c>
      <c r="B720" s="16" t="s">
        <v>995</v>
      </c>
      <c r="C720" s="85" t="str">
        <f ca="1">IFERROR(__xludf.DUMMYFUNCTION("GOOGLETRANSLATE(B720:B735,""RU"",""UK"")"),"Круг  шліф. 14А 40П СТ/СТ1/СТ3 600х63х305")</f>
        <v>Круг  шліф. 14А 40П СТ/СТ1/СТ3 600х63х305</v>
      </c>
      <c r="D720" s="17" t="s">
        <v>6</v>
      </c>
      <c r="E720" s="17" t="s">
        <v>996</v>
      </c>
      <c r="F720" s="91" t="s">
        <v>59</v>
      </c>
      <c r="G720" s="4"/>
      <c r="H720" s="4"/>
      <c r="I720" s="4"/>
    </row>
    <row r="721" spans="1:9" ht="15">
      <c r="A721" s="21">
        <f t="shared" si="12"/>
        <v>244</v>
      </c>
      <c r="B721" s="16" t="s">
        <v>997</v>
      </c>
      <c r="C721" s="85" t="str">
        <f ca="1">IFERROR(__xludf.DUMMYFUNCTION("GOOGLETRANSLATE(B721:B736,""RU"",""UK"")"),"Круг  шліф. 14А 40П С1/СМ 600х63х305")</f>
        <v>Круг  шліф. 14А 40П С1/СМ 600х63х305</v>
      </c>
      <c r="D721" s="17" t="s">
        <v>6</v>
      </c>
      <c r="E721" s="17" t="s">
        <v>749</v>
      </c>
      <c r="F721" s="91" t="s">
        <v>59</v>
      </c>
      <c r="G721" s="4"/>
      <c r="H721" s="4"/>
      <c r="I721" s="4"/>
    </row>
    <row r="722" spans="1:9" ht="15">
      <c r="A722" s="21">
        <f t="shared" si="12"/>
        <v>245</v>
      </c>
      <c r="B722" s="14" t="s">
        <v>998</v>
      </c>
      <c r="C722" s="85" t="str">
        <f ca="1">IFERROR(__xludf.DUMMYFUNCTION("GOOGLETRANSLATE(B722:B737,""RU"",""UK"")"),"Круг  шліф. 14А 25П СМ1 600х63х305")</f>
        <v>Круг  шліф. 14А 25П СМ1 600х63х305</v>
      </c>
      <c r="D722" s="15" t="s">
        <v>6</v>
      </c>
      <c r="E722" s="15">
        <v>1</v>
      </c>
      <c r="F722" s="91" t="s">
        <v>59</v>
      </c>
      <c r="G722" s="4"/>
      <c r="H722" s="4"/>
      <c r="I722" s="4"/>
    </row>
    <row r="723" spans="1:9" ht="15">
      <c r="A723" s="21">
        <f t="shared" si="12"/>
        <v>246</v>
      </c>
      <c r="B723" s="19" t="s">
        <v>999</v>
      </c>
      <c r="C723" s="85" t="str">
        <f ca="1">IFERROR(__xludf.DUMMYFUNCTION("GOOGLETRANSLATE(B723:B738,""RU"",""UK"")"),"Круг  шліф. 64С 40Н(F46) С1 600х63х305")</f>
        <v>Круг  шліф. 64С 40Н(F46) С1 600х63х305</v>
      </c>
      <c r="D723" s="15" t="s">
        <v>6</v>
      </c>
      <c r="E723" s="15">
        <v>1</v>
      </c>
      <c r="F723" s="91" t="s">
        <v>1000</v>
      </c>
      <c r="G723" s="4"/>
      <c r="H723" s="4"/>
      <c r="I723" s="4"/>
    </row>
    <row r="724" spans="1:9" ht="15">
      <c r="A724" s="21">
        <f t="shared" si="12"/>
        <v>247</v>
      </c>
      <c r="B724" s="34" t="s">
        <v>1001</v>
      </c>
      <c r="C724" s="85" t="str">
        <f ca="1">IFERROR(__xludf.DUMMYFUNCTION("GOOGLETRANSLATE(B724:B739,""RU"",""UK"")"),"Круг  шліф. 92А 25П СТ1 (сирен.) 600х63х305")</f>
        <v>Круг  шліф. 92А 25П СТ1 (сирен.) 600х63х305</v>
      </c>
      <c r="D724" s="35" t="s">
        <v>6</v>
      </c>
      <c r="E724" s="35">
        <v>7</v>
      </c>
      <c r="F724" s="96" t="s">
        <v>1002</v>
      </c>
      <c r="G724" s="4"/>
      <c r="H724" s="4"/>
      <c r="I724" s="4"/>
    </row>
    <row r="725" spans="1:9" ht="15">
      <c r="A725" s="21">
        <f t="shared" si="12"/>
        <v>248</v>
      </c>
      <c r="B725" s="34" t="s">
        <v>1003</v>
      </c>
      <c r="C725" s="85" t="str">
        <f ca="1">IFERROR(__xludf.DUMMYFUNCTION("GOOGLETRANSLATE(B725:B740,""RU"",""UK"")"),"Круг  шліф. 96А 40П С2 600х63х305 (50м/с)")</f>
        <v>Круг  шліф. 96А 40П С2 600х63х305 (50м/с)</v>
      </c>
      <c r="D725" s="35" t="s">
        <v>6</v>
      </c>
      <c r="E725" s="35">
        <v>3</v>
      </c>
      <c r="F725" s="96" t="s">
        <v>1002</v>
      </c>
      <c r="G725" s="4"/>
      <c r="H725" s="4"/>
      <c r="I725" s="4"/>
    </row>
    <row r="726" spans="1:9" ht="15">
      <c r="A726" s="21">
        <f t="shared" si="12"/>
        <v>249</v>
      </c>
      <c r="B726" s="16" t="s">
        <v>1004</v>
      </c>
      <c r="C726" s="85" t="str">
        <f ca="1">IFERROR(__xludf.DUMMYFUNCTION("GOOGLETRANSLATE(B726:B741,""RU"",""UK"")"),"Круг  шліф. 25А 40П (біле) 600х80х305 СМ2 / СМ1")</f>
        <v>Круг  шліф. 25А 40П (біле) 600х80х305 СМ2 / СМ1</v>
      </c>
      <c r="D726" s="15" t="s">
        <v>6</v>
      </c>
      <c r="E726" s="15" t="s">
        <v>1005</v>
      </c>
      <c r="F726" s="91" t="s">
        <v>1006</v>
      </c>
      <c r="G726" s="4"/>
      <c r="H726" s="4"/>
      <c r="I726" s="4"/>
    </row>
    <row r="727" spans="1:9" ht="15">
      <c r="A727" s="21">
        <f t="shared" si="12"/>
        <v>250</v>
      </c>
      <c r="B727" s="34" t="s">
        <v>1007</v>
      </c>
      <c r="C727" s="85" t="str">
        <f ca="1">IFERROR(__xludf.DUMMYFUNCTION("GOOGLETRANSLATE(B727:B742,""RU"",""UK"")"),"Круг  шліф. 92А 40П СМ2 (сирен.) 750х100х305")</f>
        <v>Круг  шліф. 92А 40П СМ2 (сирен.) 750х100х305</v>
      </c>
      <c r="D727" s="35" t="s">
        <v>6</v>
      </c>
      <c r="E727" s="35">
        <v>1</v>
      </c>
      <c r="F727" s="96" t="s">
        <v>1008</v>
      </c>
      <c r="G727" s="4"/>
      <c r="H727" s="4"/>
      <c r="I727" s="4"/>
    </row>
    <row r="728" spans="1:9" ht="15">
      <c r="A728" s="21">
        <f t="shared" si="12"/>
        <v>251</v>
      </c>
      <c r="B728" s="14" t="s">
        <v>1009</v>
      </c>
      <c r="C728" s="85" t="str">
        <f ca="1">IFERROR(__xludf.DUMMYFUNCTION("GOOGLETRANSLATE(B728:B743,""RU"",""UK"")"),"Брусок 25А 16х16х150")</f>
        <v>Брусок 25А 16х16х150</v>
      </c>
      <c r="D728" s="15" t="s">
        <v>6</v>
      </c>
      <c r="E728" s="15">
        <v>35</v>
      </c>
      <c r="F728" s="91" t="s">
        <v>292</v>
      </c>
      <c r="G728" s="4"/>
      <c r="H728" s="4"/>
      <c r="I728" s="4"/>
    </row>
    <row r="729" spans="1:9" ht="15">
      <c r="A729" s="21">
        <f t="shared" si="12"/>
        <v>252</v>
      </c>
      <c r="B729" s="14" t="s">
        <v>1010</v>
      </c>
      <c r="C729" s="85" t="str">
        <f ca="1">IFERROR(__xludf.DUMMYFUNCTION("GOOGLETRANSLATE(B729:B744,""RU"",""UK"")"),"Брусок 64С 200х20х20")</f>
        <v>Брусок 64С 200х20х20</v>
      </c>
      <c r="D729" s="15" t="s">
        <v>6</v>
      </c>
      <c r="E729" s="15">
        <v>28</v>
      </c>
      <c r="F729" s="91" t="s">
        <v>167</v>
      </c>
      <c r="G729" s="4"/>
      <c r="H729" s="4"/>
      <c r="I729" s="4"/>
    </row>
    <row r="730" spans="1:9" ht="15">
      <c r="A730" s="21">
        <f t="shared" si="12"/>
        <v>253</v>
      </c>
      <c r="B730" s="14" t="s">
        <v>1011</v>
      </c>
      <c r="C730" s="85" t="str">
        <f ca="1">IFERROR(__xludf.DUMMYFUNCTION("GOOGLETRANSLATE(B730:B745,""RU"",""UK"")"),"Брусок 64С 150х25х16")</f>
        <v>Брусок 64С 150х25х16</v>
      </c>
      <c r="D730" s="15" t="s">
        <v>6</v>
      </c>
      <c r="E730" s="15">
        <v>7</v>
      </c>
      <c r="F730" s="91" t="s">
        <v>134</v>
      </c>
      <c r="G730" s="4"/>
      <c r="H730" s="4"/>
      <c r="I730" s="4"/>
    </row>
    <row r="731" spans="1:9" ht="15">
      <c r="A731" s="21">
        <f t="shared" si="12"/>
        <v>254</v>
      </c>
      <c r="B731" s="14" t="s">
        <v>1012</v>
      </c>
      <c r="C731" s="85" t="str">
        <f ca="1">IFERROR(__xludf.DUMMYFUNCTION("GOOGLETRANSLATE(B731:B746,""RU"",""UK"")"),"Брусок 14А 150х50х10/24А 150х20х16")</f>
        <v>Брусок 14А 150х50х10/24А 150х20х16</v>
      </c>
      <c r="D731" s="15" t="s">
        <v>6</v>
      </c>
      <c r="E731" s="15" t="s">
        <v>1013</v>
      </c>
      <c r="F731" s="91" t="s">
        <v>124</v>
      </c>
      <c r="G731" s="4"/>
      <c r="H731" s="4"/>
      <c r="I731" s="4"/>
    </row>
    <row r="732" spans="1:9" ht="15">
      <c r="A732" s="21">
        <f t="shared" si="12"/>
        <v>255</v>
      </c>
      <c r="B732" s="14" t="s">
        <v>1014</v>
      </c>
      <c r="C732" s="85" t="str">
        <f ca="1">IFERROR(__xludf.DUMMYFUNCTION("GOOGLETRANSLATE(B732:B747,""RU"",""UK"")"),"Брусок 64С 150х16х16/64С 160х13х13")</f>
        <v>Брусок 64С 150х16х16/64С 160х13х13</v>
      </c>
      <c r="D732" s="15" t="s">
        <v>6</v>
      </c>
      <c r="E732" s="15" t="s">
        <v>1015</v>
      </c>
      <c r="F732" s="91" t="s">
        <v>366</v>
      </c>
      <c r="G732" s="4"/>
      <c r="H732" s="4"/>
      <c r="I732" s="4"/>
    </row>
    <row r="733" spans="1:9" ht="15">
      <c r="A733" s="21">
        <f t="shared" si="12"/>
        <v>256</v>
      </c>
      <c r="B733" s="14" t="s">
        <v>1016</v>
      </c>
      <c r="C733" s="85" t="str">
        <f ca="1">IFERROR(__xludf.DUMMYFUNCTION("GOOGLETRANSLATE(B733:B748,""RU"",""UK"")"),"Брусок 25А 25А 200х25х25")</f>
        <v>Брусок 25А 25А 200х25х25</v>
      </c>
      <c r="D733" s="15" t="s">
        <v>6</v>
      </c>
      <c r="E733" s="15">
        <v>3</v>
      </c>
      <c r="F733" s="91" t="s">
        <v>134</v>
      </c>
      <c r="G733" s="4"/>
      <c r="H733" s="4"/>
      <c r="I733" s="4"/>
    </row>
    <row r="734" spans="1:9" ht="15">
      <c r="A734" s="21">
        <f t="shared" si="12"/>
        <v>257</v>
      </c>
      <c r="B734" s="14" t="s">
        <v>1017</v>
      </c>
      <c r="C734" s="85" t="str">
        <f ca="1">IFERROR(__xludf.DUMMYFUNCTION("GOOGLETRANSLATE(B734:B749,""RU"",""UK"")"),"Брусок 25А 200х20х20")</f>
        <v>Брусок 25А 200х20х20</v>
      </c>
      <c r="D734" s="15" t="s">
        <v>6</v>
      </c>
      <c r="E734" s="15">
        <v>10</v>
      </c>
      <c r="F734" s="91" t="s">
        <v>124</v>
      </c>
      <c r="G734" s="4"/>
      <c r="H734" s="4"/>
      <c r="I734" s="4"/>
    </row>
    <row r="735" spans="1:9" ht="15">
      <c r="A735" s="21">
        <f t="shared" si="12"/>
        <v>258</v>
      </c>
      <c r="B735" s="14" t="s">
        <v>1018</v>
      </c>
      <c r="C735" s="85" t="str">
        <f ca="1">IFERROR(__xludf.DUMMYFUNCTION("GOOGLETRANSLATE(B735:B750,""RU"",""UK"")"),"Брусок 25А 100х10х10/64С 100х11х9")</f>
        <v>Брусок 25А 100х10х10/64С 100х11х9</v>
      </c>
      <c r="D735" s="15" t="s">
        <v>6</v>
      </c>
      <c r="E735" s="15" t="s">
        <v>1019</v>
      </c>
      <c r="F735" s="91" t="s">
        <v>292</v>
      </c>
      <c r="G735" s="4"/>
      <c r="H735" s="4"/>
      <c r="I735" s="4"/>
    </row>
    <row r="736" spans="1:9" ht="15">
      <c r="A736" s="21">
        <f t="shared" ref="A736:A755" si="13">A735+1</f>
        <v>259</v>
      </c>
      <c r="B736" s="14" t="s">
        <v>1020</v>
      </c>
      <c r="C736" s="85" t="str">
        <f ca="1">IFERROR(__xludf.DUMMYFUNCTION("GOOGLETRANSLATE(B736:B751,""RU"",""UK"")"),"Державка для виправлення шліф. кіл т/с 32мм/ДО-40")</f>
        <v>Державка для виправлення шліф. кіл т/с 32мм/ДО-40</v>
      </c>
      <c r="D736" s="15" t="s">
        <v>6</v>
      </c>
      <c r="E736" s="15" t="s">
        <v>438</v>
      </c>
      <c r="F736" s="91" t="s">
        <v>27</v>
      </c>
      <c r="G736" s="4"/>
      <c r="H736" s="4"/>
      <c r="I736" s="4"/>
    </row>
    <row r="737" spans="1:9" ht="15">
      <c r="A737" s="21">
        <f t="shared" si="13"/>
        <v>260</v>
      </c>
      <c r="B737" s="14" t="s">
        <v>1021</v>
      </c>
      <c r="C737" s="85" t="str">
        <f ca="1">IFERROR(__xludf.DUMMYFUNCTION("GOOGLETRANSLATE(B737:B752,""RU"",""UK"")"),"Державка для безалм. виправлення шліф. кіл ДО-75мм")</f>
        <v>Державка для безалм. виправлення шліф. кіл ДО-75мм</v>
      </c>
      <c r="D737" s="15" t="s">
        <v>6</v>
      </c>
      <c r="E737" s="15">
        <v>7</v>
      </c>
      <c r="F737" s="91" t="s">
        <v>100</v>
      </c>
      <c r="G737" s="4"/>
      <c r="H737" s="4"/>
      <c r="I737" s="4"/>
    </row>
    <row r="738" spans="1:9" ht="15">
      <c r="A738" s="21">
        <f t="shared" si="13"/>
        <v>261</v>
      </c>
      <c r="B738" s="14" t="s">
        <v>1022</v>
      </c>
      <c r="C738" s="85" t="str">
        <f ca="1">IFERROR(__xludf.DUMMYFUNCTION("GOOGLETRANSLATE(B738:B753,""RU"",""UK"")"),"Ролики для виправлення кіл алм. ДО-40мм")</f>
        <v>Ролики для виправлення кіл алм. ДО-40мм</v>
      </c>
      <c r="D738" s="15" t="s">
        <v>6</v>
      </c>
      <c r="E738" s="15">
        <v>53</v>
      </c>
      <c r="F738" s="91" t="s">
        <v>140</v>
      </c>
      <c r="G738" s="4"/>
      <c r="H738" s="4"/>
      <c r="I738" s="4"/>
    </row>
    <row r="739" spans="1:9" ht="15">
      <c r="A739" s="21">
        <f t="shared" si="13"/>
        <v>262</v>
      </c>
      <c r="B739" s="14" t="s">
        <v>1023</v>
      </c>
      <c r="C739" s="85" t="str">
        <f ca="1">IFERROR(__xludf.DUMMYFUNCTION("GOOGLETRANSLATE(B739:B754,""RU"",""UK"")"),"Ролики для виправлення кіл алм. ДО-75мм")</f>
        <v>Ролики для виправлення кіл алм. ДО-75мм</v>
      </c>
      <c r="D739" s="15" t="s">
        <v>6</v>
      </c>
      <c r="E739" s="15">
        <v>64</v>
      </c>
      <c r="F739" s="91" t="s">
        <v>16</v>
      </c>
      <c r="G739" s="4"/>
      <c r="H739" s="4"/>
      <c r="I739" s="4"/>
    </row>
    <row r="740" spans="1:9" ht="15">
      <c r="A740" s="21">
        <f t="shared" si="13"/>
        <v>263</v>
      </c>
      <c r="B740" s="14" t="s">
        <v>1024</v>
      </c>
      <c r="C740" s="85" t="str">
        <f ca="1">IFERROR(__xludf.DUMMYFUNCTION("GOOGLETRANSLATE(B740:B755,""RU"",""UK"")"),"Ролики для виправлення кіл т/с 70мм")</f>
        <v>Ролики для виправлення кіл т/с 70мм</v>
      </c>
      <c r="D740" s="15" t="s">
        <v>6</v>
      </c>
      <c r="E740" s="15">
        <v>1</v>
      </c>
      <c r="F740" s="91" t="s">
        <v>16</v>
      </c>
      <c r="G740" s="4"/>
      <c r="H740" s="4"/>
      <c r="I740" s="4"/>
    </row>
    <row r="741" spans="1:9" ht="15">
      <c r="A741" s="21">
        <f t="shared" si="13"/>
        <v>264</v>
      </c>
      <c r="B741" s="14" t="s">
        <v>1025</v>
      </c>
      <c r="C741" s="85" t="str">
        <f ca="1">IFERROR(__xludf.DUMMYFUNCTION("GOOGLETRANSLATE(B741:B756,""RU"",""UK"")"),"Шаріжка зіркоподібна 50х15х2мм")</f>
        <v>Шаріжка зіркоподібна 50х15х2мм</v>
      </c>
      <c r="D741" s="15" t="s">
        <v>6</v>
      </c>
      <c r="E741" s="15">
        <v>130</v>
      </c>
      <c r="F741" s="91" t="s">
        <v>1026</v>
      </c>
      <c r="G741" s="4"/>
      <c r="H741" s="4"/>
      <c r="I741" s="4"/>
    </row>
    <row r="742" spans="1:9" ht="15">
      <c r="A742" s="21">
        <f t="shared" si="13"/>
        <v>265</v>
      </c>
      <c r="B742" s="14" t="s">
        <v>1027</v>
      </c>
      <c r="C742" s="85" t="str">
        <f ca="1">IFERROR(__xludf.DUMMYFUNCTION("GOOGLETRANSLATE(B742:B757,""RU"",""UK"")"),"Шаріжка хвилеподібна 50х12х2мм")</f>
        <v>Шаріжка хвилеподібна 50х12х2мм</v>
      </c>
      <c r="D742" s="15" t="s">
        <v>6</v>
      </c>
      <c r="E742" s="15">
        <v>8</v>
      </c>
      <c r="F742" s="91" t="s">
        <v>1026</v>
      </c>
      <c r="G742" s="4"/>
      <c r="H742" s="4"/>
      <c r="I742" s="4"/>
    </row>
    <row r="743" spans="1:9" ht="15">
      <c r="A743" s="21">
        <f t="shared" si="13"/>
        <v>266</v>
      </c>
      <c r="B743" s="14" t="s">
        <v>1028</v>
      </c>
      <c r="C743" s="85" t="str">
        <f ca="1">IFERROR(__xludf.DUMMYFUNCTION("GOOGLETRANSLATE(B743:B758,""RU"",""UK"")"),"Шаріжка хвилеподібна 65х12х2мм")</f>
        <v>Шаріжка хвилеподібна 65х12х2мм</v>
      </c>
      <c r="D743" s="15" t="s">
        <v>6</v>
      </c>
      <c r="E743" s="15">
        <v>3</v>
      </c>
      <c r="F743" s="91" t="s">
        <v>124</v>
      </c>
      <c r="G743" s="4"/>
      <c r="H743" s="4"/>
      <c r="I743" s="4"/>
    </row>
    <row r="744" spans="1:9" ht="15">
      <c r="A744" s="21">
        <f t="shared" si="13"/>
        <v>267</v>
      </c>
      <c r="B744" s="19" t="s">
        <v>1029</v>
      </c>
      <c r="C744" s="85" t="str">
        <f ca="1">IFERROR(__xludf.DUMMYFUNCTION("GOOGLETRANSLATE(B744:B759,""RU"",""UK"")"),"Державка для виправлення шліф. Кругів без шаріжок")</f>
        <v>Державка для виправлення шліф. Кругів без шаріжок</v>
      </c>
      <c r="D744" s="15" t="s">
        <v>6</v>
      </c>
      <c r="E744" s="15">
        <v>0</v>
      </c>
      <c r="F744" s="91" t="s">
        <v>140</v>
      </c>
      <c r="G744" s="4"/>
      <c r="H744" s="4"/>
      <c r="I744" s="4"/>
    </row>
    <row r="745" spans="1:9" ht="15">
      <c r="A745" s="21">
        <f t="shared" si="13"/>
        <v>268</v>
      </c>
      <c r="B745" s="14" t="s">
        <v>1030</v>
      </c>
      <c r="C745" s="85" t="str">
        <f ca="1">IFERROR(__xludf.DUMMYFUNCTION("GOOGLETRANSLATE(B745:B760,""RU"",""UK"")"),"Набір голівок шліфувальних (5шт)")</f>
        <v>Набір голівок шліфувальних (5шт)</v>
      </c>
      <c r="D745" s="15" t="s">
        <v>1031</v>
      </c>
      <c r="E745" s="15">
        <v>3</v>
      </c>
      <c r="F745" s="91" t="s">
        <v>136</v>
      </c>
      <c r="G745" s="4"/>
      <c r="H745" s="4"/>
      <c r="I745" s="4"/>
    </row>
    <row r="746" spans="1:9" ht="15">
      <c r="A746" s="21">
        <f t="shared" si="13"/>
        <v>269</v>
      </c>
      <c r="B746" s="14" t="s">
        <v>1032</v>
      </c>
      <c r="C746" s="85" t="str">
        <f ca="1">IFERROR(__xludf.DUMMYFUNCTION("GOOGLETRANSLATE(B746:B761,""RU"",""UK"")"),"Головка шліфувальний. конічна 25А 30х50х6/20х32х5мм")</f>
        <v>Головка шліфувальний. конічна 25А 30х50х6/20х32х5мм</v>
      </c>
      <c r="D746" s="15" t="s">
        <v>6</v>
      </c>
      <c r="E746" s="15" t="s">
        <v>899</v>
      </c>
      <c r="F746" s="91" t="s">
        <v>361</v>
      </c>
      <c r="G746" s="4"/>
      <c r="H746" s="4"/>
      <c r="I746" s="4"/>
    </row>
    <row r="747" spans="1:9" ht="15">
      <c r="A747" s="21">
        <f t="shared" si="13"/>
        <v>270</v>
      </c>
      <c r="B747" s="14" t="s">
        <v>1033</v>
      </c>
      <c r="C747" s="85" t="str">
        <f ca="1">IFERROR(__xludf.DUMMYFUNCTION("GOOGLETRANSLATE(B747:B762,""RU"",""UK"")"),"Головка шліфувальний. конічна 25А 20х8х6мм")</f>
        <v>Головка шліфувальний. конічна 25А 20х8х6мм</v>
      </c>
      <c r="D747" s="15" t="s">
        <v>6</v>
      </c>
      <c r="E747" s="15">
        <v>3</v>
      </c>
      <c r="F747" s="91" t="s">
        <v>361</v>
      </c>
      <c r="G747" s="4"/>
      <c r="H747" s="4"/>
      <c r="I747" s="4"/>
    </row>
    <row r="748" spans="1:9" ht="15">
      <c r="A748" s="21">
        <f t="shared" si="13"/>
        <v>271</v>
      </c>
      <c r="B748" s="14" t="s">
        <v>1034</v>
      </c>
      <c r="C748" s="85" t="str">
        <f ca="1">IFERROR(__xludf.DUMMYFUNCTION("GOOGLETRANSLATE(B748:B763,""RU"",""UK"")"),"Головка шліфувальний. Циліндр. 25А 4х8х3")</f>
        <v>Головка шліфувальний. Циліндр. 25А 4х8х3</v>
      </c>
      <c r="D748" s="15" t="s">
        <v>6</v>
      </c>
      <c r="E748" s="15">
        <v>165</v>
      </c>
      <c r="F748" s="91" t="s">
        <v>1035</v>
      </c>
      <c r="G748" s="4"/>
      <c r="H748" s="4"/>
      <c r="I748" s="4"/>
    </row>
    <row r="749" spans="1:9" ht="15">
      <c r="A749" s="21">
        <f t="shared" si="13"/>
        <v>272</v>
      </c>
      <c r="B749" s="14" t="s">
        <v>1036</v>
      </c>
      <c r="C749" s="85" t="str">
        <f ca="1">IFERROR(__xludf.DUMMYFUNCTION("GOOGLETRANSLATE(B749:B764,""RU"",""UK"")"),"Головка шліфувальний. Циліндр. 25А 9х25х3/16х8х5/16х20х5")</f>
        <v>Головка шліфувальний. Циліндр. 25А 9х25х3/16х8х5/16х20х5</v>
      </c>
      <c r="D749" s="15" t="s">
        <v>6</v>
      </c>
      <c r="E749" s="15" t="s">
        <v>1037</v>
      </c>
      <c r="F749" s="91" t="s">
        <v>132</v>
      </c>
      <c r="G749" s="4"/>
      <c r="H749" s="4"/>
      <c r="I749" s="4"/>
    </row>
    <row r="750" spans="1:9" ht="15">
      <c r="A750" s="21">
        <f t="shared" si="13"/>
        <v>273</v>
      </c>
      <c r="B750" s="14" t="s">
        <v>1038</v>
      </c>
      <c r="C750" s="85" t="str">
        <f ca="1">IFERROR(__xludf.DUMMYFUNCTION("GOOGLETRANSLATE(B750:B765,""RU"",""UK"")"),"Головка шліфувальний. Циліндр. 25А 20х8х6/20х25х5/20х25х6")</f>
        <v>Головка шліфувальний. Циліндр. 25А 20х8х6/20х25х5/20х25х6</v>
      </c>
      <c r="D750" s="15" t="s">
        <v>6</v>
      </c>
      <c r="E750" s="15" t="s">
        <v>1039</v>
      </c>
      <c r="F750" s="91" t="s">
        <v>361</v>
      </c>
      <c r="G750" s="4"/>
      <c r="H750" s="4"/>
      <c r="I750" s="4"/>
    </row>
    <row r="751" spans="1:9" ht="15">
      <c r="A751" s="21">
        <f t="shared" si="13"/>
        <v>274</v>
      </c>
      <c r="B751" s="14" t="s">
        <v>1040</v>
      </c>
      <c r="C751" s="85" t="str">
        <f ca="1">IFERROR(__xludf.DUMMYFUNCTION("GOOGLETRANSLATE(B751:B766,""RU"",""UK"")"),"Головка шліфувальний. Циліндр. 25А 8х20х60/6х10х50")</f>
        <v>Головка шліфувальний. Циліндр. 25А 8х20х60/6х10х50</v>
      </c>
      <c r="D751" s="15" t="s">
        <v>6</v>
      </c>
      <c r="E751" s="15" t="s">
        <v>1041</v>
      </c>
      <c r="F751" s="91" t="s">
        <v>132</v>
      </c>
      <c r="G751" s="4"/>
      <c r="H751" s="4"/>
      <c r="I751" s="4"/>
    </row>
    <row r="752" spans="1:9" ht="15">
      <c r="A752" s="21">
        <f t="shared" si="13"/>
        <v>275</v>
      </c>
      <c r="B752" s="14" t="s">
        <v>1042</v>
      </c>
      <c r="C752" s="85" t="str">
        <f ca="1">IFERROR(__xludf.DUMMYFUNCTION("GOOGLETRANSLATE(B752:B767,""RU"",""UK"")"),"Головка шліфувальний. Циліндр. 25А 10х25х3")</f>
        <v>Головка шліфувальний. Циліндр. 25А 10х25х3</v>
      </c>
      <c r="D752" s="15" t="s">
        <v>6</v>
      </c>
      <c r="E752" s="15">
        <v>37</v>
      </c>
      <c r="F752" s="91" t="s">
        <v>361</v>
      </c>
      <c r="G752" s="4"/>
      <c r="H752" s="4"/>
      <c r="I752" s="4"/>
    </row>
    <row r="753" spans="1:9" ht="15">
      <c r="A753" s="21">
        <f t="shared" si="13"/>
        <v>276</v>
      </c>
      <c r="B753" s="14" t="s">
        <v>1043</v>
      </c>
      <c r="C753" s="85" t="str">
        <f ca="1">IFERROR(__xludf.DUMMYFUNCTION("GOOGLETRANSLATE(B753:B768,""RU"",""UK"")"),"Головка шліфувальний. Циліндр. 5мм/8мм/10х10мм 25А")</f>
        <v>Головка шліфувальний. Циліндр. 5мм/8мм/10х10мм 25А</v>
      </c>
      <c r="D753" s="15" t="s">
        <v>6</v>
      </c>
      <c r="E753" s="15" t="s">
        <v>1044</v>
      </c>
      <c r="F753" s="91" t="s">
        <v>132</v>
      </c>
      <c r="G753" s="4"/>
      <c r="H753" s="4"/>
      <c r="I753" s="4"/>
    </row>
    <row r="754" spans="1:9" ht="15">
      <c r="A754" s="21">
        <f t="shared" si="13"/>
        <v>277</v>
      </c>
      <c r="B754" s="14" t="s">
        <v>1045</v>
      </c>
      <c r="C754" s="85" t="str">
        <f ca="1">IFERROR(__xludf.DUMMYFUNCTION("GOOGLETRANSLATE(B754:B769,""RU"",""UK"")"),"Коло повстяне 75х10")</f>
        <v>Коло повстяне 75х10</v>
      </c>
      <c r="D754" s="14" t="s">
        <v>6</v>
      </c>
      <c r="E754" s="15">
        <v>424</v>
      </c>
      <c r="F754" s="99" t="s">
        <v>132</v>
      </c>
      <c r="G754" s="4"/>
      <c r="H754" s="4"/>
      <c r="I754" s="4"/>
    </row>
    <row r="755" spans="1:9" ht="15">
      <c r="A755" s="21">
        <f t="shared" si="13"/>
        <v>278</v>
      </c>
      <c r="B755" s="14" t="s">
        <v>1046</v>
      </c>
      <c r="C755" s="85" t="str">
        <f ca="1">IFERROR(__xludf.DUMMYFUNCTION("GOOGLETRANSLATE(B755:B770,""RU"",""UK"")"),"Коло повстяне 370х45 (3кг) / 415х41 (3кг)")</f>
        <v>Коло повстяне 370х45 (3кг) / 415х41 (3кг)</v>
      </c>
      <c r="D755" s="14" t="s">
        <v>6</v>
      </c>
      <c r="E755" s="15" t="s">
        <v>1047</v>
      </c>
      <c r="F755" s="99">
        <v>1450</v>
      </c>
      <c r="G755" s="4"/>
      <c r="H755" s="4"/>
      <c r="I755" s="4"/>
    </row>
    <row r="756" spans="1:9" ht="15">
      <c r="A756" s="43"/>
      <c r="B756" s="29" t="s">
        <v>1048</v>
      </c>
      <c r="C756" s="111" t="str">
        <f ca="1">IFERROR(__xludf.DUMMYFUNCTION("GOOGLETRANSLATE(B756:B771,""RU"",""UK"")"),"6. К Р У Г И  З А Ч І С Т Н І , П Е Л Ю С Т К О В І , П Р О В О Л О Ч Н І")</f>
        <v>6. К Р У Г И  З А Ч І С Т Н І , П Е Л Ю С Т К О В І , П Р О В О Л О Ч Н І</v>
      </c>
      <c r="D756" s="29"/>
      <c r="E756" s="29"/>
      <c r="F756" s="100"/>
      <c r="G756" s="4"/>
      <c r="H756" s="4"/>
      <c r="I756" s="4"/>
    </row>
    <row r="757" spans="1:9" ht="15">
      <c r="A757" s="13">
        <v>1</v>
      </c>
      <c r="B757" s="16" t="s">
        <v>1049</v>
      </c>
      <c r="C757" s="85" t="str">
        <f ca="1">IFERROR(__xludf.DUMMYFUNCTION("GOOGLETRANSLATE(B757:B772,""RU"",""UK"")"),"Круг обдиральний армований 125Х6,0Х22 BOSCH")</f>
        <v>Круг обдиральний армований 125Х6,0Х22 BOSCH</v>
      </c>
      <c r="D757" s="15" t="s">
        <v>6</v>
      </c>
      <c r="E757" s="15">
        <v>7</v>
      </c>
      <c r="F757" s="91" t="s">
        <v>1050</v>
      </c>
      <c r="G757" s="4"/>
      <c r="H757" s="4"/>
      <c r="I757" s="4"/>
    </row>
    <row r="758" spans="1:9" ht="15">
      <c r="A758" s="13">
        <f>A757+1</f>
        <v>2</v>
      </c>
      <c r="B758" s="19" t="s">
        <v>1051</v>
      </c>
      <c r="C758" s="85" t="str">
        <f ca="1">IFERROR(__xludf.DUMMYFUNCTION("GOOGLETRANSLATE(B758:B773,""RU"",""UK"")"),"Круг обдиральний армований 125Х6,0Х22 NORTON")</f>
        <v>Круг обдиральний армований 125Х6,0Х22 NORTON</v>
      </c>
      <c r="D758" s="15" t="s">
        <v>6</v>
      </c>
      <c r="E758" s="15">
        <v>0</v>
      </c>
      <c r="F758" s="91" t="s">
        <v>1050</v>
      </c>
      <c r="G758" s="4"/>
      <c r="H758" s="4"/>
      <c r="I758" s="4"/>
    </row>
    <row r="759" spans="1:9" ht="15">
      <c r="A759" s="21">
        <f t="shared" ref="A759:A773" si="14">A758+1</f>
        <v>3</v>
      </c>
      <c r="B759" s="16" t="s">
        <v>1052</v>
      </c>
      <c r="C759" s="85" t="str">
        <f ca="1">IFERROR(__xludf.DUMMYFUNCTION("GOOGLETRANSLATE(B759:B774,""RU"",""UK"")"),"Круг обдиральний армований 14АБ 80Н СТ 150х20х32")</f>
        <v>Круг обдиральний армований 14АБ 80Н СТ 150х20х32</v>
      </c>
      <c r="D759" s="15" t="s">
        <v>6</v>
      </c>
      <c r="E759" s="15">
        <v>48</v>
      </c>
      <c r="F759" s="91" t="s">
        <v>1053</v>
      </c>
      <c r="G759" s="4"/>
      <c r="H759" s="4"/>
      <c r="I759" s="4"/>
    </row>
    <row r="760" spans="1:9" ht="15">
      <c r="A760" s="21">
        <f t="shared" si="14"/>
        <v>4</v>
      </c>
      <c r="B760" s="16" t="s">
        <v>1054</v>
      </c>
      <c r="C760" s="85" t="str">
        <f ca="1">IFERROR(__xludf.DUMMYFUNCTION("GOOGLETRANSLATE(B760:B775,""RU"",""UK"")"),"Круг обдиральний армований 14АБ 80Н СТ 150х25х32")</f>
        <v>Круг обдиральний армований 14АБ 80Н СТ 150х25х32</v>
      </c>
      <c r="D760" s="15" t="s">
        <v>6</v>
      </c>
      <c r="E760" s="15">
        <v>40</v>
      </c>
      <c r="F760" s="91" t="s">
        <v>119</v>
      </c>
      <c r="G760" s="4"/>
      <c r="H760" s="4"/>
      <c r="I760" s="4"/>
    </row>
    <row r="761" spans="1:9" ht="15">
      <c r="A761" s="21">
        <f t="shared" si="14"/>
        <v>5</v>
      </c>
      <c r="B761" s="19" t="s">
        <v>1055</v>
      </c>
      <c r="C761" s="85" t="str">
        <f ca="1">IFERROR(__xludf.DUMMYFUNCTION("GOOGLETRANSLATE(B761:B776,""RU"",""UK"")"),"Круг обдиральний армований 230Х6,4Х22 NORTON")</f>
        <v>Круг обдиральний армований 230Х6,4Х22 NORTON</v>
      </c>
      <c r="D761" s="15" t="s">
        <v>6</v>
      </c>
      <c r="E761" s="15">
        <v>0</v>
      </c>
      <c r="F761" s="91" t="s">
        <v>338</v>
      </c>
      <c r="G761" s="4"/>
      <c r="H761" s="4"/>
      <c r="I761" s="4"/>
    </row>
    <row r="762" spans="1:9" ht="15">
      <c r="A762" s="21">
        <f t="shared" si="14"/>
        <v>6</v>
      </c>
      <c r="B762" s="14" t="s">
        <v>1056</v>
      </c>
      <c r="C762" s="85" t="str">
        <f ca="1">IFERROR(__xludf.DUMMYFUNCTION("GOOGLETRANSLATE(B762:B777,""RU"",""UK"")"),"Круг обдиральний армований КШЛ 150х30х32 Р120")</f>
        <v>Круг обдиральний армований КШЛ 150х30х32 Р120</v>
      </c>
      <c r="D762" s="15" t="s">
        <v>6</v>
      </c>
      <c r="E762" s="15">
        <v>2</v>
      </c>
      <c r="F762" s="91" t="s">
        <v>20</v>
      </c>
      <c r="G762" s="4"/>
      <c r="H762" s="4"/>
      <c r="I762" s="4"/>
    </row>
    <row r="763" spans="1:9" ht="15">
      <c r="A763" s="21">
        <f t="shared" si="14"/>
        <v>7</v>
      </c>
      <c r="B763" s="44" t="s">
        <v>1057</v>
      </c>
      <c r="C763" s="85" t="str">
        <f ca="1">IFERROR(__xludf.DUMMYFUNCTION("GOOGLETRANSLATE(B763:B778,""RU"",""UK"")"),"Круг пелюстковий торцевий КЛТ 125х22 - Р60 FALON TECH")</f>
        <v>Круг пелюстковий торцевий КЛТ 125х22 - Р60 FALON TECH</v>
      </c>
      <c r="D763" s="15" t="s">
        <v>6</v>
      </c>
      <c r="E763" s="15">
        <v>30</v>
      </c>
      <c r="F763" s="91" t="s">
        <v>1058</v>
      </c>
      <c r="G763" s="4"/>
      <c r="H763" s="4"/>
      <c r="I763" s="4"/>
    </row>
    <row r="764" spans="1:9" ht="15">
      <c r="A764" s="21">
        <f t="shared" si="14"/>
        <v>8</v>
      </c>
      <c r="B764" s="45" t="s">
        <v>1059</v>
      </c>
      <c r="C764" s="85" t="str">
        <f ca="1">IFERROR(__xludf.DUMMYFUNCTION("GOOGLETRANSLATE(B764:B779,""RU"",""UK"")"),"Круг пелюстковий торцевий КЛТ 125х22 - Р40 MASTIFF")</f>
        <v>Круг пелюстковий торцевий КЛТ 125х22 - Р40 MASTIFF</v>
      </c>
      <c r="D764" s="15" t="s">
        <v>6</v>
      </c>
      <c r="E764" s="15">
        <v>25</v>
      </c>
      <c r="F764" s="91" t="s">
        <v>1058</v>
      </c>
      <c r="G764" s="4"/>
      <c r="H764" s="4"/>
      <c r="I764" s="4"/>
    </row>
    <row r="765" spans="1:9" ht="15">
      <c r="A765" s="21">
        <f t="shared" si="14"/>
        <v>9</v>
      </c>
      <c r="B765" s="45" t="s">
        <v>1060</v>
      </c>
      <c r="C765" s="85" t="str">
        <f ca="1">IFERROR(__xludf.DUMMYFUNCTION("GOOGLETRANSLATE(B765:B780,""RU"",""UK"")"),"Круг пелюстковий торцевий КЛТ 125х22 - Р40 ЗАЗ")</f>
        <v>Круг пелюстковий торцевий КЛТ 125х22 - Р40 ЗАЗ</v>
      </c>
      <c r="D765" s="15" t="s">
        <v>6</v>
      </c>
      <c r="E765" s="15">
        <v>7</v>
      </c>
      <c r="F765" s="91" t="s">
        <v>1061</v>
      </c>
      <c r="G765" s="4"/>
      <c r="H765" s="4"/>
      <c r="I765" s="4"/>
    </row>
    <row r="766" spans="1:9" ht="15">
      <c r="A766" s="21">
        <f t="shared" si="14"/>
        <v>10</v>
      </c>
      <c r="B766" s="14" t="s">
        <v>1062</v>
      </c>
      <c r="C766" s="85" t="str">
        <f ca="1">IFERROR(__xludf.DUMMYFUNCTION("GOOGLETRANSLATE(B766:B781,""RU"",""UK"")"),"Головка шліфувальний. пелюсткова 30х15х6 Р60 Кlingspor")</f>
        <v>Головка шліфувальний. пелюсткова 30х15х6 Р60 Кlingspor</v>
      </c>
      <c r="D766" s="15" t="s">
        <v>6</v>
      </c>
      <c r="E766" s="15">
        <v>0</v>
      </c>
      <c r="F766" s="91" t="s">
        <v>292</v>
      </c>
      <c r="G766" s="4"/>
      <c r="H766" s="4"/>
      <c r="I766" s="4"/>
    </row>
    <row r="767" spans="1:9" ht="15">
      <c r="A767" s="21">
        <f t="shared" si="14"/>
        <v>11</v>
      </c>
      <c r="B767" s="14" t="s">
        <v>1063</v>
      </c>
      <c r="C767" s="85" t="str">
        <f ca="1">IFERROR(__xludf.DUMMYFUNCTION("GOOGLETRANSLATE(B767:B782,""RU"",""UK"")"),"Головка шліфувальний. пелюсткова 30х30х6 Р60 Кlingspor")</f>
        <v>Головка шліфувальний. пелюсткова 30х30х6 Р60 Кlingspor</v>
      </c>
      <c r="D767" s="15" t="s">
        <v>6</v>
      </c>
      <c r="E767" s="15">
        <v>0</v>
      </c>
      <c r="F767" s="91" t="s">
        <v>366</v>
      </c>
      <c r="G767" s="4"/>
      <c r="H767" s="4"/>
      <c r="I767" s="4"/>
    </row>
    <row r="768" spans="1:9" ht="15">
      <c r="A768" s="21">
        <f t="shared" si="14"/>
        <v>12</v>
      </c>
      <c r="B768" s="14" t="s">
        <v>1064</v>
      </c>
      <c r="C768" s="85" t="str">
        <f ca="1">IFERROR(__xludf.DUMMYFUNCTION("GOOGLETRANSLATE(B768:B783,""RU"",""UK"")"),"Головка шліфувальний. пелюсткова 40х25х6 Р40 Кlingspor")</f>
        <v>Головка шліфувальний. пелюсткова 40х25х6 Р40 Кlingspor</v>
      </c>
      <c r="D768" s="15" t="s">
        <v>6</v>
      </c>
      <c r="E768" s="15">
        <v>0</v>
      </c>
      <c r="F768" s="91" t="s">
        <v>124</v>
      </c>
      <c r="G768" s="4"/>
      <c r="H768" s="4"/>
      <c r="I768" s="4"/>
    </row>
    <row r="769" spans="1:9" ht="15">
      <c r="A769" s="21">
        <f t="shared" si="14"/>
        <v>13</v>
      </c>
      <c r="B769" s="14" t="s">
        <v>1065</v>
      </c>
      <c r="C769" s="85" t="str">
        <f ca="1">IFERROR(__xludf.DUMMYFUNCTION("GOOGLETRANSLATE(B769:B784,""RU"",""UK"")"),"Головка шліфувальний. пелюсткова 50х25х6 Р60 Кlingspor")</f>
        <v>Головка шліфувальний. пелюсткова 50х25х6 Р60 Кlingspor</v>
      </c>
      <c r="D769" s="15" t="s">
        <v>6</v>
      </c>
      <c r="E769" s="15">
        <v>0</v>
      </c>
      <c r="F769" s="91" t="s">
        <v>167</v>
      </c>
      <c r="G769" s="4"/>
      <c r="H769" s="4"/>
      <c r="I769" s="4"/>
    </row>
    <row r="770" spans="1:9" ht="15">
      <c r="A770" s="21">
        <f t="shared" si="14"/>
        <v>14</v>
      </c>
      <c r="B770" s="14" t="s">
        <v>1066</v>
      </c>
      <c r="C770" s="85" t="str">
        <f ca="1">IFERROR(__xludf.DUMMYFUNCTION("GOOGLETRANSLATE(B770:B785,""RU"",""UK"")"),"Головка шліфувальний. пелюсткова 60х30х6 Р40 Кlingspor")</f>
        <v>Головка шліфувальний. пелюсткова 60х30х6 Р40 Кlingspor</v>
      </c>
      <c r="D770" s="15" t="s">
        <v>6</v>
      </c>
      <c r="E770" s="15">
        <v>0</v>
      </c>
      <c r="F770" s="91" t="s">
        <v>304</v>
      </c>
      <c r="G770" s="4"/>
      <c r="H770" s="4"/>
      <c r="I770" s="4"/>
    </row>
    <row r="771" spans="1:9" ht="15">
      <c r="A771" s="21">
        <f t="shared" si="14"/>
        <v>15</v>
      </c>
      <c r="B771" s="46" t="s">
        <v>1067</v>
      </c>
      <c r="C771" s="85" t="str">
        <f ca="1">IFERROR(__xludf.DUMMYFUNCTION("GOOGLETRANSLATE(B771:B786,""RU"",""UK"")"),"Щітка крацювання ""Чашка"" латунна 65мм")</f>
        <v>Щітка крацювання "Чашка" латунна 65мм</v>
      </c>
      <c r="D771" s="15" t="s">
        <v>6</v>
      </c>
      <c r="E771" s="15">
        <v>0</v>
      </c>
      <c r="F771" s="99" t="s">
        <v>346</v>
      </c>
      <c r="G771" s="4"/>
      <c r="H771" s="4"/>
      <c r="I771" s="4"/>
    </row>
    <row r="772" spans="1:9" ht="15">
      <c r="A772" s="21">
        <f t="shared" si="14"/>
        <v>16</v>
      </c>
      <c r="B772" s="47" t="s">
        <v>1068</v>
      </c>
      <c r="C772" s="85" t="str">
        <f ca="1">IFERROR(__xludf.DUMMYFUNCTION("GOOGLETRANSLATE(B772:B787,""RU"",""UK"")"),"Щітка крацювальна батіг. 100мм")</f>
        <v>Щітка крацювальна батіг. 100мм</v>
      </c>
      <c r="D772" s="15" t="s">
        <v>6</v>
      </c>
      <c r="E772" s="15">
        <v>1</v>
      </c>
      <c r="F772" s="99" t="s">
        <v>428</v>
      </c>
      <c r="G772" s="4"/>
      <c r="H772" s="4"/>
      <c r="I772" s="4"/>
    </row>
    <row r="773" spans="1:9" ht="15">
      <c r="A773" s="21">
        <f t="shared" si="14"/>
        <v>17</v>
      </c>
      <c r="B773" s="47" t="s">
        <v>1069</v>
      </c>
      <c r="C773" s="85" t="str">
        <f ca="1">IFERROR(__xludf.DUMMYFUNCTION("GOOGLETRANSLATE(B773:B788,""RU"",""UK"")"),"Щітка крацювальна 150х40/250х56")</f>
        <v>Щітка крацювальна 150х40/250х56</v>
      </c>
      <c r="D773" s="15" t="s">
        <v>6</v>
      </c>
      <c r="E773" s="15" t="s">
        <v>1005</v>
      </c>
      <c r="F773" s="99" t="s">
        <v>1070</v>
      </c>
      <c r="G773" s="4"/>
      <c r="H773" s="4"/>
      <c r="I773" s="4"/>
    </row>
    <row r="774" spans="1:9" ht="15">
      <c r="A774" s="43"/>
      <c r="B774" s="48" t="s">
        <v>1071</v>
      </c>
      <c r="C774" s="110" t="str">
        <f ca="1">IFERROR(__xludf.DUMMYFUNCTION("GOOGLETRANSLATE(B774:B789,""RU"",""UK"")"),"7. В І Д Р І З Н І  К Р У Г И")</f>
        <v>7. В І Д Р І З Н І  К Р У Г И</v>
      </c>
      <c r="D774" s="33"/>
      <c r="E774" s="33"/>
      <c r="F774" s="95"/>
      <c r="G774" s="4"/>
      <c r="H774" s="4"/>
      <c r="I774" s="4"/>
    </row>
    <row r="775" spans="1:9" ht="15">
      <c r="A775" s="13">
        <v>1</v>
      </c>
      <c r="B775" s="19" t="s">
        <v>1072</v>
      </c>
      <c r="C775" s="85" t="str">
        <f ca="1">IFERROR(__xludf.DUMMYFUNCTION("GOOGLETRANSLATE(B775:B790,""RU"",""UK"")"),"Круг відрізний армований 125х22х1,0 (метал) BOSCH")</f>
        <v>Круг відрізний армований 125х22х1,0 (метал) BOSCH</v>
      </c>
      <c r="D775" s="15" t="s">
        <v>6</v>
      </c>
      <c r="E775" s="15">
        <v>0</v>
      </c>
      <c r="F775" s="91" t="s">
        <v>1073</v>
      </c>
      <c r="G775" s="4"/>
      <c r="H775" s="4"/>
      <c r="I775" s="4"/>
    </row>
    <row r="776" spans="1:9" ht="15">
      <c r="A776" s="13">
        <v>2</v>
      </c>
      <c r="B776" s="19" t="s">
        <v>1074</v>
      </c>
      <c r="C776" s="85" t="str">
        <f ca="1">IFERROR(__xludf.DUMMYFUNCTION("GOOGLETRANSLATE(B776:B791,""RU"",""UK"")"),"Круг відрізний армований 125x22x1,2 (метал) Кronenflex")</f>
        <v>Круг відрізний армований 125x22x1,2 (метал) Кronenflex</v>
      </c>
      <c r="D776" s="15" t="s">
        <v>6</v>
      </c>
      <c r="E776" s="15">
        <v>0</v>
      </c>
      <c r="F776" s="91" t="s">
        <v>1075</v>
      </c>
      <c r="G776" s="4"/>
      <c r="H776" s="4"/>
      <c r="I776" s="4"/>
    </row>
    <row r="777" spans="1:9" ht="15">
      <c r="A777" s="13">
        <v>3</v>
      </c>
      <c r="B777" s="19" t="s">
        <v>1076</v>
      </c>
      <c r="C777" s="85" t="str">
        <f ca="1">IFERROR(__xludf.DUMMYFUNCTION("GOOGLETRANSLATE(B777:B792,""RU"",""UK"")"),"Круг відрізний армований 125x22x1,6 (метал) Кronenflex")</f>
        <v>Круг відрізний армований 125x22x1,6 (метал) Кronenflex</v>
      </c>
      <c r="D777" s="15" t="s">
        <v>6</v>
      </c>
      <c r="E777" s="15">
        <v>0</v>
      </c>
      <c r="F777" s="91" t="s">
        <v>1077</v>
      </c>
      <c r="G777" s="4"/>
      <c r="H777" s="4"/>
      <c r="I777" s="4"/>
    </row>
    <row r="778" spans="1:9" ht="15">
      <c r="A778" s="13">
        <v>4</v>
      </c>
      <c r="B778" s="19" t="s">
        <v>1078</v>
      </c>
      <c r="C778" s="85" t="str">
        <f ca="1">IFERROR(__xludf.DUMMYFUNCTION("GOOGLETRANSLATE(B778:B793,""RU"",""UK"")"),"Круг відрізний армований 125х22х2,0 (метал)")</f>
        <v>Круг відрізний армований 125х22х2,0 (метал)</v>
      </c>
      <c r="D778" s="15" t="s">
        <v>6</v>
      </c>
      <c r="E778" s="15">
        <v>0</v>
      </c>
      <c r="F778" s="91" t="s">
        <v>201</v>
      </c>
      <c r="G778" s="4"/>
      <c r="H778" s="4"/>
      <c r="I778" s="4"/>
    </row>
    <row r="779" spans="1:9" ht="15">
      <c r="A779" s="13">
        <v>6</v>
      </c>
      <c r="B779" s="16" t="s">
        <v>1079</v>
      </c>
      <c r="C779" s="85" t="str">
        <f ca="1">IFERROR(__xludf.DUMMYFUNCTION("GOOGLETRANSLATE(B779:B794,""RU"",""UK"")"),"Круг відрізний армований 230x22x2,0 (метал) Vulcan NORTON")</f>
        <v>Круг відрізний армований 230x22x2,0 (метал) Vulcan NORTON</v>
      </c>
      <c r="D779" s="15" t="s">
        <v>6</v>
      </c>
      <c r="E779" s="17">
        <v>15</v>
      </c>
      <c r="F779" s="91" t="s">
        <v>1080</v>
      </c>
      <c r="G779" s="4"/>
      <c r="H779" s="4"/>
      <c r="I779" s="4"/>
    </row>
    <row r="780" spans="1:9" ht="15">
      <c r="A780" s="13">
        <v>7</v>
      </c>
      <c r="B780" s="19" t="s">
        <v>1081</v>
      </c>
      <c r="C780" s="85" t="str">
        <f ca="1">IFERROR(__xludf.DUMMYFUNCTION("GOOGLETRANSLATE(B780:B795,""RU"",""UK"")"),"Круг відрізний армований 400x32х4,0 (метал) NORTON")</f>
        <v>Круг відрізний армований 400x32х4,0 (метал) NORTON</v>
      </c>
      <c r="D780" s="15" t="s">
        <v>6</v>
      </c>
      <c r="E780" s="15">
        <v>0</v>
      </c>
      <c r="F780" s="91" t="s">
        <v>569</v>
      </c>
      <c r="G780" s="4"/>
      <c r="H780" s="4"/>
      <c r="I780" s="4"/>
    </row>
    <row r="781" spans="1:9" ht="15">
      <c r="A781" s="43"/>
      <c r="B781" s="49" t="s">
        <v>1082</v>
      </c>
      <c r="C781" s="110" t="str">
        <f ca="1">IFERROR(__xludf.DUMMYFUNCTION("GOOGLETRANSLATE(B781:B796,""RU"",""UK"")"),"8. А Л М А З Н И Й  І Н С Т Р У М Е Н Т")</f>
        <v>8. А Л М А З Н И Й  І Н С Т Р У М Е Н Т</v>
      </c>
      <c r="D781" s="50"/>
      <c r="E781" s="50"/>
      <c r="F781" s="95"/>
      <c r="G781" s="4"/>
      <c r="H781" s="4"/>
      <c r="I781" s="4"/>
    </row>
    <row r="782" spans="1:9" ht="15">
      <c r="A782" s="13">
        <v>1</v>
      </c>
      <c r="B782" s="51" t="s">
        <v>1083</v>
      </c>
      <c r="C782" s="85" t="str">
        <f ca="1">IFERROR(__xludf.DUMMYFUNCTION("GOOGLETRANSLATE(B782:B797,""RU"",""UK"")"),"Круг алмазний коніч. (чашка) 80х3х20х5х20 АС6 100/80 А1")</f>
        <v>Круг алмазний коніч. (чашка) 80х3х20х5х20 АС6 100/80 А1</v>
      </c>
      <c r="D782" s="17" t="s">
        <v>6</v>
      </c>
      <c r="E782" s="17">
        <v>5</v>
      </c>
      <c r="F782" s="92" t="s">
        <v>106</v>
      </c>
      <c r="G782" s="4"/>
      <c r="H782" s="4"/>
      <c r="I782" s="4"/>
    </row>
    <row r="783" spans="1:9" ht="15">
      <c r="A783" s="13">
        <f>A782+1</f>
        <v>2</v>
      </c>
      <c r="B783" s="16" t="s">
        <v>1084</v>
      </c>
      <c r="C783" s="85" t="str">
        <f ca="1">IFERROR(__xludf.DUMMYFUNCTION("GOOGLETRANSLATE(B783:B798,""RU"",""UK"")"),"Круг алмазний коніч. (чашка) 100х5х3х32х20 АК6 200/160 (мет. осн.)")</f>
        <v>Круг алмазний коніч. (чашка) 100х5х3х32х20 АК6 200/160 (мет. осн.)</v>
      </c>
      <c r="D783" s="17" t="s">
        <v>6</v>
      </c>
      <c r="E783" s="17">
        <v>1</v>
      </c>
      <c r="F783" s="92" t="s">
        <v>53</v>
      </c>
      <c r="G783" s="4"/>
      <c r="H783" s="4"/>
      <c r="I783" s="4"/>
    </row>
    <row r="784" spans="1:9" ht="15">
      <c r="A784" s="21">
        <f t="shared" ref="A784:A847" si="15">A783+1</f>
        <v>3</v>
      </c>
      <c r="B784" s="19" t="s">
        <v>1085</v>
      </c>
      <c r="C784" s="85" t="str">
        <f ca="1">IFERROR(__xludf.DUMMYFUNCTION("GOOGLETRANSLATE(B784:B799,""RU"",""UK"")"),"Круг алмазний коніч. (чашка) 12А245 150х40х10х3х32 АС4 125/100 В2-01")</f>
        <v>Круг алмазний коніч. (чашка) 12А245 150х40х10х3х32 АС4 125/100 В2-01</v>
      </c>
      <c r="D784" s="17" t="s">
        <v>6</v>
      </c>
      <c r="E784" s="17">
        <v>0</v>
      </c>
      <c r="F784" s="92" t="s">
        <v>1086</v>
      </c>
      <c r="G784" s="4"/>
      <c r="H784" s="4"/>
      <c r="I784" s="4"/>
    </row>
    <row r="785" spans="1:9" ht="15">
      <c r="A785" s="21">
        <f t="shared" si="15"/>
        <v>4</v>
      </c>
      <c r="B785" s="19" t="s">
        <v>1087</v>
      </c>
      <c r="C785" s="85" t="str">
        <f ca="1">IFERROR(__xludf.DUMMYFUNCTION("GOOGLETRANSLATE(B785:B800,""RU"",""UK"")"),"Круг алмазний коніч. (чашка) 12А245 150х40х20х3х32 АС2 80/63")</f>
        <v>Круг алмазний коніч. (чашка) 12А245 150х40х20х3х32 АС2 80/63</v>
      </c>
      <c r="D785" s="17" t="s">
        <v>6</v>
      </c>
      <c r="E785" s="17">
        <v>0</v>
      </c>
      <c r="F785" s="92" t="s">
        <v>1088</v>
      </c>
      <c r="G785" s="4"/>
      <c r="H785" s="4"/>
      <c r="I785" s="4"/>
    </row>
    <row r="786" spans="1:9" ht="15">
      <c r="A786" s="21">
        <f t="shared" si="15"/>
        <v>5</v>
      </c>
      <c r="B786" s="16" t="s">
        <v>1089</v>
      </c>
      <c r="C786" s="85" t="str">
        <f ca="1">IFERROR(__xludf.DUMMYFUNCTION("GOOGLETRANSLATE(B786:B801,""RU"",""UK"")"),"Круг алмазний коніч. (чашка) фронтальна А14К 150х10х3х50 АС4 80/63 А2")</f>
        <v>Круг алмазний коніч. (чашка) фронтальна А14К 150х10х3х50 АС4 80/63 А2</v>
      </c>
      <c r="D786" s="17" t="s">
        <v>6</v>
      </c>
      <c r="E786" s="17">
        <v>2</v>
      </c>
      <c r="F786" s="92" t="s">
        <v>102</v>
      </c>
      <c r="G786" s="4"/>
      <c r="H786" s="4"/>
      <c r="I786" s="4"/>
    </row>
    <row r="787" spans="1:9" ht="15">
      <c r="A787" s="21">
        <f t="shared" si="15"/>
        <v>6</v>
      </c>
      <c r="B787" s="16" t="s">
        <v>1090</v>
      </c>
      <c r="C787" s="85" t="str">
        <f ca="1">IFERROR(__xludf.DUMMYFUNCTION("GOOGLETRANSLATE(B787:B802,""RU"",""UK"")"),"Круг алмазний коніч. (чашка) 200х10х50х3 АС4 63/50-4-К1-01")</f>
        <v>Круг алмазний коніч. (чашка) 200х10х50х3 АС4 63/50-4-К1-01</v>
      </c>
      <c r="D787" s="17" t="s">
        <v>6</v>
      </c>
      <c r="E787" s="17">
        <v>1</v>
      </c>
      <c r="F787" s="92" t="s">
        <v>1091</v>
      </c>
      <c r="G787" s="4"/>
      <c r="H787" s="4"/>
      <c r="I787" s="4"/>
    </row>
    <row r="788" spans="1:9" ht="15">
      <c r="A788" s="21">
        <f t="shared" si="15"/>
        <v>7</v>
      </c>
      <c r="B788" s="16" t="s">
        <v>1092</v>
      </c>
      <c r="C788" s="85" t="str">
        <f ca="1">IFERROR(__xludf.DUMMYFUNCTION("GOOGLETRANSLATE(B788:B803,""RU"",""UK"")"),"Круг алмазний коніч.(чашка) 200х10х50х3 АС4 125/100 В1")</f>
        <v>Круг алмазний коніч.(чашка) 200х10х50х3 АС4 125/100 В1</v>
      </c>
      <c r="D788" s="17" t="s">
        <v>6</v>
      </c>
      <c r="E788" s="17">
        <v>1</v>
      </c>
      <c r="F788" s="92" t="s">
        <v>1091</v>
      </c>
      <c r="G788" s="4"/>
      <c r="H788" s="4"/>
      <c r="I788" s="4"/>
    </row>
    <row r="789" spans="1:9" ht="15">
      <c r="A789" s="21">
        <f t="shared" si="15"/>
        <v>8</v>
      </c>
      <c r="B789" s="16" t="s">
        <v>1093</v>
      </c>
      <c r="C789" s="85" t="str">
        <f ca="1">IFERROR(__xludf.DUMMYFUNCTION("GOOGLETRANSLATE(B789:B804,""RU"",""UK"")"),"Круг алмазний тарільчастий АТ 100х6х20х2 АС5С 125/100 В1")</f>
        <v>Круг алмазний тарільчастий АТ 100х6х20х2 АС5С 125/100 В1</v>
      </c>
      <c r="D789" s="17" t="s">
        <v>6</v>
      </c>
      <c r="E789" s="17">
        <v>10</v>
      </c>
      <c r="F789" s="92" t="s">
        <v>106</v>
      </c>
      <c r="G789" s="4"/>
      <c r="H789" s="4"/>
      <c r="I789" s="4"/>
    </row>
    <row r="790" spans="1:9" ht="15">
      <c r="A790" s="21">
        <f t="shared" si="15"/>
        <v>9</v>
      </c>
      <c r="B790" s="16" t="s">
        <v>1094</v>
      </c>
      <c r="C790" s="85" t="str">
        <f ca="1">IFERROR(__xludf.DUMMYFUNCTION("GOOGLETRANSLATE(B790:B805,""RU"",""UK"")"),"Круг алмазний тарільчастий А1Т 125х5х2х32 АС4 125/100 В2-01")</f>
        <v>Круг алмазний тарільчастий А1Т 125х5х2х32 АС4 125/100 В2-01</v>
      </c>
      <c r="D790" s="17" t="s">
        <v>6</v>
      </c>
      <c r="E790" s="17">
        <v>2</v>
      </c>
      <c r="F790" s="92" t="s">
        <v>22</v>
      </c>
      <c r="G790" s="4"/>
      <c r="H790" s="4"/>
      <c r="I790" s="4"/>
    </row>
    <row r="791" spans="1:9" ht="15">
      <c r="A791" s="21">
        <f t="shared" si="15"/>
        <v>10</v>
      </c>
      <c r="B791" s="16" t="s">
        <v>1095</v>
      </c>
      <c r="C791" s="85" t="str">
        <f ca="1">IFERROR(__xludf.DUMMYFUNCTION("GOOGLETRANSLATE(B791:B806,""RU"",""UK"")"),"Круг алмазний тарільчастий А1Т 125х5х2х32 АС2С 100/80 -4-В2")</f>
        <v>Круг алмазний тарільчастий А1Т 125х5х2х32 АС2С 100/80 -4-В2</v>
      </c>
      <c r="D791" s="17" t="s">
        <v>6</v>
      </c>
      <c r="E791" s="17">
        <v>1</v>
      </c>
      <c r="F791" s="92" t="s">
        <v>22</v>
      </c>
      <c r="G791" s="4"/>
      <c r="H791" s="4"/>
      <c r="I791" s="4"/>
    </row>
    <row r="792" spans="1:9" ht="15">
      <c r="A792" s="21">
        <f t="shared" si="15"/>
        <v>11</v>
      </c>
      <c r="B792" s="16" t="s">
        <v>1096</v>
      </c>
      <c r="C792" s="85" t="str">
        <f ca="1">IFERROR(__xludf.DUMMYFUNCTION("GOOGLETRANSLATE(B792:B807,""RU"",""UK"")"),"Круг алмазний тарільчастий А1Т 125х5х2х32 АС2 160/125 -4-В2-01")</f>
        <v>Круг алмазний тарільчастий А1Т 125х5х2х32 АС2 160/125 -4-В2-01</v>
      </c>
      <c r="D792" s="17" t="s">
        <v>6</v>
      </c>
      <c r="E792" s="17">
        <v>2</v>
      </c>
      <c r="F792" s="92" t="s">
        <v>22</v>
      </c>
      <c r="G792" s="4"/>
      <c r="H792" s="4"/>
      <c r="I792" s="4"/>
    </row>
    <row r="793" spans="1:9" ht="15">
      <c r="A793" s="21">
        <f t="shared" si="15"/>
        <v>12</v>
      </c>
      <c r="B793" s="16" t="s">
        <v>1097</v>
      </c>
      <c r="C793" s="85" t="str">
        <f ca="1">IFERROR(__xludf.DUMMYFUNCTION("GOOGLETRANSLATE(B793:B808,""RU"",""UK"")"),"Круг алмазний тарільчастий А1Т 125х5х2х32 АСР 80/63 -4-В1")</f>
        <v>Круг алмазний тарільчастий А1Т 125х5х2х32 АСР 80/63 -4-В1</v>
      </c>
      <c r="D793" s="17" t="s">
        <v>6</v>
      </c>
      <c r="E793" s="17">
        <v>1</v>
      </c>
      <c r="F793" s="92" t="s">
        <v>272</v>
      </c>
      <c r="G793" s="4"/>
      <c r="H793" s="4"/>
      <c r="I793" s="4"/>
    </row>
    <row r="794" spans="1:9" ht="15">
      <c r="A794" s="21">
        <f t="shared" si="15"/>
        <v>13</v>
      </c>
      <c r="B794" s="16" t="s">
        <v>1098</v>
      </c>
      <c r="C794" s="85" t="str">
        <f ca="1">IFERROR(__xludf.DUMMYFUNCTION("GOOGLETRANSLATE(B794:B809,""RU"",""UK"")"),"Круг алмазний тарільчастий А1Т 150х5х3х32 АС4 100/80 -4-В2-01")</f>
        <v>Круг алмазний тарільчастий А1Т 150х5х3х32 АС4 100/80 -4-В2-01</v>
      </c>
      <c r="D794" s="17" t="s">
        <v>6</v>
      </c>
      <c r="E794" s="17">
        <v>1</v>
      </c>
      <c r="F794" s="92" t="s">
        <v>53</v>
      </c>
      <c r="G794" s="4"/>
      <c r="H794" s="4"/>
      <c r="I794" s="4"/>
    </row>
    <row r="795" spans="1:9" ht="15">
      <c r="A795" s="21">
        <f t="shared" si="15"/>
        <v>14</v>
      </c>
      <c r="B795" s="16" t="s">
        <v>1099</v>
      </c>
      <c r="C795" s="85" t="str">
        <f ca="1">IFERROR(__xludf.DUMMYFUNCTION("GOOGLETRANSLATE(B795:B810,""RU"",""UK"")"),"Круг алмазний тарільчастий АТ 150х10х2х32 АС2 160/125 В2-01")</f>
        <v>Круг алмазний тарільчастий АТ 150х10х2х32 АС2 160/125 В2-01</v>
      </c>
      <c r="D795" s="17" t="s">
        <v>6</v>
      </c>
      <c r="E795" s="17">
        <v>1</v>
      </c>
      <c r="F795" s="92" t="s">
        <v>53</v>
      </c>
      <c r="G795" s="4"/>
      <c r="H795" s="4"/>
      <c r="I795" s="4"/>
    </row>
    <row r="796" spans="1:9" ht="15">
      <c r="A796" s="21">
        <f t="shared" si="15"/>
        <v>15</v>
      </c>
      <c r="B796" s="16" t="s">
        <v>1100</v>
      </c>
      <c r="C796" s="85" t="str">
        <f ca="1">IFERROR(__xludf.DUMMYFUNCTION("GOOGLETRANSLATE(B796:B811,""RU"",""UK"")"),"Круг алмазний тарільчастий АТ 150х10х3х32 АС4 80/63")</f>
        <v>Круг алмазний тарільчастий АТ 150х10х3х32 АС4 80/63</v>
      </c>
      <c r="D796" s="17" t="s">
        <v>6</v>
      </c>
      <c r="E796" s="17">
        <v>1</v>
      </c>
      <c r="F796" s="92" t="s">
        <v>53</v>
      </c>
      <c r="G796" s="4"/>
      <c r="H796" s="4"/>
      <c r="I796" s="4"/>
    </row>
    <row r="797" spans="1:9" ht="15">
      <c r="A797" s="21">
        <f t="shared" si="15"/>
        <v>16</v>
      </c>
      <c r="B797" s="16" t="s">
        <v>1101</v>
      </c>
      <c r="C797" s="85" t="str">
        <f ca="1">IFERROR(__xludf.DUMMYFUNCTION("GOOGLETRANSLATE(B797:B812,""RU"",""UK"")"),"Круг алмазний тарільчастийе А1Т 150х5х3х32 АС2 80/63 -4-В2-01")</f>
        <v>Круг алмазний тарільчастийе А1Т 150х5х3х32 АС2 80/63 -4-В2-01</v>
      </c>
      <c r="D797" s="17" t="s">
        <v>6</v>
      </c>
      <c r="E797" s="17">
        <v>1</v>
      </c>
      <c r="F797" s="92" t="s">
        <v>53</v>
      </c>
      <c r="G797" s="4"/>
      <c r="H797" s="4"/>
      <c r="I797" s="4"/>
    </row>
    <row r="798" spans="1:9" ht="15">
      <c r="A798" s="21">
        <f t="shared" si="15"/>
        <v>17</v>
      </c>
      <c r="B798" s="16" t="s">
        <v>1102</v>
      </c>
      <c r="C798" s="85" t="str">
        <f ca="1">IFERROR(__xludf.DUMMYFUNCTION("GOOGLETRANSLATE(B798:B813,""RU"",""UK"")"),"Круг алмазний ПП 63х10х5х20 мет.основа")</f>
        <v>Круг алмазний ПП 63х10х5х20 мет.основа</v>
      </c>
      <c r="D798" s="17" t="s">
        <v>6</v>
      </c>
      <c r="E798" s="17">
        <v>1</v>
      </c>
      <c r="F798" s="92" t="s">
        <v>319</v>
      </c>
      <c r="G798" s="4"/>
      <c r="H798" s="4"/>
      <c r="I798" s="4"/>
    </row>
    <row r="799" spans="1:9" ht="15">
      <c r="A799" s="21">
        <f t="shared" si="15"/>
        <v>18</v>
      </c>
      <c r="B799" s="16" t="s">
        <v>1103</v>
      </c>
      <c r="C799" s="85" t="str">
        <f ca="1">IFERROR(__xludf.DUMMYFUNCTION("GOOGLETRANSLATE(B799:B814,""RU"",""UK"")"),"Круг алмазний ПП 125х6х3х32 АС4 100/80 А2")</f>
        <v>Круг алмазний ПП 125х6х3х32 АС4 100/80 А2</v>
      </c>
      <c r="D799" s="17" t="s">
        <v>6</v>
      </c>
      <c r="E799" s="17">
        <v>6</v>
      </c>
      <c r="F799" s="92" t="s">
        <v>272</v>
      </c>
      <c r="G799" s="4"/>
      <c r="H799" s="4"/>
      <c r="I799" s="4"/>
    </row>
    <row r="800" spans="1:9" ht="15">
      <c r="A800" s="21">
        <f t="shared" si="15"/>
        <v>19</v>
      </c>
      <c r="B800" s="16" t="s">
        <v>1104</v>
      </c>
      <c r="C800" s="85" t="str">
        <f ca="1">IFERROR(__xludf.DUMMYFUNCTION("GOOGLETRANSLATE(B800:B815,""RU"",""UK"")"),"Круг алмазний ПП 125х6х3х32 АС20 200/160 М3-16")</f>
        <v>Круг алмазний ПП 125х6х3х32 АС20 200/160 М3-16</v>
      </c>
      <c r="D800" s="17" t="s">
        <v>6</v>
      </c>
      <c r="E800" s="17">
        <v>1</v>
      </c>
      <c r="F800" s="92" t="s">
        <v>272</v>
      </c>
      <c r="G800" s="4"/>
      <c r="H800" s="4"/>
      <c r="I800" s="4"/>
    </row>
    <row r="801" spans="1:9" ht="15">
      <c r="A801" s="21">
        <f t="shared" si="15"/>
        <v>20</v>
      </c>
      <c r="B801" s="16" t="s">
        <v>1105</v>
      </c>
      <c r="C801" s="85" t="str">
        <f ca="1">IFERROR(__xludf.DUMMYFUNCTION("GOOGLETRANSLATE(B801:B816,""RU"",""UK"")"),"Круг алмазнийе ПП 125х10х3х32 АС4 125/100 А2")</f>
        <v>Круг алмазнийе ПП 125х10х3х32 АС4 125/100 А2</v>
      </c>
      <c r="D801" s="17" t="s">
        <v>6</v>
      </c>
      <c r="E801" s="17">
        <v>1</v>
      </c>
      <c r="F801" s="92" t="s">
        <v>18</v>
      </c>
      <c r="G801" s="4"/>
      <c r="H801" s="4"/>
      <c r="I801" s="4"/>
    </row>
    <row r="802" spans="1:9" ht="15">
      <c r="A802" s="21">
        <f t="shared" si="15"/>
        <v>21</v>
      </c>
      <c r="B802" s="19" t="s">
        <v>1106</v>
      </c>
      <c r="C802" s="85" t="str">
        <f ca="1">IFERROR(__xludf.DUMMYFUNCTION("GOOGLETRANSLATE(B802:B817,""RU"",""UK"")"),"Круг алмазний ПП 150х10х3х32 АСР 80/63 А2")</f>
        <v>Круг алмазний ПП 150х10х3х32 АСР 80/63 А2</v>
      </c>
      <c r="D802" s="17" t="s">
        <v>6</v>
      </c>
      <c r="E802" s="17">
        <v>0</v>
      </c>
      <c r="F802" s="92" t="s">
        <v>27</v>
      </c>
      <c r="G802" s="4"/>
      <c r="H802" s="4"/>
      <c r="I802" s="4"/>
    </row>
    <row r="803" spans="1:9" ht="15">
      <c r="A803" s="21">
        <f t="shared" si="15"/>
        <v>22</v>
      </c>
      <c r="B803" s="16" t="s">
        <v>1107</v>
      </c>
      <c r="C803" s="85" t="str">
        <f ca="1">IFERROR(__xludf.DUMMYFUNCTION("GOOGLETRANSLATE(B803:B818,""RU"",""UK"")"),"Круг алмазний АПВ 150х5х3х24х32 АСР 160/125 В1")</f>
        <v>Круг алмазний АПВ 150х5х3х24х32 АСР 160/125 В1</v>
      </c>
      <c r="D803" s="17" t="s">
        <v>6</v>
      </c>
      <c r="E803" s="17">
        <v>1</v>
      </c>
      <c r="F803" s="92" t="s">
        <v>283</v>
      </c>
      <c r="G803" s="4"/>
      <c r="H803" s="4"/>
      <c r="I803" s="4"/>
    </row>
    <row r="804" spans="1:9" ht="15">
      <c r="A804" s="21">
        <f t="shared" si="15"/>
        <v>23</v>
      </c>
      <c r="B804" s="16" t="s">
        <v>1108</v>
      </c>
      <c r="C804" s="85" t="str">
        <f ca="1">IFERROR(__xludf.DUMMYFUNCTION("GOOGLETRANSLATE(B804:B819,""RU"",""UK"")"),"Круг алмазний АПВ 150х10х4х24х32 АСН 40/28 М2-01")</f>
        <v>Круг алмазний АПВ 150х10х4х24х32 АСН 40/28 М2-01</v>
      </c>
      <c r="D804" s="17" t="s">
        <v>6</v>
      </c>
      <c r="E804" s="17">
        <v>1</v>
      </c>
      <c r="F804" s="92" t="s">
        <v>283</v>
      </c>
      <c r="G804" s="4"/>
      <c r="H804" s="4"/>
      <c r="I804" s="4"/>
    </row>
    <row r="805" spans="1:9" ht="15">
      <c r="A805" s="21">
        <f t="shared" si="15"/>
        <v>24</v>
      </c>
      <c r="B805" s="16" t="s">
        <v>1109</v>
      </c>
      <c r="C805" s="85" t="str">
        <f ca="1">IFERROR(__xludf.DUMMYFUNCTION("GOOGLETRANSLATE(B805:B820,""RU"",""UK"")"),"Круг алмазний АПВ 200х10х5х28х50 АС4 100/80 Б1")</f>
        <v>Круг алмазний АПВ 200х10х5х28х50 АС4 100/80 Б1</v>
      </c>
      <c r="D805" s="17" t="s">
        <v>6</v>
      </c>
      <c r="E805" s="17">
        <v>1</v>
      </c>
      <c r="F805" s="92" t="s">
        <v>80</v>
      </c>
      <c r="G805" s="4"/>
      <c r="H805" s="4"/>
      <c r="I805" s="4"/>
    </row>
    <row r="806" spans="1:9" ht="15">
      <c r="A806" s="21">
        <f t="shared" si="15"/>
        <v>25</v>
      </c>
      <c r="B806" s="16" t="s">
        <v>1110</v>
      </c>
      <c r="C806" s="85" t="str">
        <f ca="1">IFERROR(__xludf.DUMMYFUNCTION("GOOGLETRANSLATE(B806:B821,""RU"",""UK"")"),"Круг алмазний АПВ 200х10х3х24х50 АСВ 125/100 К1")</f>
        <v>Круг алмазний АПВ 200х10х3х24х50 АСВ 125/100 К1</v>
      </c>
      <c r="D806" s="17" t="s">
        <v>6</v>
      </c>
      <c r="E806" s="17">
        <v>1</v>
      </c>
      <c r="F806" s="92" t="s">
        <v>80</v>
      </c>
      <c r="G806" s="4"/>
      <c r="H806" s="4"/>
      <c r="I806" s="4"/>
    </row>
    <row r="807" spans="1:9" ht="15">
      <c r="A807" s="21">
        <f t="shared" si="15"/>
        <v>26</v>
      </c>
      <c r="B807" s="16" t="s">
        <v>1111</v>
      </c>
      <c r="C807" s="85" t="str">
        <f ca="1">IFERROR(__xludf.DUMMYFUNCTION("GOOGLETRANSLATE(B807:B822,""RU"",""UK"")"),"Круг алмазний АПВ 200х10х3х24х50 АСР 100/80 мет. осн. С12")</f>
        <v>Круг алмазний АПВ 200х10х3х24х50 АСР 100/80 мет. осн. С12</v>
      </c>
      <c r="D807" s="17" t="s">
        <v>6</v>
      </c>
      <c r="E807" s="17">
        <v>1</v>
      </c>
      <c r="F807" s="92" t="s">
        <v>80</v>
      </c>
      <c r="G807" s="4"/>
      <c r="H807" s="4"/>
      <c r="I807" s="4"/>
    </row>
    <row r="808" spans="1:9" ht="15">
      <c r="A808" s="21">
        <f t="shared" si="15"/>
        <v>27</v>
      </c>
      <c r="B808" s="16" t="s">
        <v>1112</v>
      </c>
      <c r="C808" s="85" t="str">
        <f ca="1">IFERROR(__xludf.DUMMYFUNCTION("GOOGLETRANSLATE(B808:B823,""RU"",""UK"")"),"Круг алмазний АПВ 200х10х5х24х46 АСР 100/80 С12")</f>
        <v>Круг алмазний АПВ 200х10х5х24х46 АСР 100/80 С12</v>
      </c>
      <c r="D808" s="17" t="s">
        <v>6</v>
      </c>
      <c r="E808" s="17">
        <v>1</v>
      </c>
      <c r="F808" s="92" t="s">
        <v>1113</v>
      </c>
      <c r="G808" s="4"/>
      <c r="H808" s="4"/>
      <c r="I808" s="4"/>
    </row>
    <row r="809" spans="1:9" ht="15">
      <c r="A809" s="21">
        <f t="shared" si="15"/>
        <v>28</v>
      </c>
      <c r="B809" s="16" t="s">
        <v>1114</v>
      </c>
      <c r="C809" s="85" t="str">
        <f ca="1">IFERROR(__xludf.DUMMYFUNCTION("GOOGLETRANSLATE(B809:B824,""RU"",""UK"")"),"Круг алмазний (коніч. профіль) А2П 250х8х76 АС4 160/125")</f>
        <v>Круг алмазний (коніч. профіль) А2П 250х8х76 АС4 160/125</v>
      </c>
      <c r="D809" s="17" t="s">
        <v>6</v>
      </c>
      <c r="E809" s="17">
        <v>1</v>
      </c>
      <c r="F809" s="92" t="s">
        <v>71</v>
      </c>
      <c r="G809" s="4"/>
      <c r="H809" s="4"/>
      <c r="I809" s="4"/>
    </row>
    <row r="810" spans="1:9" ht="15">
      <c r="A810" s="21">
        <f t="shared" si="15"/>
        <v>29</v>
      </c>
      <c r="B810" s="16" t="s">
        <v>1115</v>
      </c>
      <c r="C810" s="85" t="str">
        <f ca="1">IFERROR(__xludf.DUMMYFUNCTION("GOOGLETRANSLATE(B810:B825,""RU"",""UK"")"),"Круг алмазнийе АПП 250х10х3х76 АСР 125/100 А2")</f>
        <v>Круг алмазнийе АПП 250х10х3х76 АСР 125/100 А2</v>
      </c>
      <c r="D810" s="17" t="s">
        <v>6</v>
      </c>
      <c r="E810" s="17">
        <v>1</v>
      </c>
      <c r="F810" s="92" t="s">
        <v>75</v>
      </c>
      <c r="G810" s="4"/>
      <c r="H810" s="4"/>
      <c r="I810" s="4"/>
    </row>
    <row r="811" spans="1:9" ht="15">
      <c r="A811" s="21">
        <f t="shared" si="15"/>
        <v>30</v>
      </c>
      <c r="B811" s="16" t="s">
        <v>1116</v>
      </c>
      <c r="C811" s="85" t="str">
        <f ca="1">IFERROR(__xludf.DUMMYFUNCTION("GOOGLETRANSLATE(B811:B826,""RU"",""UK"")"),"Круг алмазний АПП 250х10х5х76 АС4 125/100 А2 / --//-- АС5 125/100 А2")</f>
        <v>Круг алмазний АПП 250х10х5х76 АС4 125/100 А2 / --//-- АС5 125/100 А2</v>
      </c>
      <c r="D811" s="17" t="s">
        <v>6</v>
      </c>
      <c r="E811" s="17" t="s">
        <v>710</v>
      </c>
      <c r="F811" s="92" t="s">
        <v>75</v>
      </c>
      <c r="G811" s="4"/>
      <c r="H811" s="4"/>
      <c r="I811" s="4"/>
    </row>
    <row r="812" spans="1:9" ht="15">
      <c r="A812" s="21">
        <f t="shared" si="15"/>
        <v>31</v>
      </c>
      <c r="B812" s="16" t="s">
        <v>1117</v>
      </c>
      <c r="C812" s="85" t="str">
        <f ca="1">IFERROR(__xludf.DUMMYFUNCTION("GOOGLETRANSLATE(B812:B827,""RU"",""UK"")"),"Круг алмазний АПП 250х15х3х76 АС6 250/200 А1М2")</f>
        <v>Круг алмазний АПП 250х15х3х76 АС6 250/200 А1М2</v>
      </c>
      <c r="D812" s="17" t="s">
        <v>6</v>
      </c>
      <c r="E812" s="17">
        <v>1</v>
      </c>
      <c r="F812" s="92" t="s">
        <v>38</v>
      </c>
      <c r="G812" s="4"/>
      <c r="H812" s="4"/>
      <c r="I812" s="4"/>
    </row>
    <row r="813" spans="1:9" ht="15">
      <c r="A813" s="21">
        <f t="shared" si="15"/>
        <v>32</v>
      </c>
      <c r="B813" s="16" t="s">
        <v>1118</v>
      </c>
      <c r="C813" s="85" t="str">
        <f ca="1">IFERROR(__xludf.DUMMYFUNCTION("GOOGLETRANSLATE(B813:B828,""RU"",""UK"")"),"Круг алмазний АПП 250х16х5х76 АСР 100/80 А2")</f>
        <v>Круг алмазний АПП 250х16х5х76 АСР 100/80 А2</v>
      </c>
      <c r="D813" s="17" t="s">
        <v>6</v>
      </c>
      <c r="E813" s="17">
        <v>1</v>
      </c>
      <c r="F813" s="92" t="s">
        <v>38</v>
      </c>
      <c r="G813" s="4"/>
      <c r="H813" s="4"/>
      <c r="I813" s="4"/>
    </row>
    <row r="814" spans="1:9" ht="15">
      <c r="A814" s="21">
        <f t="shared" si="15"/>
        <v>33</v>
      </c>
      <c r="B814" s="16" t="s">
        <v>1119</v>
      </c>
      <c r="C814" s="85" t="str">
        <f ca="1">IFERROR(__xludf.DUMMYFUNCTION("GOOGLETRANSLATE(B814:B829,""RU"",""UK"")"),"Круг алмазний АПП 250х16х5х76 АСР 125/100 А2")</f>
        <v>Круг алмазний АПП 250х16х5х76 АСР 125/100 А2</v>
      </c>
      <c r="D814" s="17" t="s">
        <v>6</v>
      </c>
      <c r="E814" s="17">
        <v>1</v>
      </c>
      <c r="F814" s="92" t="s">
        <v>38</v>
      </c>
      <c r="G814" s="4"/>
      <c r="H814" s="4"/>
      <c r="I814" s="4"/>
    </row>
    <row r="815" spans="1:9" ht="15">
      <c r="A815" s="21">
        <f t="shared" si="15"/>
        <v>34</v>
      </c>
      <c r="B815" s="16" t="s">
        <v>1120</v>
      </c>
      <c r="C815" s="85" t="str">
        <f ca="1">IFERROR(__xludf.DUMMYFUNCTION("GOOGLETRANSLATE(B815:B830,""RU"",""UK"")"),"Круг алмазний АПВ 250х20х3х76 РСВ 100/80 А1М1")</f>
        <v>Круг алмазний АПВ 250х20х3х76 РСВ 100/80 А1М1</v>
      </c>
      <c r="D815" s="17" t="s">
        <v>6</v>
      </c>
      <c r="E815" s="17">
        <v>1</v>
      </c>
      <c r="F815" s="92" t="s">
        <v>10</v>
      </c>
      <c r="G815" s="4"/>
      <c r="H815" s="4"/>
      <c r="I815" s="4"/>
    </row>
    <row r="816" spans="1:9" ht="15">
      <c r="A816" s="21">
        <f t="shared" si="15"/>
        <v>35</v>
      </c>
      <c r="B816" s="16" t="s">
        <v>1121</v>
      </c>
      <c r="C816" s="85" t="str">
        <f ca="1">IFERROR(__xludf.DUMMYFUNCTION("GOOGLETRANSLATE(B816:B831,""RU"",""UK"")"),"Круг алмазний АПП 300х15х5х76 АС4 100/80 А2 / --//-- АС5 100/80 А2")</f>
        <v>Круг алмазний АПП 300х15х5х76 АС4 100/80 А2 / --//-- АС5 100/80 А2</v>
      </c>
      <c r="D816" s="17" t="s">
        <v>6</v>
      </c>
      <c r="E816" s="17" t="s">
        <v>211</v>
      </c>
      <c r="F816" s="92" t="s">
        <v>910</v>
      </c>
      <c r="G816" s="4"/>
      <c r="H816" s="4"/>
      <c r="I816" s="4"/>
    </row>
    <row r="817" spans="1:9" ht="15">
      <c r="A817" s="21">
        <f t="shared" si="15"/>
        <v>36</v>
      </c>
      <c r="B817" s="16" t="s">
        <v>1122</v>
      </c>
      <c r="C817" s="85" t="str">
        <f ca="1">IFERROR(__xludf.DUMMYFUNCTION("GOOGLETRANSLATE(B817:B832,""RU"",""UK"")"),"Круг алмазний АПП 300х16х5х76 АСР 80/63 Б1")</f>
        <v>Круг алмазний АПП 300х16х5х76 АСР 80/63 Б1</v>
      </c>
      <c r="D817" s="17" t="s">
        <v>6</v>
      </c>
      <c r="E817" s="17">
        <v>1</v>
      </c>
      <c r="F817" s="92" t="s">
        <v>910</v>
      </c>
      <c r="G817" s="4"/>
      <c r="H817" s="4"/>
      <c r="I817" s="4"/>
    </row>
    <row r="818" spans="1:9" ht="15">
      <c r="A818" s="21">
        <f t="shared" si="15"/>
        <v>37</v>
      </c>
      <c r="B818" s="16" t="s">
        <v>1123</v>
      </c>
      <c r="C818" s="85" t="str">
        <f ca="1">IFERROR(__xludf.DUMMYFUNCTION("GOOGLETRANSLATE(B818:B833,""RU"",""UK"")"),"Круг алмазний АПП 300х20х5х76 АС4 80/63 А2")</f>
        <v>Круг алмазний АПП 300х20х5х76 АС4 80/63 А2</v>
      </c>
      <c r="D818" s="17" t="s">
        <v>6</v>
      </c>
      <c r="E818" s="17">
        <v>3</v>
      </c>
      <c r="F818" s="92" t="s">
        <v>910</v>
      </c>
      <c r="G818" s="4"/>
      <c r="H818" s="4"/>
      <c r="I818" s="4"/>
    </row>
    <row r="819" spans="1:9" ht="15">
      <c r="A819" s="21">
        <f t="shared" si="15"/>
        <v>38</v>
      </c>
      <c r="B819" s="16" t="s">
        <v>1124</v>
      </c>
      <c r="C819" s="85" t="str">
        <f ca="1">IFERROR(__xludf.DUMMYFUNCTION("GOOGLETRANSLATE(B819:B834,""RU"",""UK"")"),"Круг алмазний АПП 300х16х5х76 АСР АСР 160/125 А2")</f>
        <v>Круг алмазний АПП 300х16х5х76 АСР АСР 160/125 А2</v>
      </c>
      <c r="D819" s="17" t="s">
        <v>6</v>
      </c>
      <c r="E819" s="17">
        <v>1</v>
      </c>
      <c r="F819" s="92" t="s">
        <v>910</v>
      </c>
      <c r="G819" s="4"/>
      <c r="H819" s="4"/>
      <c r="I819" s="4"/>
    </row>
    <row r="820" spans="1:9" ht="15">
      <c r="A820" s="21">
        <f t="shared" si="15"/>
        <v>39</v>
      </c>
      <c r="B820" s="16" t="s">
        <v>1125</v>
      </c>
      <c r="C820" s="85" t="str">
        <f ca="1">IFERROR(__xludf.DUMMYFUNCTION("GOOGLETRANSLATE(B820:B835,""RU"",""UK"")"),"Круг алмазний АПП 400х40х5х203, А1, 2720-0163, АСВ 200/160 1090кар (В40)")</f>
        <v>Круг алмазний АПП 400х40х5х203, А1, 2720-0163, АСВ 200/160 1090кар (В40)</v>
      </c>
      <c r="D820" s="17" t="s">
        <v>6</v>
      </c>
      <c r="E820" s="17">
        <v>1</v>
      </c>
      <c r="F820" s="92" t="s">
        <v>910</v>
      </c>
      <c r="G820" s="4"/>
      <c r="H820" s="4"/>
      <c r="I820" s="4"/>
    </row>
    <row r="821" spans="1:9" ht="15">
      <c r="A821" s="21">
        <f t="shared" si="15"/>
        <v>40</v>
      </c>
      <c r="B821" s="16" t="s">
        <v>1126</v>
      </c>
      <c r="C821" s="85" t="str">
        <f ca="1">IFERROR(__xludf.DUMMYFUNCTION("GOOGLETRANSLATE(B821:B836,""RU"",""UK"")"),"Круг алмазний ПП 400х40х6х127, АС6, 1А1 50/40 М1-01 1305кар (В40)")</f>
        <v>Круг алмазний ПП 400х40х6х127, АС6, 1А1 50/40 М1-01 1305кар (В40)</v>
      </c>
      <c r="D821" s="17" t="s">
        <v>6</v>
      </c>
      <c r="E821" s="17">
        <v>1</v>
      </c>
      <c r="F821" s="92" t="s">
        <v>910</v>
      </c>
      <c r="G821" s="4"/>
      <c r="H821" s="4"/>
      <c r="I821" s="4"/>
    </row>
    <row r="822" spans="1:9" ht="15">
      <c r="A822" s="21">
        <f t="shared" si="15"/>
        <v>41</v>
      </c>
      <c r="B822" s="16" t="s">
        <v>1127</v>
      </c>
      <c r="C822" s="85" t="str">
        <f ca="1">IFERROR(__xludf.DUMMYFUNCTION("GOOGLETRANSLATE(B822:B837,""RU"",""UK"")"),"Круг алмазний радіус А5П 125х3х1,5х32-R1,5 АСК 160/125 М1")</f>
        <v>Круг алмазний радіус А5П 125х3х1,5х32-R1,5 АСК 160/125 М1</v>
      </c>
      <c r="D822" s="17" t="s">
        <v>6</v>
      </c>
      <c r="E822" s="17">
        <v>7</v>
      </c>
      <c r="F822" s="92" t="s">
        <v>1128</v>
      </c>
      <c r="G822" s="4"/>
      <c r="H822" s="4"/>
      <c r="I822" s="4"/>
    </row>
    <row r="823" spans="1:9" ht="15">
      <c r="A823" s="21">
        <f t="shared" si="15"/>
        <v>42</v>
      </c>
      <c r="B823" s="16" t="s">
        <v>1129</v>
      </c>
      <c r="C823" s="85" t="str">
        <f ca="1">IFERROR(__xludf.DUMMYFUNCTION("GOOGLETRANSLATE(B823:B838,""RU"",""UK"")"),"Круг алмазний радіус А5П 125х6х3х32-R3 АСБ 80/63 М1")</f>
        <v>Круг алмазний радіус А5П 125х6х3х32-R3 АСБ 80/63 М1</v>
      </c>
      <c r="D823" s="17" t="s">
        <v>6</v>
      </c>
      <c r="E823" s="17">
        <v>1</v>
      </c>
      <c r="F823" s="92" t="s">
        <v>1128</v>
      </c>
      <c r="G823" s="4"/>
      <c r="H823" s="4"/>
      <c r="I823" s="4"/>
    </row>
    <row r="824" spans="1:9" ht="15">
      <c r="A824" s="21">
        <f t="shared" si="15"/>
        <v>43</v>
      </c>
      <c r="B824" s="16" t="s">
        <v>1130</v>
      </c>
      <c r="C824" s="85" t="str">
        <f ca="1">IFERROR(__xludf.DUMMYFUNCTION("GOOGLETRANSLATE(B824:B839,""RU"",""UK"")"),"Круг алмазний радіус 125х6х3х32-R3 АС4 160/125 А2 -4-В2")</f>
        <v>Круг алмазний радіус 125х6х3х32-R3 АС4 160/125 А2 -4-В2</v>
      </c>
      <c r="D824" s="17" t="s">
        <v>6</v>
      </c>
      <c r="E824" s="17">
        <v>7</v>
      </c>
      <c r="F824" s="92" t="s">
        <v>1128</v>
      </c>
      <c r="G824" s="4"/>
      <c r="H824" s="4"/>
      <c r="I824" s="4"/>
    </row>
    <row r="825" spans="1:9" ht="15">
      <c r="A825" s="21">
        <f t="shared" si="15"/>
        <v>44</v>
      </c>
      <c r="B825" s="16" t="s">
        <v>1131</v>
      </c>
      <c r="C825" s="85" t="str">
        <f ca="1">IFERROR(__xludf.DUMMYFUNCTION("GOOGLETRANSLATE(B825:B840,""RU"",""UK"")"),"Круг алмазний радіус 125х6х32-R3 АСВ 80/63 НТ2")</f>
        <v>Круг алмазний радіус 125х6х32-R3 АСВ 80/63 НТ2</v>
      </c>
      <c r="D825" s="17" t="s">
        <v>6</v>
      </c>
      <c r="E825" s="17">
        <v>1</v>
      </c>
      <c r="F825" s="92" t="s">
        <v>1128</v>
      </c>
      <c r="G825" s="4"/>
      <c r="H825" s="4"/>
      <c r="I825" s="4"/>
    </row>
    <row r="826" spans="1:9" ht="15">
      <c r="A826" s="21">
        <f t="shared" si="15"/>
        <v>45</v>
      </c>
      <c r="B826" s="16" t="s">
        <v>1132</v>
      </c>
      <c r="C826" s="85" t="str">
        <f ca="1">IFERROR(__xludf.DUMMYFUNCTION("GOOGLETRANSLATE(B826:B841,""RU"",""UK"")"),"Круг алмазний радіус 125х10х32-R5 АС4 125/100 А2 -4-В2")</f>
        <v>Круг алмазний радіус 125х10х32-R5 АС4 125/100 А2 -4-В2</v>
      </c>
      <c r="D826" s="17" t="s">
        <v>6</v>
      </c>
      <c r="E826" s="17">
        <v>1</v>
      </c>
      <c r="F826" s="92" t="s">
        <v>1128</v>
      </c>
      <c r="G826" s="4"/>
      <c r="H826" s="4"/>
      <c r="I826" s="4"/>
    </row>
    <row r="827" spans="1:9" ht="15">
      <c r="A827" s="21">
        <f t="shared" si="15"/>
        <v>46</v>
      </c>
      <c r="B827" s="16" t="s">
        <v>1133</v>
      </c>
      <c r="C827" s="85" t="str">
        <f ca="1">IFERROR(__xludf.DUMMYFUNCTION("GOOGLETRANSLATE(B827:B842,""RU"",""UK"")"),"Круг алмазний радіус 150х20х32-R10 АСР 160/125 А2")</f>
        <v>Круг алмазний радіус 150х20х32-R10 АСР 160/125 А2</v>
      </c>
      <c r="D827" s="17" t="s">
        <v>6</v>
      </c>
      <c r="E827" s="17">
        <v>1</v>
      </c>
      <c r="F827" s="92" t="s">
        <v>1128</v>
      </c>
      <c r="G827" s="4"/>
      <c r="H827" s="4"/>
      <c r="I827" s="4"/>
    </row>
    <row r="828" spans="1:9" ht="15">
      <c r="A828" s="21">
        <f t="shared" si="15"/>
        <v>47</v>
      </c>
      <c r="B828" s="16" t="s">
        <v>1134</v>
      </c>
      <c r="C828" s="85" t="str">
        <f ca="1">IFERROR(__xludf.DUMMYFUNCTION("GOOGLETRANSLATE(B828:B843,""RU"",""UK"")"),"Круг алмазний радіус 150х20х32-R10 АС4 100/80 Б2-01")</f>
        <v>Круг алмазний радіус 150х20х32-R10 АС4 100/80 Б2-01</v>
      </c>
      <c r="D828" s="17" t="s">
        <v>6</v>
      </c>
      <c r="E828" s="17">
        <v>1</v>
      </c>
      <c r="F828" s="92" t="s">
        <v>1128</v>
      </c>
      <c r="G828" s="4"/>
      <c r="H828" s="4"/>
      <c r="I828" s="4"/>
    </row>
    <row r="829" spans="1:9" ht="15">
      <c r="A829" s="21">
        <f t="shared" si="15"/>
        <v>48</v>
      </c>
      <c r="B829" s="16" t="s">
        <v>1135</v>
      </c>
      <c r="C829" s="85" t="str">
        <f ca="1">IFERROR(__xludf.DUMMYFUNCTION("GOOGLETRANSLATE(B829:B844,""RU"",""UK"")"),"Круг алмазний радіус АБП 350х2, 5х5х127 АС15 100/125 М2")</f>
        <v>Круг алмазний радіус АБП 350х2, 5х5х127 АС15 100/125 М2</v>
      </c>
      <c r="D829" s="17" t="s">
        <v>6</v>
      </c>
      <c r="E829" s="17">
        <v>14</v>
      </c>
      <c r="F829" s="92" t="s">
        <v>38</v>
      </c>
      <c r="G829" s="4"/>
      <c r="H829" s="4"/>
      <c r="I829" s="4"/>
    </row>
    <row r="830" spans="1:9" ht="15">
      <c r="A830" s="21">
        <f t="shared" si="15"/>
        <v>49</v>
      </c>
      <c r="B830" s="16" t="s">
        <v>1136</v>
      </c>
      <c r="C830" s="85" t="str">
        <f ca="1">IFERROR(__xludf.DUMMYFUNCTION("GOOGLETRANSLATE(B830:B845,""RU"",""UK"")"),"Круг алмазний кутовий А2П 125х3х4х30*х32 АС2 200/160 М201")</f>
        <v>Круг алмазний кутовий А2П 125х3х4х30*х32 АС2 200/160 М201</v>
      </c>
      <c r="D830" s="17" t="s">
        <v>6</v>
      </c>
      <c r="E830" s="17">
        <v>27</v>
      </c>
      <c r="F830" s="92" t="s">
        <v>106</v>
      </c>
      <c r="G830" s="4"/>
      <c r="H830" s="4"/>
      <c r="I830" s="4"/>
    </row>
    <row r="831" spans="1:9" ht="15">
      <c r="A831" s="21">
        <f t="shared" si="15"/>
        <v>50</v>
      </c>
      <c r="B831" s="16" t="s">
        <v>1137</v>
      </c>
      <c r="C831" s="85" t="str">
        <f ca="1">IFERROR(__xludf.DUMMYFUNCTION("GOOGLETRANSLATE(B831:B846,""RU"",""UK"")"),"Круг алмазний кутовий А2П 125х3х4х60*х32 АСК 200/160 М1")</f>
        <v>Круг алмазний кутовий А2П 125х3х4х60*х32 АСК 200/160 М1</v>
      </c>
      <c r="D831" s="17" t="s">
        <v>6</v>
      </c>
      <c r="E831" s="17">
        <v>7</v>
      </c>
      <c r="F831" s="92" t="s">
        <v>106</v>
      </c>
      <c r="G831" s="4"/>
      <c r="H831" s="4"/>
      <c r="I831" s="4"/>
    </row>
    <row r="832" spans="1:9" ht="15">
      <c r="A832" s="21">
        <f t="shared" si="15"/>
        <v>51</v>
      </c>
      <c r="B832" s="16" t="s">
        <v>1138</v>
      </c>
      <c r="C832" s="85" t="str">
        <f ca="1">IFERROR(__xludf.DUMMYFUNCTION("GOOGLETRANSLATE(B832:B847,""RU"",""UK"")"),"Круг алмазний кутовий А2П 125х3х4х60*х32 АС20 200/160 М1")</f>
        <v>Круг алмазний кутовий А2П 125х3х4х60*х32 АС20 200/160 М1</v>
      </c>
      <c r="D832" s="17" t="s">
        <v>6</v>
      </c>
      <c r="E832" s="17">
        <v>1</v>
      </c>
      <c r="F832" s="92" t="s">
        <v>106</v>
      </c>
      <c r="G832" s="4"/>
      <c r="H832" s="4"/>
      <c r="I832" s="4"/>
    </row>
    <row r="833" spans="1:9" ht="15">
      <c r="A833" s="21">
        <f t="shared" si="15"/>
        <v>52</v>
      </c>
      <c r="B833" s="16" t="s">
        <v>1139</v>
      </c>
      <c r="C833" s="85" t="str">
        <f ca="1">IFERROR(__xludf.DUMMYFUNCTION("GOOGLETRANSLATE(B833:B848,""RU"",""UK"")"),"Круг алмазний різьбошліфувальний 74х12х32х60* мет.основа")</f>
        <v>Круг алмазний різьбошліфувальний 74х12х32х60* мет.основа</v>
      </c>
      <c r="D833" s="17" t="s">
        <v>6</v>
      </c>
      <c r="E833" s="17">
        <v>2</v>
      </c>
      <c r="F833" s="92" t="s">
        <v>319</v>
      </c>
      <c r="G833" s="4"/>
      <c r="H833" s="4"/>
      <c r="I833" s="4"/>
    </row>
    <row r="834" spans="1:9" ht="15">
      <c r="A834" s="21">
        <f t="shared" si="15"/>
        <v>53</v>
      </c>
      <c r="B834" s="16" t="s">
        <v>1140</v>
      </c>
      <c r="C834" s="85" t="str">
        <f ca="1">IFERROR(__xludf.DUMMYFUNCTION("GOOGLETRANSLATE(B834:B849,""RU"",""UK"")"),"Круг алмазний різьбошліфувальний 125х6х32х60* 125/100")</f>
        <v>Круг алмазний різьбошліфувальний 125х6х32х60* 125/100</v>
      </c>
      <c r="D834" s="17" t="s">
        <v>6</v>
      </c>
      <c r="E834" s="17">
        <v>2</v>
      </c>
      <c r="F834" s="92" t="s">
        <v>22</v>
      </c>
      <c r="G834" s="4"/>
      <c r="H834" s="4"/>
      <c r="I834" s="4"/>
    </row>
    <row r="835" spans="1:9" ht="15">
      <c r="A835" s="21">
        <f t="shared" si="15"/>
        <v>54</v>
      </c>
      <c r="B835" s="16" t="s">
        <v>1141</v>
      </c>
      <c r="C835" s="85" t="str">
        <f ca="1">IFERROR(__xludf.DUMMYFUNCTION("GOOGLETRANSLATE(B835:B850,""RU"",""UK"")"),"Круг алмазний відрізний 150х32х1,0 АС15 125/100")</f>
        <v>Круг алмазний відрізний 150х32х1,0 АС15 125/100</v>
      </c>
      <c r="D835" s="17" t="s">
        <v>6</v>
      </c>
      <c r="E835" s="17">
        <v>11</v>
      </c>
      <c r="F835" s="92" t="s">
        <v>22</v>
      </c>
      <c r="G835" s="4"/>
      <c r="H835" s="4"/>
      <c r="I835" s="4"/>
    </row>
    <row r="836" spans="1:9" ht="15">
      <c r="A836" s="21">
        <f t="shared" si="15"/>
        <v>55</v>
      </c>
      <c r="B836" s="16" t="s">
        <v>1142</v>
      </c>
      <c r="C836" s="85" t="str">
        <f ca="1">IFERROR(__xludf.DUMMYFUNCTION("GOOGLETRANSLATE(B836:B851,""RU"",""UK"")"),"Круг алмазний відрізний 175х32х1,5 АС15 160/125")</f>
        <v>Круг алмазний відрізний 175х32х1,5 АС15 160/125</v>
      </c>
      <c r="D836" s="17" t="s">
        <v>6</v>
      </c>
      <c r="E836" s="17">
        <v>2</v>
      </c>
      <c r="F836" s="92" t="s">
        <v>272</v>
      </c>
      <c r="G836" s="4"/>
      <c r="H836" s="4"/>
      <c r="I836" s="4"/>
    </row>
    <row r="837" spans="1:9" ht="15">
      <c r="A837" s="21">
        <f t="shared" si="15"/>
        <v>56</v>
      </c>
      <c r="B837" s="16" t="s">
        <v>1143</v>
      </c>
      <c r="C837" s="85" t="str">
        <f ca="1">IFERROR(__xludf.DUMMYFUNCTION("GOOGLETRANSLATE(B837:B852,""RU"",""UK"")"),"Круг алмазний відрізний 200х32х1,0")</f>
        <v>Круг алмазний відрізний 200х32х1,0</v>
      </c>
      <c r="D837" s="17" t="s">
        <v>6</v>
      </c>
      <c r="E837" s="17">
        <v>3</v>
      </c>
      <c r="F837" s="92" t="s">
        <v>18</v>
      </c>
      <c r="G837" s="4"/>
      <c r="H837" s="4"/>
      <c r="I837" s="4"/>
    </row>
    <row r="838" spans="1:9" ht="15">
      <c r="A838" s="21">
        <f t="shared" si="15"/>
        <v>57</v>
      </c>
      <c r="B838" s="16" t="s">
        <v>1144</v>
      </c>
      <c r="C838" s="85" t="str">
        <f ca="1">IFERROR(__xludf.DUMMYFUNCTION("GOOGLETRANSLATE(B838:B853,""RU"",""UK"")"),"Круг алмазний відрізний 200х32х1.5 АС15 125/100 // 160/125 // 200/160")</f>
        <v>Круг алмазний відрізний 200х32х1.5 АС15 125/100 // 160/125 // 200/160</v>
      </c>
      <c r="D838" s="17" t="s">
        <v>6</v>
      </c>
      <c r="E838" s="17" t="s">
        <v>1145</v>
      </c>
      <c r="F838" s="92" t="s">
        <v>413</v>
      </c>
      <c r="G838" s="4"/>
      <c r="H838" s="4"/>
      <c r="I838" s="4"/>
    </row>
    <row r="839" spans="1:9" ht="15">
      <c r="A839" s="21">
        <f t="shared" si="15"/>
        <v>58</v>
      </c>
      <c r="B839" s="16" t="s">
        <v>1146</v>
      </c>
      <c r="C839" s="85" t="str">
        <f ca="1">IFERROR(__xludf.DUMMYFUNCTION("GOOGLETRANSLATE(B839:B854,""RU"",""UK"")"),"Круг алмазний відрізний 200х32х2.0 АС65 125/100")</f>
        <v>Круг алмазний відрізний 200х32х2.0 АС65 125/100</v>
      </c>
      <c r="D839" s="17" t="s">
        <v>6</v>
      </c>
      <c r="E839" s="17">
        <v>3</v>
      </c>
      <c r="F839" s="92" t="s">
        <v>1147</v>
      </c>
      <c r="G839" s="4"/>
      <c r="H839" s="4"/>
      <c r="I839" s="4"/>
    </row>
    <row r="840" spans="1:9" ht="15">
      <c r="A840" s="21">
        <f t="shared" si="15"/>
        <v>59</v>
      </c>
      <c r="B840" s="16" t="s">
        <v>1148</v>
      </c>
      <c r="C840" s="85" t="str">
        <f ca="1">IFERROR(__xludf.DUMMYFUNCTION("GOOGLETRANSLATE(B840:B855,""RU"",""UK"")"),"Круг алмазний відрізний 250х32х1.5 АС15 160/125")</f>
        <v>Круг алмазний відрізний 250х32х1.5 АС15 160/125</v>
      </c>
      <c r="D840" s="17" t="s">
        <v>6</v>
      </c>
      <c r="E840" s="17">
        <v>2</v>
      </c>
      <c r="F840" s="92" t="s">
        <v>1147</v>
      </c>
      <c r="G840" s="4"/>
      <c r="H840" s="4"/>
      <c r="I840" s="4"/>
    </row>
    <row r="841" spans="1:9" ht="15">
      <c r="A841" s="21">
        <f t="shared" si="15"/>
        <v>60</v>
      </c>
      <c r="B841" s="16" t="s">
        <v>1149</v>
      </c>
      <c r="C841" s="85" t="str">
        <f ca="1">IFERROR(__xludf.DUMMYFUNCTION("GOOGLETRANSLATE(B841:B856,""RU"",""UK"")"),"Круг алмазний відрізний 250х32х2.0 АС15 100/125")</f>
        <v>Круг алмазний відрізний 250х32х2.0 АС15 100/125</v>
      </c>
      <c r="D841" s="17" t="s">
        <v>6</v>
      </c>
      <c r="E841" s="17">
        <v>1</v>
      </c>
      <c r="F841" s="92" t="s">
        <v>138</v>
      </c>
      <c r="G841" s="4"/>
      <c r="H841" s="4"/>
      <c r="I841" s="4"/>
    </row>
    <row r="842" spans="1:9" ht="15">
      <c r="A842" s="21">
        <f t="shared" si="15"/>
        <v>61</v>
      </c>
      <c r="B842" s="16" t="s">
        <v>1150</v>
      </c>
      <c r="C842" s="85" t="str">
        <f ca="1">IFERROR(__xludf.DUMMYFUNCTION("GOOGLETRANSLATE(B842:B857,""RU"",""UK"")"),"Круг алмазний відрізний сегментний 300х63х5 630/500")</f>
        <v>Круг алмазний відрізний сегментний 300х63х5 630/500</v>
      </c>
      <c r="D842" s="17" t="s">
        <v>6</v>
      </c>
      <c r="E842" s="17">
        <v>2</v>
      </c>
      <c r="F842" s="92" t="s">
        <v>1151</v>
      </c>
      <c r="G842" s="4"/>
      <c r="H842" s="4"/>
      <c r="I842" s="4"/>
    </row>
    <row r="843" spans="1:9" ht="15">
      <c r="A843" s="21">
        <f t="shared" si="15"/>
        <v>62</v>
      </c>
      <c r="B843" s="16" t="s">
        <v>1152</v>
      </c>
      <c r="C843" s="85" t="str">
        <f ca="1">IFERROR(__xludf.DUMMYFUNCTION("GOOGLETRANSLATE(B843:B858,""RU"",""UK"")"),"Круг алмазний відрізний сегментний 400х90х4 АР1-3 500/400")</f>
        <v>Круг алмазний відрізний сегментний 400х90х4 АР1-3 500/400</v>
      </c>
      <c r="D843" s="17" t="s">
        <v>6</v>
      </c>
      <c r="E843" s="17">
        <v>1</v>
      </c>
      <c r="F843" s="92" t="s">
        <v>75</v>
      </c>
      <c r="G843" s="4"/>
      <c r="H843" s="4"/>
      <c r="I843" s="4"/>
    </row>
    <row r="844" spans="1:9" ht="15">
      <c r="A844" s="21">
        <f t="shared" si="15"/>
        <v>63</v>
      </c>
      <c r="B844" s="16" t="s">
        <v>1153</v>
      </c>
      <c r="C844" s="85" t="str">
        <f ca="1">IFERROR(__xludf.DUMMYFUNCTION("GOOGLETRANSLATE(B844:B859,""RU"",""UK"")"),"Олівець алмазний 87С/88С")</f>
        <v>Олівець алмазний 87С/88С</v>
      </c>
      <c r="D844" s="15" t="s">
        <v>6</v>
      </c>
      <c r="E844" s="15" t="s">
        <v>1154</v>
      </c>
      <c r="F844" s="91" t="s">
        <v>18</v>
      </c>
      <c r="G844" s="4"/>
      <c r="H844" s="4"/>
      <c r="I844" s="4"/>
    </row>
    <row r="845" spans="1:9" ht="15">
      <c r="A845" s="21">
        <f t="shared" si="15"/>
        <v>64</v>
      </c>
      <c r="B845" s="14" t="s">
        <v>1155</v>
      </c>
      <c r="C845" s="85" t="str">
        <f ca="1">IFERROR(__xludf.DUMMYFUNCTION("GOOGLETRANSLATE(B845:B860,""RU"",""UK"")"),"Олівець алмазний Славутич")</f>
        <v>Олівець алмазний Славутич</v>
      </c>
      <c r="D845" s="15" t="s">
        <v>6</v>
      </c>
      <c r="E845" s="15">
        <v>26</v>
      </c>
      <c r="F845" s="91" t="s">
        <v>22</v>
      </c>
      <c r="G845" s="4"/>
      <c r="H845" s="4"/>
      <c r="I845" s="4"/>
    </row>
    <row r="846" spans="1:9" ht="15">
      <c r="A846" s="21">
        <f t="shared" si="15"/>
        <v>65</v>
      </c>
      <c r="B846" s="14" t="s">
        <v>1156</v>
      </c>
      <c r="C846" s="85" t="str">
        <f ca="1">IFERROR(__xludf.DUMMYFUNCTION("GOOGLETRANSLATE(B846:B861,""RU"",""UK"")"),"Діамант в оправі 108 (0,05кар)")</f>
        <v>Діамант в оправі 108 (0,05кар)</v>
      </c>
      <c r="D846" s="15" t="s">
        <v>6</v>
      </c>
      <c r="E846" s="15">
        <v>6</v>
      </c>
      <c r="F846" s="91" t="s">
        <v>33</v>
      </c>
      <c r="G846" s="4"/>
      <c r="H846" s="4"/>
      <c r="I846" s="4"/>
    </row>
    <row r="847" spans="1:9" ht="15">
      <c r="A847" s="21">
        <f t="shared" si="15"/>
        <v>66</v>
      </c>
      <c r="B847" s="14" t="s">
        <v>1157</v>
      </c>
      <c r="C847" s="85" t="str">
        <f ca="1">IFERROR(__xludf.DUMMYFUNCTION("GOOGLETRANSLATE(B847:B862,""RU"",""UK"")"),"Наконечник алмазний НК1. Для твердоміра")</f>
        <v>Наконечник алмазний НК1. Для твердоміра</v>
      </c>
      <c r="D847" s="15" t="s">
        <v>6</v>
      </c>
      <c r="E847" s="15">
        <v>3</v>
      </c>
      <c r="F847" s="91" t="s">
        <v>71</v>
      </c>
      <c r="G847" s="4"/>
      <c r="H847" s="4"/>
      <c r="I847" s="4"/>
    </row>
    <row r="848" spans="1:9" ht="15">
      <c r="A848" s="21">
        <f t="shared" ref="A848:A887" si="16">A847+1</f>
        <v>67</v>
      </c>
      <c r="B848" s="14" t="s">
        <v>1158</v>
      </c>
      <c r="C848" s="85" t="str">
        <f ca="1">IFERROR(__xludf.DUMMYFUNCTION("GOOGLETRANSLATE(B848:B863,""RU"",""UK"")"),"Різець алм. / d8х40")</f>
        <v>Різець алм. / d8х40</v>
      </c>
      <c r="D848" s="15" t="s">
        <v>6</v>
      </c>
      <c r="E848" s="15" t="s">
        <v>749</v>
      </c>
      <c r="F848" s="91" t="s">
        <v>111</v>
      </c>
      <c r="G848" s="4"/>
      <c r="H848" s="4"/>
      <c r="I848" s="4"/>
    </row>
    <row r="849" spans="1:9" ht="15">
      <c r="A849" s="21">
        <f t="shared" si="16"/>
        <v>68</v>
      </c>
      <c r="B849" s="14" t="s">
        <v>1159</v>
      </c>
      <c r="C849" s="85" t="str">
        <f ca="1">IFERROR(__xludf.DUMMYFUNCTION("GOOGLETRANSLATE(B849:B864,""RU"",""UK"")"),"Алмазна паста 2/1 (туб)")</f>
        <v>Алмазна паста 2/1 (туб)</v>
      </c>
      <c r="D849" s="15" t="s">
        <v>6</v>
      </c>
      <c r="E849" s="15">
        <v>5</v>
      </c>
      <c r="F849" s="91" t="s">
        <v>338</v>
      </c>
      <c r="G849" s="4"/>
      <c r="H849" s="4"/>
      <c r="I849" s="4"/>
    </row>
    <row r="850" spans="1:9" ht="15">
      <c r="A850" s="21">
        <f t="shared" si="16"/>
        <v>69</v>
      </c>
      <c r="B850" s="14" t="s">
        <v>1160</v>
      </c>
      <c r="C850" s="85" t="str">
        <f ca="1">IFERROR(__xludf.DUMMYFUNCTION("GOOGLETRANSLATE(B850:B865,""RU"",""UK"")"),"Паста алмазна АСМ 5/3 (туб)")</f>
        <v>Паста алмазна АСМ 5/3 (туб)</v>
      </c>
      <c r="D850" s="15" t="s">
        <v>6</v>
      </c>
      <c r="E850" s="15">
        <v>3</v>
      </c>
      <c r="F850" s="91" t="s">
        <v>338</v>
      </c>
      <c r="G850" s="4"/>
      <c r="H850" s="4"/>
      <c r="I850" s="4"/>
    </row>
    <row r="851" spans="1:9" ht="15">
      <c r="A851" s="21">
        <f t="shared" si="16"/>
        <v>70</v>
      </c>
      <c r="B851" s="14" t="s">
        <v>1161</v>
      </c>
      <c r="C851" s="85" t="str">
        <f ca="1">IFERROR(__xludf.DUMMYFUNCTION("GOOGLETRANSLATE(B851:B866,""RU"",""UK"")"),"Алмазна паста 7/5 (туб)")</f>
        <v>Алмазна паста 7/5 (туб)</v>
      </c>
      <c r="D851" s="15" t="s">
        <v>6</v>
      </c>
      <c r="E851" s="15">
        <v>1</v>
      </c>
      <c r="F851" s="91" t="s">
        <v>338</v>
      </c>
      <c r="G851" s="4"/>
      <c r="H851" s="4"/>
      <c r="I851" s="4"/>
    </row>
    <row r="852" spans="1:9" ht="15">
      <c r="A852" s="21">
        <f t="shared" si="16"/>
        <v>71</v>
      </c>
      <c r="B852" s="14" t="s">
        <v>1162</v>
      </c>
      <c r="C852" s="85" t="str">
        <f ca="1">IFERROR(__xludf.DUMMYFUNCTION("GOOGLETRANSLATE(B852:B867,""RU"",""UK"")"),"Алмазна паста 14/10 (туб)")</f>
        <v>Алмазна паста 14/10 (туб)</v>
      </c>
      <c r="D852" s="15" t="s">
        <v>6</v>
      </c>
      <c r="E852" s="15">
        <v>3</v>
      </c>
      <c r="F852" s="91" t="s">
        <v>338</v>
      </c>
      <c r="G852" s="4"/>
      <c r="H852" s="4"/>
      <c r="I852" s="4"/>
    </row>
    <row r="853" spans="1:9" ht="15">
      <c r="A853" s="21">
        <f t="shared" si="16"/>
        <v>72</v>
      </c>
      <c r="B853" s="14" t="s">
        <v>1163</v>
      </c>
      <c r="C853" s="85" t="str">
        <f ca="1">IFERROR(__xludf.DUMMYFUNCTION("GOOGLETRANSLATE(B853:B868,""RU"",""UK"")"),"Алмазна паста 28/20 (туб)")</f>
        <v>Алмазна паста 28/20 (туб)</v>
      </c>
      <c r="D853" s="15" t="s">
        <v>6</v>
      </c>
      <c r="E853" s="15">
        <v>1</v>
      </c>
      <c r="F853" s="91" t="s">
        <v>338</v>
      </c>
      <c r="G853" s="4"/>
      <c r="H853" s="4"/>
      <c r="I853" s="4"/>
    </row>
    <row r="854" spans="1:9" ht="15">
      <c r="A854" s="21">
        <f t="shared" si="16"/>
        <v>73</v>
      </c>
      <c r="B854" s="14" t="s">
        <v>1164</v>
      </c>
      <c r="C854" s="85" t="str">
        <f ca="1">IFERROR(__xludf.DUMMYFUNCTION("GOOGLETRANSLATE(B854:B869,""RU"",""UK"")"),"Алмазна паста АСН 40/28 (туб 50мл)")</f>
        <v>Алмазна паста АСН 40/28 (туб 50мл)</v>
      </c>
      <c r="D854" s="15" t="s">
        <v>6</v>
      </c>
      <c r="E854" s="15">
        <v>30</v>
      </c>
      <c r="F854" s="91" t="s">
        <v>338</v>
      </c>
      <c r="G854" s="4"/>
      <c r="H854" s="4"/>
      <c r="I854" s="4"/>
    </row>
    <row r="855" spans="1:9" ht="15">
      <c r="A855" s="21">
        <f t="shared" si="16"/>
        <v>74</v>
      </c>
      <c r="B855" s="14" t="s">
        <v>1165</v>
      </c>
      <c r="C855" s="85" t="str">
        <f ca="1">IFERROR(__xludf.DUMMYFUNCTION("GOOGLETRANSLATE(B855:B870,""RU"",""UK"")"),"Паста карбіт-титанова (500гр) з14/10/з60/40")</f>
        <v>Паста карбіт-титанова (500гр) з14/10/з60/40</v>
      </c>
      <c r="D855" s="15" t="s">
        <v>130</v>
      </c>
      <c r="E855" s="15" t="s">
        <v>1166</v>
      </c>
      <c r="F855" s="91" t="s">
        <v>53</v>
      </c>
      <c r="G855" s="4"/>
      <c r="H855" s="4"/>
      <c r="I855" s="4"/>
    </row>
    <row r="856" spans="1:9" ht="15">
      <c r="A856" s="21">
        <f t="shared" si="16"/>
        <v>75</v>
      </c>
      <c r="B856" s="14" t="s">
        <v>1167</v>
      </c>
      <c r="C856" s="85" t="str">
        <f ca="1">IFERROR(__xludf.DUMMYFUNCTION("GOOGLETRANSLATE(B856:B871,""RU"",""UK"")"),"Паста полірувально-притиральна ГОІ")</f>
        <v>Паста полірувально-притиральна ГОІ</v>
      </c>
      <c r="D856" s="15" t="s">
        <v>130</v>
      </c>
      <c r="E856" s="15" t="s">
        <v>1168</v>
      </c>
      <c r="F856" s="91" t="s">
        <v>515</v>
      </c>
      <c r="G856" s="4"/>
      <c r="H856" s="4"/>
      <c r="I856" s="4"/>
    </row>
    <row r="857" spans="1:9" ht="15">
      <c r="A857" s="21">
        <f t="shared" si="16"/>
        <v>76</v>
      </c>
      <c r="B857" s="14" t="s">
        <v>1169</v>
      </c>
      <c r="C857" s="85" t="str">
        <f ca="1">IFERROR(__xludf.DUMMYFUNCTION("GOOGLETRANSLATE(B857:B872,""RU"",""UK"")"),"Паста абразивна притиральна")</f>
        <v>Паста абразивна притиральна</v>
      </c>
      <c r="D857" s="15" t="s">
        <v>130</v>
      </c>
      <c r="E857" s="15" t="s">
        <v>1170</v>
      </c>
      <c r="F857" s="91" t="s">
        <v>212</v>
      </c>
      <c r="G857" s="4"/>
      <c r="H857" s="4"/>
      <c r="I857" s="4"/>
    </row>
    <row r="858" spans="1:9" ht="15">
      <c r="A858" s="21">
        <f t="shared" si="16"/>
        <v>77</v>
      </c>
      <c r="B858" s="14" t="s">
        <v>1171</v>
      </c>
      <c r="C858" s="85" t="str">
        <f ca="1">IFERROR(__xludf.DUMMYFUNCTION("GOOGLETRANSLATE(B858:B873,""RU"",""UK"")"),"Циліндр головки. алмазна 3х6х40х3мм 100/80")</f>
        <v>Циліндр головки. алмазна 3х6х40х3мм 100/80</v>
      </c>
      <c r="D858" s="15" t="s">
        <v>6</v>
      </c>
      <c r="E858" s="15">
        <v>35</v>
      </c>
      <c r="F858" s="91" t="s">
        <v>124</v>
      </c>
      <c r="G858" s="4"/>
      <c r="H858" s="4"/>
      <c r="I858" s="4"/>
    </row>
    <row r="859" spans="1:9" ht="15">
      <c r="A859" s="21">
        <f t="shared" si="16"/>
        <v>78</v>
      </c>
      <c r="B859" s="14" t="s">
        <v>1172</v>
      </c>
      <c r="C859" s="85" t="str">
        <f ca="1">IFERROR(__xludf.DUMMYFUNCTION("GOOGLETRANSLATE(B859:B874,""RU"",""UK"")"),"Циліндр головки. алмазна 4х6х40мм")</f>
        <v>Циліндр головки. алмазна 4х6х40мм</v>
      </c>
      <c r="D859" s="15" t="s">
        <v>6</v>
      </c>
      <c r="E859" s="15">
        <v>340</v>
      </c>
      <c r="F859" s="91" t="s">
        <v>134</v>
      </c>
      <c r="G859" s="4"/>
      <c r="H859" s="4"/>
      <c r="I859" s="4"/>
    </row>
    <row r="860" spans="1:9" ht="15">
      <c r="A860" s="21">
        <f t="shared" si="16"/>
        <v>79</v>
      </c>
      <c r="B860" s="14" t="s">
        <v>1173</v>
      </c>
      <c r="C860" s="85" t="str">
        <f ca="1">IFERROR(__xludf.DUMMYFUNCTION("GOOGLETRANSLATE(B860:B875,""RU"",""UK"")"),"Циліндр головки. алмазна 5х6х40мм")</f>
        <v>Циліндр головки. алмазна 5х6х40мм</v>
      </c>
      <c r="D860" s="15" t="s">
        <v>6</v>
      </c>
      <c r="E860" s="15">
        <v>42</v>
      </c>
      <c r="F860" s="91" t="s">
        <v>1174</v>
      </c>
      <c r="G860" s="4"/>
      <c r="H860" s="4"/>
      <c r="I860" s="4"/>
    </row>
    <row r="861" spans="1:9" ht="15">
      <c r="A861" s="21">
        <f t="shared" si="16"/>
        <v>80</v>
      </c>
      <c r="B861" s="14" t="s">
        <v>1175</v>
      </c>
      <c r="C861" s="85" t="str">
        <f ca="1">IFERROR(__xludf.DUMMYFUNCTION("GOOGLETRANSLATE(B861:B876,""RU"",""UK"")"),"Циліндр головки. алмазна 5х8х40мм")</f>
        <v>Циліндр головки. алмазна 5х8х40мм</v>
      </c>
      <c r="D861" s="15" t="s">
        <v>6</v>
      </c>
      <c r="E861" s="15">
        <v>15</v>
      </c>
      <c r="F861" s="91" t="s">
        <v>167</v>
      </c>
      <c r="G861" s="4"/>
      <c r="H861" s="4"/>
      <c r="I861" s="4"/>
    </row>
    <row r="862" spans="1:9" ht="15">
      <c r="A862" s="21">
        <f t="shared" si="16"/>
        <v>81</v>
      </c>
      <c r="B862" s="14" t="s">
        <v>1176</v>
      </c>
      <c r="C862" s="85" t="str">
        <f ca="1">IFERROR(__xludf.DUMMYFUNCTION("GOOGLETRANSLATE(B862:B877,""RU"",""UK"")"),"Циліндр головки. алмазна 6х10х3х50мм")</f>
        <v>Циліндр головки. алмазна 6х10х3х50мм</v>
      </c>
      <c r="D862" s="15" t="s">
        <v>6</v>
      </c>
      <c r="E862" s="15">
        <v>123</v>
      </c>
      <c r="F862" s="91" t="s">
        <v>248</v>
      </c>
      <c r="G862" s="4"/>
      <c r="H862" s="4"/>
      <c r="I862" s="4"/>
    </row>
    <row r="863" spans="1:9" ht="15">
      <c r="A863" s="21">
        <f t="shared" si="16"/>
        <v>82</v>
      </c>
      <c r="B863" s="14" t="s">
        <v>1177</v>
      </c>
      <c r="C863" s="85" t="str">
        <f ca="1">IFERROR(__xludf.DUMMYFUNCTION("GOOGLETRANSLATE(B863:B878,""RU"",""UK"")"),"Циліндр головки. алмазна 8х10х60мм")</f>
        <v>Циліндр головки. алмазна 8х10х60мм</v>
      </c>
      <c r="D863" s="15" t="s">
        <v>6</v>
      </c>
      <c r="E863" s="15">
        <v>10</v>
      </c>
      <c r="F863" s="91" t="s">
        <v>1178</v>
      </c>
      <c r="G863" s="4"/>
      <c r="H863" s="4"/>
      <c r="I863" s="4"/>
    </row>
    <row r="864" spans="1:9" ht="15">
      <c r="A864" s="21">
        <f t="shared" si="16"/>
        <v>83</v>
      </c>
      <c r="B864" s="14" t="s">
        <v>1179</v>
      </c>
      <c r="C864" s="85" t="str">
        <f ca="1">IFERROR(__xludf.DUMMYFUNCTION("GOOGLETRANSLATE(B864:B879,""RU"",""UK"")"),"Циліндр головки. алмазна 8х40х150мм")</f>
        <v>Циліндр головки. алмазна 8х40х150мм</v>
      </c>
      <c r="D864" s="15" t="s">
        <v>6</v>
      </c>
      <c r="E864" s="15">
        <v>11</v>
      </c>
      <c r="F864" s="91" t="s">
        <v>1180</v>
      </c>
      <c r="G864" s="4"/>
      <c r="H864" s="4"/>
      <c r="I864" s="4"/>
    </row>
    <row r="865" spans="1:9" ht="15">
      <c r="A865" s="21">
        <f t="shared" si="16"/>
        <v>84</v>
      </c>
      <c r="B865" s="14" t="s">
        <v>1181</v>
      </c>
      <c r="C865" s="85" t="str">
        <f ca="1">IFERROR(__xludf.DUMMYFUNCTION("GOOGLETRANSLATE(B865:B880,""RU"",""UK"")"),"Циліндр головки. алмазна 10х16х60мм")</f>
        <v>Циліндр головки. алмазна 10х16х60мм</v>
      </c>
      <c r="D865" s="15" t="s">
        <v>6</v>
      </c>
      <c r="E865" s="15">
        <v>61</v>
      </c>
      <c r="F865" s="91" t="s">
        <v>1182</v>
      </c>
      <c r="G865" s="4"/>
      <c r="H865" s="4"/>
      <c r="I865" s="4"/>
    </row>
    <row r="866" spans="1:9" ht="15">
      <c r="A866" s="21">
        <f t="shared" si="16"/>
        <v>85</v>
      </c>
      <c r="B866" s="14" t="s">
        <v>1183</v>
      </c>
      <c r="C866" s="85" t="str">
        <f ca="1">IFERROR(__xludf.DUMMYFUNCTION("GOOGLETRANSLATE(B866:B881,""RU"",""UK"")"),"Циліндр головки. алмазна 12х16х80х6мм 125/100 // 12х16х80х6-100/80")</f>
        <v>Циліндр головки. алмазна 12х16х80х6мм 125/100 // 12х16х80х6-100/80</v>
      </c>
      <c r="D866" s="15" t="s">
        <v>6</v>
      </c>
      <c r="E866" s="15" t="s">
        <v>1184</v>
      </c>
      <c r="F866" s="91" t="s">
        <v>314</v>
      </c>
      <c r="G866" s="4"/>
      <c r="H866" s="4"/>
      <c r="I866" s="4"/>
    </row>
    <row r="867" spans="1:9" ht="15">
      <c r="A867" s="21">
        <f t="shared" si="16"/>
        <v>86</v>
      </c>
      <c r="B867" s="14" t="s">
        <v>1185</v>
      </c>
      <c r="C867" s="85" t="str">
        <f ca="1">IFERROR(__xludf.DUMMYFUNCTION("GOOGLETRANSLATE(B867:B882,""RU"",""UK"")"),"Циліндр головки. алмазна 18х10х100мм/16х20х80мм")</f>
        <v>Циліндр головки. алмазна 18х10х100мм/16х20х80мм</v>
      </c>
      <c r="D867" s="15" t="s">
        <v>6</v>
      </c>
      <c r="E867" s="15">
        <v>4</v>
      </c>
      <c r="F867" s="91" t="s">
        <v>1186</v>
      </c>
      <c r="G867" s="4"/>
      <c r="H867" s="4"/>
      <c r="I867" s="4"/>
    </row>
    <row r="868" spans="1:9" ht="15">
      <c r="A868" s="21">
        <f t="shared" si="16"/>
        <v>87</v>
      </c>
      <c r="B868" s="14" t="s">
        <v>1187</v>
      </c>
      <c r="C868" s="85" t="str">
        <f ca="1">IFERROR(__xludf.DUMMYFUNCTION("GOOGLETRANSLATE(B868:B883,""RU"",""UK"")"),"Циліндр головки. торцева алмазна 14мм (вигладжувач)")</f>
        <v>Циліндр головки. торцева алмазна 14мм (вигладжувач)</v>
      </c>
      <c r="D868" s="15" t="s">
        <v>6</v>
      </c>
      <c r="E868" s="15">
        <v>3</v>
      </c>
      <c r="F868" s="91" t="s">
        <v>314</v>
      </c>
      <c r="G868" s="4"/>
      <c r="H868" s="4"/>
      <c r="I868" s="4"/>
    </row>
    <row r="869" spans="1:9" ht="15">
      <c r="A869" s="21">
        <f t="shared" si="16"/>
        <v>88</v>
      </c>
      <c r="B869" s="14" t="s">
        <v>1188</v>
      </c>
      <c r="C869" s="85" t="str">
        <f ca="1">IFERROR(__xludf.DUMMYFUNCTION("GOOGLETRANSLATE(B869:B884,""RU"",""UK"")"),"Склоріз алмазний")</f>
        <v>Склоріз алмазний</v>
      </c>
      <c r="D869" s="15" t="s">
        <v>6</v>
      </c>
      <c r="E869" s="15">
        <v>5</v>
      </c>
      <c r="F869" s="91" t="s">
        <v>1189</v>
      </c>
      <c r="G869" s="4"/>
      <c r="H869" s="4"/>
      <c r="I869" s="4"/>
    </row>
    <row r="870" spans="1:9" ht="15">
      <c r="A870" s="21">
        <f t="shared" si="16"/>
        <v>89</v>
      </c>
      <c r="B870" s="14" t="s">
        <v>1190</v>
      </c>
      <c r="C870" s="85" t="str">
        <f ca="1">IFERROR(__xludf.DUMMYFUNCTION("GOOGLETRANSLATE(B870:B885,""RU"",""UK"")"),"Брусок алм. 50х4х3 (63/50)")</f>
        <v>Брусок алм. 50х4х3 (63/50)</v>
      </c>
      <c r="D870" s="15" t="s">
        <v>6</v>
      </c>
      <c r="E870" s="15">
        <v>6</v>
      </c>
      <c r="F870" s="91" t="s">
        <v>226</v>
      </c>
      <c r="G870" s="4"/>
      <c r="H870" s="4"/>
      <c r="I870" s="4"/>
    </row>
    <row r="871" spans="1:9" ht="15">
      <c r="A871" s="21">
        <f t="shared" si="16"/>
        <v>90</v>
      </c>
      <c r="B871" s="14" t="s">
        <v>1191</v>
      </c>
      <c r="C871" s="85" t="str">
        <f ca="1">IFERROR(__xludf.DUMMYFUNCTION("GOOGLETRANSLATE(B871:B886,""RU"",""UK"")"),"Брусок алм. 60х4, 4х3, 1х1, 3 АС6 (125/100) М2")</f>
        <v>Брусок алм. 60х4, 4х3, 1х1, 3 АС6 (125/100) М2</v>
      </c>
      <c r="D871" s="15" t="s">
        <v>6</v>
      </c>
      <c r="E871" s="15">
        <v>8</v>
      </c>
      <c r="F871" s="91" t="s">
        <v>338</v>
      </c>
      <c r="G871" s="4"/>
      <c r="H871" s="4"/>
      <c r="I871" s="4"/>
    </row>
    <row r="872" spans="1:9" ht="15">
      <c r="A872" s="21">
        <f t="shared" si="16"/>
        <v>91</v>
      </c>
      <c r="B872" s="14" t="s">
        <v>1192</v>
      </c>
      <c r="C872" s="85" t="str">
        <f ca="1">IFERROR(__xludf.DUMMYFUNCTION("GOOGLETRANSLATE(B872:B887,""RU"",""UK"")"),"Брусок алм. 100х8х4 (100/80)")</f>
        <v>Брусок алм. 100х8х4 (100/80)</v>
      </c>
      <c r="D872" s="15" t="s">
        <v>6</v>
      </c>
      <c r="E872" s="15">
        <v>1</v>
      </c>
      <c r="F872" s="91" t="s">
        <v>136</v>
      </c>
      <c r="G872" s="4"/>
      <c r="H872" s="4"/>
      <c r="I872" s="4"/>
    </row>
    <row r="873" spans="1:9" ht="15">
      <c r="A873" s="21">
        <f t="shared" si="16"/>
        <v>92</v>
      </c>
      <c r="B873" s="14" t="s">
        <v>1193</v>
      </c>
      <c r="C873" s="85" t="str">
        <f ca="1">IFERROR(__xludf.DUMMYFUNCTION("GOOGLETRANSLATE(B873:B888,""RU"",""UK"")"),"Брусок алм. 160мм (робочий шар 40х8х3) АС5 63/50-100-82-01")</f>
        <v>Брусок алм. 160мм (робочий шар 40х8х3) АС5 63/50-100-82-01</v>
      </c>
      <c r="D873" s="15" t="s">
        <v>6</v>
      </c>
      <c r="E873" s="15">
        <v>20</v>
      </c>
      <c r="F873" s="91" t="s">
        <v>1194</v>
      </c>
      <c r="G873" s="4"/>
      <c r="H873" s="4"/>
      <c r="I873" s="4"/>
    </row>
    <row r="874" spans="1:9" ht="15">
      <c r="A874" s="21">
        <f t="shared" si="16"/>
        <v>93</v>
      </c>
      <c r="B874" s="14" t="s">
        <v>1195</v>
      </c>
      <c r="C874" s="85" t="str">
        <f ca="1">IFERROR(__xludf.DUMMYFUNCTION("GOOGLETRANSLATE(B874:B889,""RU"",""UK"")"),"Брусок алм. 160мм (робочий шар 40х8х3) АС2/АС4 100/80-100-82-01")</f>
        <v>Брусок алм. 160мм (робочий шар 40х8х3) АС2/АС4 100/80-100-82-01</v>
      </c>
      <c r="D874" s="15" t="s">
        <v>6</v>
      </c>
      <c r="E874" s="15" t="s">
        <v>1196</v>
      </c>
      <c r="F874" s="91" t="s">
        <v>1194</v>
      </c>
      <c r="G874" s="4"/>
      <c r="H874" s="4"/>
      <c r="I874" s="4"/>
    </row>
    <row r="875" spans="1:9" ht="15">
      <c r="A875" s="21">
        <f t="shared" si="16"/>
        <v>94</v>
      </c>
      <c r="B875" s="14" t="s">
        <v>1197</v>
      </c>
      <c r="C875" s="85" t="str">
        <f ca="1">IFERROR(__xludf.DUMMYFUNCTION("GOOGLETRANSLATE(B875:B890,""RU"",""UK"")"),"Брусок алм. хонінгувальний 100х8х4х2 (60/40) / (28/20)")</f>
        <v>Брусок алм. хонінгувальний 100х8х4х2 (60/40) / (28/20)</v>
      </c>
      <c r="D875" s="15" t="s">
        <v>6</v>
      </c>
      <c r="E875" s="15" t="s">
        <v>1198</v>
      </c>
      <c r="F875" s="91" t="s">
        <v>194</v>
      </c>
      <c r="G875" s="4"/>
      <c r="H875" s="4"/>
      <c r="I875" s="4"/>
    </row>
    <row r="876" spans="1:9" ht="15">
      <c r="A876" s="21">
        <f t="shared" si="16"/>
        <v>95</v>
      </c>
      <c r="B876" s="14" t="s">
        <v>1199</v>
      </c>
      <c r="C876" s="85" t="str">
        <f ca="1">IFERROR(__xludf.DUMMYFUNCTION("GOOGLETRANSLATE(B876:B891,""RU"",""UK"")"),"Брусок алм. хонінгувальний 125х12х4 (АСМ20) / (АСГ20)")</f>
        <v>Брусок алм. хонінгувальний 125х12х4 (АСМ20) / (АСГ20)</v>
      </c>
      <c r="D876" s="15" t="s">
        <v>6</v>
      </c>
      <c r="E876" s="15" t="s">
        <v>1200</v>
      </c>
      <c r="F876" s="91" t="s">
        <v>319</v>
      </c>
      <c r="G876" s="4"/>
      <c r="H876" s="4"/>
      <c r="I876" s="4"/>
    </row>
    <row r="877" spans="1:9" ht="15">
      <c r="A877" s="21">
        <f t="shared" si="16"/>
        <v>96</v>
      </c>
      <c r="B877" s="14" t="s">
        <v>1201</v>
      </c>
      <c r="C877" s="85" t="str">
        <f ca="1">IFERROR(__xludf.DUMMYFUNCTION("GOOGLETRANSLATE(B877:B892,""RU"",""UK"")"),"Надфіль алмазний тригранний 120мм")</f>
        <v>Надфіль алмазний тригранний 120мм</v>
      </c>
      <c r="D877" s="15" t="s">
        <v>6</v>
      </c>
      <c r="E877" s="15">
        <v>10</v>
      </c>
      <c r="F877" s="91" t="s">
        <v>209</v>
      </c>
      <c r="G877" s="4"/>
      <c r="H877" s="4"/>
      <c r="I877" s="4"/>
    </row>
    <row r="878" spans="1:9" ht="15">
      <c r="A878" s="21">
        <f t="shared" si="16"/>
        <v>97</v>
      </c>
      <c r="B878" s="14" t="s">
        <v>1202</v>
      </c>
      <c r="C878" s="85" t="str">
        <f ca="1">IFERROR(__xludf.DUMMYFUNCTION("GOOGLETRANSLATE(B878:B893,""RU"",""UK"")"),"Надфіль алмазний тригранний 150мм")</f>
        <v>Надфіль алмазний тригранний 150мм</v>
      </c>
      <c r="D878" s="15" t="s">
        <v>6</v>
      </c>
      <c r="E878" s="15">
        <v>21</v>
      </c>
      <c r="F878" s="91" t="s">
        <v>104</v>
      </c>
      <c r="G878" s="4"/>
      <c r="H878" s="4"/>
      <c r="I878" s="4"/>
    </row>
    <row r="879" spans="1:9" ht="15">
      <c r="A879" s="21">
        <f t="shared" si="16"/>
        <v>98</v>
      </c>
      <c r="B879" s="14" t="s">
        <v>1203</v>
      </c>
      <c r="C879" s="85" t="str">
        <f ca="1">IFERROR(__xludf.DUMMYFUNCTION("GOOGLETRANSLATE(B879:B894,""RU"",""UK"")"),"Надфіль алмазний напівкруглий 150мм")</f>
        <v>Надфіль алмазний напівкруглий 150мм</v>
      </c>
      <c r="D879" s="15" t="s">
        <v>6</v>
      </c>
      <c r="E879" s="15">
        <v>19</v>
      </c>
      <c r="F879" s="91" t="s">
        <v>104</v>
      </c>
      <c r="G879" s="4"/>
      <c r="H879" s="4"/>
      <c r="I879" s="4"/>
    </row>
    <row r="880" spans="1:9" ht="15">
      <c r="A880" s="21">
        <f t="shared" si="16"/>
        <v>99</v>
      </c>
      <c r="B880" s="14" t="s">
        <v>1204</v>
      </c>
      <c r="C880" s="85" t="str">
        <f ca="1">IFERROR(__xludf.DUMMYFUNCTION("GOOGLETRANSLATE(B880:B895,""RU"",""UK"")"),"Надфіль алмазний круглий 120мм")</f>
        <v>Надфіль алмазний круглий 120мм</v>
      </c>
      <c r="D880" s="15" t="s">
        <v>6</v>
      </c>
      <c r="E880" s="15">
        <v>10</v>
      </c>
      <c r="F880" s="91" t="s">
        <v>209</v>
      </c>
      <c r="G880" s="4"/>
      <c r="H880" s="4"/>
      <c r="I880" s="4"/>
    </row>
    <row r="881" spans="1:9" ht="15">
      <c r="A881" s="21">
        <f t="shared" si="16"/>
        <v>100</v>
      </c>
      <c r="B881" s="14" t="s">
        <v>1205</v>
      </c>
      <c r="C881" s="85" t="str">
        <f ca="1">IFERROR(__xludf.DUMMYFUNCTION("GOOGLETRANSLATE(B881:B896,""RU"",""UK"")"),"Надфіль алмазний круглий 150мм")</f>
        <v>Надфіль алмазний круглий 150мм</v>
      </c>
      <c r="D881" s="15" t="s">
        <v>6</v>
      </c>
      <c r="E881" s="15">
        <v>35</v>
      </c>
      <c r="F881" s="91" t="s">
        <v>104</v>
      </c>
      <c r="G881" s="4"/>
      <c r="H881" s="4"/>
      <c r="I881" s="4"/>
    </row>
    <row r="882" spans="1:9" ht="15">
      <c r="A882" s="21">
        <f t="shared" si="16"/>
        <v>101</v>
      </c>
      <c r="B882" s="14" t="s">
        <v>1206</v>
      </c>
      <c r="C882" s="85" t="str">
        <f ca="1">IFERROR(__xludf.DUMMYFUNCTION("GOOGLETRANSLATE(B882:B897,""RU"",""UK"")"),"Надфіль алмазний круглий вигнутий двосторонній 180мм")</f>
        <v>Надфіль алмазний круглий вигнутий двосторонній 180мм</v>
      </c>
      <c r="D882" s="15" t="s">
        <v>6</v>
      </c>
      <c r="E882" s="15">
        <v>35</v>
      </c>
      <c r="F882" s="91" t="s">
        <v>338</v>
      </c>
      <c r="G882" s="4"/>
      <c r="H882" s="4"/>
      <c r="I882" s="4"/>
    </row>
    <row r="883" spans="1:9" ht="15">
      <c r="A883" s="21">
        <f t="shared" si="16"/>
        <v>102</v>
      </c>
      <c r="B883" s="14" t="s">
        <v>1207</v>
      </c>
      <c r="C883" s="85" t="str">
        <f ca="1">IFERROR(__xludf.DUMMYFUNCTION("GOOGLETRANSLATE(B883:B898,""RU"",""UK"")"),"Надфіль алмазний квадратний 150мм")</f>
        <v>Надфіль алмазний квадратний 150мм</v>
      </c>
      <c r="D883" s="15" t="s">
        <v>6</v>
      </c>
      <c r="E883" s="15">
        <v>36</v>
      </c>
      <c r="F883" s="91" t="s">
        <v>104</v>
      </c>
      <c r="G883" s="4"/>
      <c r="H883" s="4"/>
      <c r="I883" s="4"/>
    </row>
    <row r="884" spans="1:9" ht="15">
      <c r="A884" s="21">
        <f t="shared" si="16"/>
        <v>103</v>
      </c>
      <c r="B884" s="14" t="s">
        <v>1208</v>
      </c>
      <c r="C884" s="85" t="str">
        <f ca="1">IFERROR(__xludf.DUMMYFUNCTION("GOOGLETRANSLATE(B884:B899,""RU"",""UK"")"),"Надфіль алмазний ножеподібний 150мм")</f>
        <v>Надфіль алмазний ножеподібний 150мм</v>
      </c>
      <c r="D884" s="15" t="s">
        <v>6</v>
      </c>
      <c r="E884" s="15">
        <v>5</v>
      </c>
      <c r="F884" s="91" t="s">
        <v>104</v>
      </c>
      <c r="G884" s="4"/>
      <c r="H884" s="4"/>
      <c r="I884" s="4"/>
    </row>
    <row r="885" spans="1:9" ht="15">
      <c r="A885" s="21">
        <f t="shared" si="16"/>
        <v>104</v>
      </c>
      <c r="B885" s="14" t="s">
        <v>1209</v>
      </c>
      <c r="C885" s="85" t="str">
        <f ca="1">IFERROR(__xludf.DUMMYFUNCTION("GOOGLETRANSLATE(B885:B900,""RU"",""UK"")"),"Надфіль алмазний овальний 150мм")</f>
        <v>Надфіль алмазний овальний 150мм</v>
      </c>
      <c r="D885" s="15" t="s">
        <v>6</v>
      </c>
      <c r="E885" s="15">
        <v>9</v>
      </c>
      <c r="F885" s="91" t="s">
        <v>104</v>
      </c>
      <c r="G885" s="4"/>
      <c r="H885" s="4"/>
      <c r="I885" s="4"/>
    </row>
    <row r="886" spans="1:9" ht="15">
      <c r="A886" s="21">
        <f t="shared" si="16"/>
        <v>105</v>
      </c>
      <c r="B886" s="14" t="s">
        <v>1210</v>
      </c>
      <c r="C886" s="85" t="str">
        <f ca="1">IFERROR(__xludf.DUMMYFUNCTION("GOOGLETRANSLATE(B886:B901,""RU"",""UK"")"),"Надфіль алмазний плоский 150мм")</f>
        <v>Надфіль алмазний плоский 150мм</v>
      </c>
      <c r="D886" s="15" t="s">
        <v>6</v>
      </c>
      <c r="E886" s="15">
        <v>2</v>
      </c>
      <c r="F886" s="91" t="s">
        <v>104</v>
      </c>
      <c r="G886" s="4"/>
      <c r="H886" s="4"/>
      <c r="I886" s="4"/>
    </row>
    <row r="887" spans="1:9" ht="15">
      <c r="A887" s="113">
        <f t="shared" si="16"/>
        <v>106</v>
      </c>
      <c r="B887" s="121" t="s">
        <v>1211</v>
      </c>
      <c r="C887" s="115" t="str">
        <f ca="1">IFERROR(__xludf.DUMMYFUNCTION("GOOGLETRANSLATE(B887:B902,""RU"",""UK"")"),"Надфіль алмазний ромбічний 150мм")</f>
        <v>Надфіль алмазний ромбічний 150мм</v>
      </c>
      <c r="D887" s="54" t="s">
        <v>6</v>
      </c>
      <c r="E887" s="54">
        <v>16</v>
      </c>
      <c r="F887" s="116" t="s">
        <v>104</v>
      </c>
      <c r="G887" s="4"/>
      <c r="H887" s="4"/>
      <c r="I887" s="4"/>
    </row>
    <row r="888" spans="1:9" ht="15">
      <c r="A888" s="122"/>
      <c r="B888" s="152" t="s">
        <v>1212</v>
      </c>
      <c r="C888" s="119" t="str">
        <f ca="1">IFERROR(__xludf.DUMMYFUNCTION("GOOGLETRANSLATE(B888:B903,""RU"",""UK"")"),"8. Е Л Ь Б О Р О В И Й  І Н С Т Р У М Е Н Т")</f>
        <v>8. Е Л Ь Б О Р О В И Й  І Н С Т Р У М Е Н Т</v>
      </c>
      <c r="D888" s="152"/>
      <c r="E888" s="117"/>
      <c r="F888" s="153"/>
      <c r="G888" s="4"/>
      <c r="H888" s="4"/>
      <c r="I888" s="4"/>
    </row>
    <row r="889" spans="1:9" ht="15">
      <c r="A889" s="122">
        <v>1</v>
      </c>
      <c r="B889" s="154" t="s">
        <v>1213</v>
      </c>
      <c r="C889" s="132" t="str">
        <f ca="1">IFERROR(__xludf.DUMMYFUNCTION("GOOGLETRANSLATE(B889:B904,""RU"",""UK"")"),"Чашка ельборова кін. 75х22х16х3х5")</f>
        <v>Чашка ельборова кін. 75х22х16х3х5</v>
      </c>
      <c r="D889" s="122" t="s">
        <v>6</v>
      </c>
      <c r="E889" s="122">
        <v>1</v>
      </c>
      <c r="F889" s="136" t="s">
        <v>20</v>
      </c>
      <c r="G889" s="4"/>
      <c r="H889" s="4"/>
      <c r="I889" s="4"/>
    </row>
    <row r="890" spans="1:9" ht="15">
      <c r="A890" s="122">
        <v>2</v>
      </c>
      <c r="B890" s="154" t="s">
        <v>1214</v>
      </c>
      <c r="C890" s="132" t="str">
        <f ca="1">IFERROR(__xludf.DUMMYFUNCTION("GOOGLETRANSLATE(B890:B905,""RU"",""UK"")"),"Чашка ельборова кін. 100х35х20х3х5")</f>
        <v>Чашка ельборова кін. 100х35х20х3х5</v>
      </c>
      <c r="D890" s="122" t="s">
        <v>6</v>
      </c>
      <c r="E890" s="122">
        <v>1</v>
      </c>
      <c r="F890" s="136" t="s">
        <v>16</v>
      </c>
      <c r="G890" s="4"/>
      <c r="H890" s="4"/>
      <c r="I890" s="4"/>
    </row>
    <row r="891" spans="1:9" ht="15">
      <c r="A891" s="122">
        <v>3</v>
      </c>
      <c r="B891" s="154" t="s">
        <v>1215</v>
      </c>
      <c r="C891" s="132" t="str">
        <f ca="1">IFERROR(__xludf.DUMMYFUNCTION("GOOGLETRANSLATE(B891:B906,""RU"",""UK"")"),"Чашка ельборова кін. 125х3х5х32 ЛОС 50/40")</f>
        <v>Чашка ельборова кін. 125х3х5х32 ЛОС 50/40</v>
      </c>
      <c r="D891" s="122" t="s">
        <v>6</v>
      </c>
      <c r="E891" s="122">
        <v>2</v>
      </c>
      <c r="F891" s="136" t="s">
        <v>27</v>
      </c>
      <c r="G891" s="4"/>
      <c r="H891" s="4"/>
      <c r="I891" s="4"/>
    </row>
    <row r="892" spans="1:9" ht="15">
      <c r="A892" s="122">
        <v>4</v>
      </c>
      <c r="B892" s="154" t="s">
        <v>1216</v>
      </c>
      <c r="C892" s="132" t="str">
        <f ca="1">IFERROR(__xludf.DUMMYFUNCTION("GOOGLETRANSLATE(B892:B907,""RU"",""UK"")"),"Чашка ельборова кін. 150х10х5х32 ЛО12 100%")</f>
        <v>Чашка ельборова кін. 150х10х5х32 ЛО12 100%</v>
      </c>
      <c r="D892" s="122" t="s">
        <v>6</v>
      </c>
      <c r="E892" s="122">
        <v>1</v>
      </c>
      <c r="F892" s="136" t="s">
        <v>102</v>
      </c>
      <c r="G892" s="4"/>
      <c r="H892" s="4"/>
      <c r="I892" s="4"/>
    </row>
    <row r="893" spans="1:9" ht="15">
      <c r="A893" s="122">
        <v>5</v>
      </c>
      <c r="B893" s="154" t="s">
        <v>1217</v>
      </c>
      <c r="C893" s="132" t="str">
        <f ca="1">IFERROR(__xludf.DUMMYFUNCTION("GOOGLETRANSLATE(B893:B908,""RU"",""UK"")"),"Чашка ельборова кін. 150х10х5х32 ЛОС 63/50")</f>
        <v>Чашка ельборова кін. 150х10х5х32 ЛОС 63/50</v>
      </c>
      <c r="D893" s="122" t="s">
        <v>6</v>
      </c>
      <c r="E893" s="122">
        <v>1</v>
      </c>
      <c r="F893" s="136" t="s">
        <v>102</v>
      </c>
      <c r="G893" s="4"/>
      <c r="H893" s="4"/>
      <c r="I893" s="4"/>
    </row>
    <row r="894" spans="1:9" ht="15">
      <c r="A894" s="122">
        <v>7</v>
      </c>
      <c r="B894" s="154" t="s">
        <v>1218</v>
      </c>
      <c r="C894" s="132" t="str">
        <f ca="1">IFERROR(__xludf.DUMMYFUNCTION("GOOGLETRANSLATE(B894:B909,""RU"",""UK"")"),"Круг ПП ельборова 150х5х3х32 ЛВ 80/63 Б1")</f>
        <v>Круг ПП ельборова 150х5х3х32 ЛВ 80/63 Б1</v>
      </c>
      <c r="D894" s="122" t="s">
        <v>6</v>
      </c>
      <c r="E894" s="122">
        <v>1</v>
      </c>
      <c r="F894" s="136" t="s">
        <v>63</v>
      </c>
      <c r="G894" s="4"/>
      <c r="H894" s="4"/>
      <c r="I894" s="4"/>
    </row>
    <row r="895" spans="1:9" ht="15">
      <c r="A895" s="122">
        <v>8</v>
      </c>
      <c r="B895" s="154" t="s">
        <v>1219</v>
      </c>
      <c r="C895" s="132" t="str">
        <f ca="1">IFERROR(__xludf.DUMMYFUNCTION("GOOGLETRANSLATE(B895:B910,""RU"",""UK"")"),"Круг  ПП ельборова 200х10х3х32 ЛО6")</f>
        <v>Круг  ПП ельборова 200х10х3х32 ЛО6</v>
      </c>
      <c r="D895" s="122" t="s">
        <v>6</v>
      </c>
      <c r="E895" s="122">
        <v>1</v>
      </c>
      <c r="F895" s="136" t="s">
        <v>88</v>
      </c>
      <c r="G895" s="4"/>
      <c r="H895" s="4"/>
      <c r="I895" s="4"/>
    </row>
    <row r="896" spans="1:9" ht="15">
      <c r="A896" s="122">
        <v>9</v>
      </c>
      <c r="B896" s="154" t="s">
        <v>1220</v>
      </c>
      <c r="C896" s="132" t="str">
        <f ca="1">IFERROR(__xludf.DUMMYFUNCTION("GOOGLETRANSLATE(B896:B911,""RU"",""UK"")"),"Круг радіусне 50х4х16 R2")</f>
        <v>Круг радіусне 50х4х16 R2</v>
      </c>
      <c r="D896" s="122" t="s">
        <v>6</v>
      </c>
      <c r="E896" s="122">
        <v>1</v>
      </c>
      <c r="F896" s="136" t="s">
        <v>140</v>
      </c>
      <c r="G896" s="4"/>
      <c r="H896" s="4"/>
      <c r="I896" s="4"/>
    </row>
    <row r="897" spans="1:9" ht="15">
      <c r="A897" s="122">
        <v>10</v>
      </c>
      <c r="B897" s="154" t="s">
        <v>1221</v>
      </c>
      <c r="C897" s="132" t="str">
        <f ca="1">IFERROR(__xludf.DUMMYFUNCTION("GOOGLETRANSLATE(B897:B912,""RU"",""UK"")"),"Круг радіусне 75х5х20 R2")</f>
        <v>Круг радіусне 75х5х20 R2</v>
      </c>
      <c r="D897" s="122" t="s">
        <v>6</v>
      </c>
      <c r="E897" s="122">
        <v>1</v>
      </c>
      <c r="F897" s="136" t="s">
        <v>20</v>
      </c>
      <c r="G897" s="4"/>
      <c r="H897" s="4"/>
      <c r="I897" s="4"/>
    </row>
    <row r="898" spans="1:9" ht="15">
      <c r="A898" s="122">
        <v>11</v>
      </c>
      <c r="B898" s="154" t="s">
        <v>1222</v>
      </c>
      <c r="C898" s="132" t="str">
        <f ca="1">IFERROR(__xludf.DUMMYFUNCTION("GOOGLETRANSLATE(B898:B913,""RU"",""UK"")"),"Круг ПП 2-х стор. коніч. виточення 125х6х32х60*")</f>
        <v>Круг ПП 2-х стор. коніч. виточення 125х6х32х60*</v>
      </c>
      <c r="D898" s="122" t="s">
        <v>6</v>
      </c>
      <c r="E898" s="122">
        <v>7</v>
      </c>
      <c r="F898" s="136" t="s">
        <v>24</v>
      </c>
      <c r="G898" s="4"/>
      <c r="H898" s="4"/>
      <c r="I898" s="4"/>
    </row>
    <row r="899" spans="1:9" ht="15">
      <c r="A899" s="22"/>
      <c r="B899" s="48" t="s">
        <v>1223</v>
      </c>
      <c r="C899" s="131" t="str">
        <f ca="1">IFERROR(__xludf.DUMMYFUNCTION("GOOGLETRANSLATE(B899:B914,""RU"",""UK"")"),"9. Ш Л І Ф У В А Л Ь Н А   Ш К У Р К А")</f>
        <v>9. Ш Л І Ф У В А Л Ь Н А   Ш К У Р К А</v>
      </c>
      <c r="D899" s="48"/>
      <c r="E899" s="33"/>
      <c r="F899" s="95"/>
      <c r="G899" s="4"/>
      <c r="H899" s="4"/>
      <c r="I899" s="4"/>
    </row>
    <row r="900" spans="1:9" ht="15">
      <c r="A900" s="13">
        <v>1</v>
      </c>
      <c r="B900" s="19" t="s">
        <v>1224</v>
      </c>
      <c r="C900" s="85" t="str">
        <f ca="1">IFERROR(__xludf.DUMMYFUNCTION("GOOGLETRANSLATE(B900:B915,""RU"",""UK"")"),"Шкірка шліф. водостійка (тканина) Р-150 №8 / Р-100 №16")</f>
        <v>Шкірка шліф. водостійка (тканина) Р-150 №8 / Р-100 №16</v>
      </c>
      <c r="D900" s="15" t="s">
        <v>1225</v>
      </c>
      <c r="E900" s="15">
        <v>0</v>
      </c>
      <c r="F900" s="91" t="s">
        <v>140</v>
      </c>
      <c r="G900" s="4"/>
      <c r="H900" s="4"/>
      <c r="I900" s="4"/>
    </row>
    <row r="901" spans="1:9" ht="15">
      <c r="A901" s="13">
        <v>3</v>
      </c>
      <c r="B901" s="14" t="s">
        <v>1226</v>
      </c>
      <c r="C901" s="85" t="str">
        <f ca="1">IFERROR(__xludf.DUMMYFUNCTION("GOOGLETRANSLATE(B901:B916,""RU"",""UK"")"),"Шкірка шліф. (папір) Р-80 №16 (шир. 1,4 м)")</f>
        <v>Шкірка шліф. (папір) Р-80 №16 (шир. 1,4 м)</v>
      </c>
      <c r="D901" s="15" t="s">
        <v>1225</v>
      </c>
      <c r="E901" s="15">
        <v>10</v>
      </c>
      <c r="F901" s="99" t="s">
        <v>136</v>
      </c>
      <c r="G901" s="4"/>
      <c r="H901" s="4"/>
      <c r="I901" s="4"/>
    </row>
    <row r="902" spans="1:9" ht="15">
      <c r="A902" s="13">
        <v>4</v>
      </c>
      <c r="B902" s="19" t="s">
        <v>1227</v>
      </c>
      <c r="C902" s="85" t="str">
        <f ca="1">IFERROR(__xludf.DUMMYFUNCTION("GOOGLETRANSLATE(B902:B917,""RU"",""UK"")"),"Шкірка шліф. водостійка(тканина) Р-80 №20")</f>
        <v>Шкірка шліф. водостійка(тканина) Р-80 №20</v>
      </c>
      <c r="D902" s="15" t="s">
        <v>1225</v>
      </c>
      <c r="E902" s="15">
        <v>0</v>
      </c>
      <c r="F902" s="99" t="s">
        <v>631</v>
      </c>
      <c r="G902" s="4"/>
      <c r="H902" s="4"/>
      <c r="I902" s="4"/>
    </row>
    <row r="903" spans="1:9" ht="15">
      <c r="A903" s="13">
        <v>5</v>
      </c>
      <c r="B903" s="19" t="s">
        <v>1228</v>
      </c>
      <c r="C903" s="85" t="str">
        <f ca="1">IFERROR(__xludf.DUMMYFUNCTION("GOOGLETRANSLATE(B903:B918,""RU"",""UK"")"),"Шкірка шліфувальна водостійка (тканина) Р-60 №25 (шир. 0,9 м)")</f>
        <v>Шкірка шліфувальна водостійка (тканина) Р-60 №25 (шир. 0,9 м)</v>
      </c>
      <c r="D903" s="15" t="s">
        <v>1225</v>
      </c>
      <c r="E903" s="15">
        <v>0</v>
      </c>
      <c r="F903" s="91" t="s">
        <v>20</v>
      </c>
      <c r="G903" s="4"/>
      <c r="H903" s="4"/>
      <c r="I903" s="4"/>
    </row>
    <row r="904" spans="1:9" ht="15">
      <c r="A904" s="13">
        <v>6</v>
      </c>
      <c r="B904" s="14" t="s">
        <v>1229</v>
      </c>
      <c r="C904" s="85" t="str">
        <f ca="1">IFERROR(__xludf.DUMMYFUNCTION("GOOGLETRANSLATE(B904:B919,""RU"",""UK"")"),"Шкірка шліфувальний водос. (тканина) Р-40 №40 (шир. 1,4 м)")</f>
        <v>Шкірка шліфувальний водос. (тканина) Р-40 №40 (шир. 1,4 м)</v>
      </c>
      <c r="D904" s="15" t="s">
        <v>1225</v>
      </c>
      <c r="E904" s="15" t="s">
        <v>1230</v>
      </c>
      <c r="F904" s="91" t="s">
        <v>162</v>
      </c>
      <c r="G904" s="4"/>
      <c r="H904" s="4"/>
      <c r="I904" s="4"/>
    </row>
    <row r="905" spans="1:9" ht="15">
      <c r="A905" s="13">
        <v>7</v>
      </c>
      <c r="B905" s="14" t="s">
        <v>1231</v>
      </c>
      <c r="C905" s="85" t="str">
        <f ca="1">IFERROR(__xludf.DUMMYFUNCTION("GOOGLETRANSLATE(B905:B920,""RU"",""UK"")"),"Шкірка шліфувальна водостійка (тканина) Р-36 №50 (0,3+3,9+22,7)")</f>
        <v>Шкірка шліфувальна водостійка (тканина) Р-36 №50 (0,3+3,9+22,7)</v>
      </c>
      <c r="D905" s="15" t="s">
        <v>1225</v>
      </c>
      <c r="E905" s="15" t="s">
        <v>1232</v>
      </c>
      <c r="F905" s="91" t="s">
        <v>162</v>
      </c>
      <c r="G905" s="4"/>
      <c r="H905" s="4"/>
      <c r="I905" s="4"/>
    </row>
    <row r="906" spans="1:9" ht="15">
      <c r="A906" s="43"/>
      <c r="B906" s="49" t="s">
        <v>1233</v>
      </c>
      <c r="C906" s="110" t="str">
        <f ca="1">IFERROR(__xludf.DUMMYFUNCTION("GOOGLETRANSLATE(B906:B921,""RU"",""UK"")"),"10. С В Е Р Д Л А  Т/С  ПО Б Е Т О Н У, Ц Е Г Л І")</f>
        <v>10. С В Е Р Д Л А  Т/С  ПО Б Е Т О Н У, Ц Е Г Л І</v>
      </c>
      <c r="D906" s="33"/>
      <c r="E906" s="33"/>
      <c r="F906" s="95"/>
      <c r="G906" s="4"/>
      <c r="H906" s="4"/>
      <c r="I906" s="4"/>
    </row>
    <row r="907" spans="1:9" ht="15">
      <c r="A907" s="13">
        <v>1</v>
      </c>
      <c r="B907" s="11" t="s">
        <v>1234</v>
      </c>
      <c r="C907" s="85" t="str">
        <f ca="1">IFERROR(__xludf.DUMMYFUNCTION("GOOGLETRANSLATE(B907:B922,""RU"",""UK"")"),"Свердло цил. хв. 3,3/4,0")</f>
        <v>Свердло цил. хв. 3,3/4,0</v>
      </c>
      <c r="D907" s="15" t="s">
        <v>6</v>
      </c>
      <c r="E907" s="15" t="s">
        <v>1235</v>
      </c>
      <c r="F907" s="91" t="s">
        <v>1236</v>
      </c>
      <c r="G907" s="4"/>
      <c r="H907" s="4"/>
      <c r="I907" s="4"/>
    </row>
    <row r="908" spans="1:9" ht="15">
      <c r="A908" s="13">
        <v>2</v>
      </c>
      <c r="B908" s="14" t="s">
        <v>1237</v>
      </c>
      <c r="C908" s="85" t="str">
        <f ca="1">IFERROR(__xludf.DUMMYFUNCTION("GOOGLETRANSLATE(B908:B923,""RU"",""UK"")"),"Свердло цил. хв. 8,0х100")</f>
        <v>Свердло цил. хв. 8,0х100</v>
      </c>
      <c r="D908" s="15" t="s">
        <v>6</v>
      </c>
      <c r="E908" s="15">
        <v>6</v>
      </c>
      <c r="F908" s="91" t="s">
        <v>165</v>
      </c>
      <c r="G908" s="4"/>
      <c r="H908" s="4"/>
      <c r="I908" s="4"/>
    </row>
    <row r="909" spans="1:9" ht="15">
      <c r="A909" s="13">
        <v>3</v>
      </c>
      <c r="B909" s="14" t="s">
        <v>1238</v>
      </c>
      <c r="C909" s="85" t="str">
        <f ca="1">IFERROR(__xludf.DUMMYFUNCTION("GOOGLETRANSLATE(B909:B924,""RU"",""UK"")"),"Свердло цил. хв. 10,0х100")</f>
        <v>Свердло цил. хв. 10,0х100</v>
      </c>
      <c r="D909" s="15" t="s">
        <v>6</v>
      </c>
      <c r="E909" s="15">
        <v>5</v>
      </c>
      <c r="F909" s="91" t="s">
        <v>1239</v>
      </c>
      <c r="G909" s="4"/>
      <c r="H909" s="4"/>
      <c r="I909" s="4"/>
    </row>
    <row r="910" spans="1:9" ht="15">
      <c r="A910" s="13">
        <v>4</v>
      </c>
      <c r="B910" s="14" t="s">
        <v>1240</v>
      </c>
      <c r="C910" s="85" t="str">
        <f ca="1">IFERROR(__xludf.DUMMYFUNCTION("GOOGLETRANSLATE(B910:B925,""RU"",""UK"")"),"Свердло т/с 25 к/хв")</f>
        <v>Свердло т/с 25 к/хв</v>
      </c>
      <c r="D910" s="15" t="s">
        <v>6</v>
      </c>
      <c r="E910" s="15">
        <v>1</v>
      </c>
      <c r="F910" s="91" t="s">
        <v>1241</v>
      </c>
      <c r="G910" s="4"/>
      <c r="H910" s="4"/>
      <c r="I910" s="4"/>
    </row>
    <row r="911" spans="1:9" ht="15">
      <c r="A911" s="13">
        <v>6</v>
      </c>
      <c r="B911" s="14" t="s">
        <v>1242</v>
      </c>
      <c r="C911" s="85" t="str">
        <f ca="1">IFERROR(__xludf.DUMMYFUNCTION("GOOGLETRANSLATE(B911:B926,""RU"",""UK"")"),"Свердло SDS МАХ 10х110 BERG")</f>
        <v>Свердло SDS МАХ 10х110 BERG</v>
      </c>
      <c r="D911" s="15" t="s">
        <v>6</v>
      </c>
      <c r="E911" s="15">
        <v>1</v>
      </c>
      <c r="F911" s="91" t="s">
        <v>319</v>
      </c>
      <c r="G911" s="4"/>
      <c r="H911" s="4"/>
      <c r="I911" s="4"/>
    </row>
    <row r="912" spans="1:9" ht="15">
      <c r="A912" s="13">
        <v>7</v>
      </c>
      <c r="B912" s="14" t="s">
        <v>1243</v>
      </c>
      <c r="C912" s="85" t="str">
        <f ca="1">IFERROR(__xludf.DUMMYFUNCTION("GOOGLETRANSLATE(B912:B927,""RU"",""UK"")"),"Свердло SDS+ 24,0x210 DIAGER (Франція)")</f>
        <v>Свердло SDS+ 24,0x210 DIAGER (Франція)</v>
      </c>
      <c r="D912" s="15" t="s">
        <v>6</v>
      </c>
      <c r="E912" s="15">
        <v>1</v>
      </c>
      <c r="F912" s="91" t="s">
        <v>78</v>
      </c>
      <c r="G912" s="4"/>
      <c r="H912" s="4"/>
      <c r="I912" s="4"/>
    </row>
    <row r="913" spans="1:9" ht="15">
      <c r="A913" s="13">
        <v>8</v>
      </c>
      <c r="B913" s="14" t="s">
        <v>1244</v>
      </c>
      <c r="C913" s="85" t="str">
        <f ca="1">IFERROR(__xludf.DUMMYFUNCTION("GOOGLETRANSLATE(B913:B928,""RU"",""UK"")"),"Свердло SDS МАХ 14,0х340 DIAGER (Франція)")</f>
        <v>Свердло SDS МАХ 14,0х340 DIAGER (Франція)</v>
      </c>
      <c r="D913" s="15" t="s">
        <v>6</v>
      </c>
      <c r="E913" s="15">
        <v>1</v>
      </c>
      <c r="F913" s="91" t="s">
        <v>1245</v>
      </c>
      <c r="G913" s="4"/>
      <c r="H913" s="4"/>
      <c r="I913" s="4"/>
    </row>
    <row r="914" spans="1:9" ht="15">
      <c r="A914" s="43"/>
      <c r="B914" s="48" t="s">
        <v>1246</v>
      </c>
      <c r="C914" s="110" t="str">
        <f ca="1">IFERROR(__xludf.DUMMYFUNCTION("GOOGLETRANSLATE(B914:B929,""RU"",""UK"")"),"11. С В Е Р Д Л А Ц Е Н Т Р О В О Ч Н І")</f>
        <v>11. С В Е Р Д Л А Ц Е Н Т Р О В О Ч Н І</v>
      </c>
      <c r="D914" s="33"/>
      <c r="E914" s="33"/>
      <c r="F914" s="95"/>
      <c r="G914" s="4"/>
      <c r="H914" s="4"/>
      <c r="I914" s="4"/>
    </row>
    <row r="915" spans="1:9" ht="15">
      <c r="A915" s="13">
        <v>1</v>
      </c>
      <c r="B915" s="14" t="s">
        <v>1247</v>
      </c>
      <c r="C915" s="85" t="str">
        <f ca="1">IFERROR(__xludf.DUMMYFUNCTION("GOOGLETRANSLATE(B915:B930,""RU"",""UK"")"),"Свердло 0,9 ВК6-М")</f>
        <v>Свердло 0,9 ВК6-М</v>
      </c>
      <c r="D915" s="15" t="s">
        <v>6</v>
      </c>
      <c r="E915" s="15">
        <v>9</v>
      </c>
      <c r="F915" s="91" t="s">
        <v>292</v>
      </c>
      <c r="G915" s="4"/>
      <c r="H915" s="4"/>
      <c r="I915" s="4"/>
    </row>
    <row r="916" spans="1:9" ht="15">
      <c r="A916" s="13">
        <f>A915+1</f>
        <v>2</v>
      </c>
      <c r="B916" s="14" t="s">
        <v>1248</v>
      </c>
      <c r="C916" s="85" t="str">
        <f ca="1">IFERROR(__xludf.DUMMYFUNCTION("GOOGLETRANSLATE(B916:B931,""RU"",""UK"")"),"Свердло 1,0ВК6-М/1,0Р6М5")</f>
        <v>Свердло 1,0ВК6-М/1,0Р6М5</v>
      </c>
      <c r="D916" s="15" t="s">
        <v>6</v>
      </c>
      <c r="E916" s="15" t="s">
        <v>1249</v>
      </c>
      <c r="F916" s="91" t="s">
        <v>124</v>
      </c>
      <c r="G916" s="4"/>
      <c r="H916" s="4"/>
      <c r="I916" s="4"/>
    </row>
    <row r="917" spans="1:9" ht="15">
      <c r="A917" s="21">
        <f t="shared" ref="A917:A932" si="17">A916+1</f>
        <v>3</v>
      </c>
      <c r="B917" s="14" t="s">
        <v>1250</v>
      </c>
      <c r="C917" s="85" t="str">
        <f ca="1">IFERROR(__xludf.DUMMYFUNCTION("GOOGLETRANSLATE(B917:B932,""RU"",""UK"")"),"Свердло 1,1 ВК6-М")</f>
        <v>Свердло 1,1 ВК6-М</v>
      </c>
      <c r="D917" s="15" t="s">
        <v>6</v>
      </c>
      <c r="E917" s="15">
        <v>84</v>
      </c>
      <c r="F917" s="91" t="s">
        <v>124</v>
      </c>
      <c r="G917" s="4"/>
      <c r="H917" s="4"/>
      <c r="I917" s="4"/>
    </row>
    <row r="918" spans="1:9" ht="15">
      <c r="A918" s="21">
        <f t="shared" si="17"/>
        <v>4</v>
      </c>
      <c r="B918" s="14" t="s">
        <v>1251</v>
      </c>
      <c r="C918" s="85" t="str">
        <f ca="1">IFERROR(__xludf.DUMMYFUNCTION("GOOGLETRANSLATE(B918:B933,""RU"",""UK"")"),"Свердло 1,3 ВК6-М / 1,4 ВК6-М")</f>
        <v>Свердло 1,3 ВК6-М / 1,4 ВК6-М</v>
      </c>
      <c r="D918" s="15" t="s">
        <v>6</v>
      </c>
      <c r="E918" s="15" t="s">
        <v>1252</v>
      </c>
      <c r="F918" s="91" t="s">
        <v>134</v>
      </c>
      <c r="G918" s="4"/>
      <c r="H918" s="4"/>
      <c r="I918" s="4"/>
    </row>
    <row r="919" spans="1:9" ht="15">
      <c r="A919" s="21">
        <f t="shared" si="17"/>
        <v>5</v>
      </c>
      <c r="B919" s="14" t="s">
        <v>1253</v>
      </c>
      <c r="C919" s="85" t="str">
        <f ca="1">IFERROR(__xludf.DUMMYFUNCTION("GOOGLETRANSLATE(B919:B934,""RU"",""UK"")"),"Свердло 1,6 Р6М5/1,6ВК6-М")</f>
        <v>Свердло 1,6 Р6М5/1,6ВК6-М</v>
      </c>
      <c r="D919" s="15" t="s">
        <v>6</v>
      </c>
      <c r="E919" s="15" t="s">
        <v>1254</v>
      </c>
      <c r="F919" s="91" t="s">
        <v>167</v>
      </c>
      <c r="G919" s="4"/>
      <c r="H919" s="4"/>
      <c r="I919" s="4"/>
    </row>
    <row r="920" spans="1:9" ht="15">
      <c r="A920" s="21">
        <f t="shared" si="17"/>
        <v>6</v>
      </c>
      <c r="B920" s="14" t="s">
        <v>1255</v>
      </c>
      <c r="C920" s="85" t="str">
        <f ca="1">IFERROR(__xludf.DUMMYFUNCTION("GOOGLETRANSLATE(B920:B935,""RU"",""UK"")"),"Свердло 2,0Р6М5/2,0ВК6-М")</f>
        <v>Свердло 2,0Р6М5/2,0ВК6-М</v>
      </c>
      <c r="D920" s="15" t="s">
        <v>6</v>
      </c>
      <c r="E920" s="15" t="s">
        <v>1256</v>
      </c>
      <c r="F920" s="91" t="s">
        <v>169</v>
      </c>
      <c r="G920" s="4"/>
      <c r="H920" s="4"/>
      <c r="I920" s="4"/>
    </row>
    <row r="921" spans="1:9" ht="15">
      <c r="A921" s="21">
        <f t="shared" si="17"/>
        <v>7</v>
      </c>
      <c r="B921" s="14" t="s">
        <v>1257</v>
      </c>
      <c r="C921" s="85" t="str">
        <f ca="1">IFERROR(__xludf.DUMMYFUNCTION("GOOGLETRANSLATE(B921:B936,""RU"",""UK"")"),"Свердло 2,5Р6М5")</f>
        <v>Свердло 2,5Р6М5</v>
      </c>
      <c r="D921" s="15" t="s">
        <v>6</v>
      </c>
      <c r="E921" s="15">
        <v>50</v>
      </c>
      <c r="F921" s="91" t="s">
        <v>253</v>
      </c>
      <c r="G921" s="4"/>
      <c r="H921" s="4"/>
      <c r="I921" s="4"/>
    </row>
    <row r="922" spans="1:9" ht="15">
      <c r="A922" s="21">
        <f t="shared" si="17"/>
        <v>8</v>
      </c>
      <c r="B922" s="16" t="s">
        <v>1258</v>
      </c>
      <c r="C922" s="85" t="str">
        <f ca="1">IFERROR(__xludf.DUMMYFUNCTION("GOOGLETRANSLATE(B922:B937,""RU"",""UK"")"),"Свердло 3,15 Р6М5")</f>
        <v>Свердло 3,15 Р6М5</v>
      </c>
      <c r="D922" s="15" t="s">
        <v>6</v>
      </c>
      <c r="E922" s="15">
        <v>17</v>
      </c>
      <c r="F922" s="91" t="s">
        <v>255</v>
      </c>
      <c r="G922" s="4"/>
      <c r="H922" s="4"/>
      <c r="I922" s="4"/>
    </row>
    <row r="923" spans="1:9" ht="15">
      <c r="A923" s="21">
        <f t="shared" si="17"/>
        <v>9</v>
      </c>
      <c r="B923" s="16" t="s">
        <v>1259</v>
      </c>
      <c r="C923" s="85" t="str">
        <f ca="1">IFERROR(__xludf.DUMMYFUNCTION("GOOGLETRANSLATE(B923:B938,""RU"",""UK"")"),"Свердло 4,0Р6М5")</f>
        <v>Свердло 4,0Р6М5</v>
      </c>
      <c r="D923" s="15" t="s">
        <v>6</v>
      </c>
      <c r="E923" s="15">
        <v>20</v>
      </c>
      <c r="F923" s="91" t="s">
        <v>209</v>
      </c>
      <c r="G923" s="4"/>
      <c r="H923" s="4"/>
      <c r="I923" s="4"/>
    </row>
    <row r="924" spans="1:9" ht="15">
      <c r="A924" s="21">
        <f t="shared" si="17"/>
        <v>10</v>
      </c>
      <c r="B924" s="16" t="s">
        <v>1260</v>
      </c>
      <c r="C924" s="85" t="str">
        <f ca="1">IFERROR(__xludf.DUMMYFUNCTION("GOOGLETRANSLATE(B924:B939,""RU"",""UK"")"),"Свердло 4,0Р12/Р18")</f>
        <v>Свердло 4,0Р12/Р18</v>
      </c>
      <c r="D924" s="15" t="s">
        <v>6</v>
      </c>
      <c r="E924" s="15" t="s">
        <v>793</v>
      </c>
      <c r="F924" s="91" t="s">
        <v>226</v>
      </c>
      <c r="G924" s="4"/>
      <c r="H924" s="4"/>
      <c r="I924" s="4"/>
    </row>
    <row r="925" spans="1:9" ht="15">
      <c r="A925" s="21">
        <f t="shared" si="17"/>
        <v>11</v>
      </c>
      <c r="B925" s="14" t="s">
        <v>1261</v>
      </c>
      <c r="C925" s="85" t="str">
        <f ca="1">IFERROR(__xludf.DUMMYFUNCTION("GOOGLETRANSLATE(B925:B940,""RU"",""UK"")"),"Свердло 5,0Р6М5")</f>
        <v>Свердло 5,0Р6М5</v>
      </c>
      <c r="D925" s="15" t="s">
        <v>6</v>
      </c>
      <c r="E925" s="15">
        <v>17</v>
      </c>
      <c r="F925" s="91" t="s">
        <v>371</v>
      </c>
      <c r="G925" s="4"/>
      <c r="H925" s="4"/>
      <c r="I925" s="4"/>
    </row>
    <row r="926" spans="1:9" ht="15">
      <c r="A926" s="21">
        <f t="shared" si="17"/>
        <v>12</v>
      </c>
      <c r="B926" s="16" t="s">
        <v>1262</v>
      </c>
      <c r="C926" s="85" t="str">
        <f ca="1">IFERROR(__xludf.DUMMYFUNCTION("GOOGLETRANSLATE(B926:B941,""RU"",""UK"")"),"Свердло 5,0Р12")</f>
        <v>Свердло 5,0Р12</v>
      </c>
      <c r="D926" s="15" t="s">
        <v>6</v>
      </c>
      <c r="E926" s="15">
        <v>1</v>
      </c>
      <c r="F926" s="91" t="s">
        <v>212</v>
      </c>
      <c r="G926" s="4"/>
      <c r="H926" s="4"/>
      <c r="I926" s="4"/>
    </row>
    <row r="927" spans="1:9" ht="15">
      <c r="A927" s="21">
        <f t="shared" si="17"/>
        <v>13</v>
      </c>
      <c r="B927" s="14" t="s">
        <v>1263</v>
      </c>
      <c r="C927" s="85" t="str">
        <f ca="1">IFERROR(__xludf.DUMMYFUNCTION("GOOGLETRANSLATE(B927:B942,""RU"",""UK"")"),"Свердло 6,0Р6М6/6,3Р6М5")</f>
        <v>Свердло 6,0Р6М6/6,3Р6М5</v>
      </c>
      <c r="D927" s="15" t="s">
        <v>6</v>
      </c>
      <c r="E927" s="15" t="s">
        <v>1264</v>
      </c>
      <c r="F927" s="91" t="s">
        <v>1265</v>
      </c>
      <c r="G927" s="4"/>
      <c r="H927" s="4"/>
      <c r="I927" s="4"/>
    </row>
    <row r="928" spans="1:9" ht="15">
      <c r="A928" s="21">
        <f t="shared" si="17"/>
        <v>14</v>
      </c>
      <c r="B928" s="14" t="s">
        <v>1266</v>
      </c>
      <c r="C928" s="85" t="str">
        <f ca="1">IFERROR(__xludf.DUMMYFUNCTION("GOOGLETRANSLATE(B928:B943,""RU"",""UK"")"),"Свердло 6,3 (d16 / d25) Р6М5 СРСР")</f>
        <v>Свердло 6,3 (d16 / d25) Р6М5 СРСР</v>
      </c>
      <c r="D928" s="15" t="s">
        <v>6</v>
      </c>
      <c r="E928" s="15" t="s">
        <v>1267</v>
      </c>
      <c r="F928" s="91" t="s">
        <v>319</v>
      </c>
      <c r="G928" s="4"/>
      <c r="H928" s="4"/>
      <c r="I928" s="4"/>
    </row>
    <row r="929" spans="1:9" ht="15">
      <c r="A929" s="21">
        <f t="shared" si="17"/>
        <v>15</v>
      </c>
      <c r="B929" s="14" t="s">
        <v>1268</v>
      </c>
      <c r="C929" s="85" t="str">
        <f ca="1">IFERROR(__xludf.DUMMYFUNCTION("GOOGLETRANSLATE(B929:B944,""RU"",""UK"")"),"Свердло 6,3(d22) Р9/6,3(d18) Р12")</f>
        <v>Свердло 6,3(d22) Р9/6,3(d18) Р12</v>
      </c>
      <c r="D929" s="15" t="s">
        <v>6</v>
      </c>
      <c r="E929" s="15" t="s">
        <v>1005</v>
      </c>
      <c r="F929" s="91" t="s">
        <v>119</v>
      </c>
      <c r="G929" s="4"/>
      <c r="H929" s="4"/>
      <c r="I929" s="4"/>
    </row>
    <row r="930" spans="1:9" ht="15">
      <c r="A930" s="21">
        <f t="shared" si="17"/>
        <v>16</v>
      </c>
      <c r="B930" s="14" t="s">
        <v>1269</v>
      </c>
      <c r="C930" s="85" t="str">
        <f ca="1">IFERROR(__xludf.DUMMYFUNCTION("GOOGLETRANSLATE(B930:B945,""RU"",""UK"")"),"Свердло 6,3(d18) Р18 / 6,3(d20) Р18")</f>
        <v>Свердло 6,3(d18) Р18 / 6,3(d20) Р18</v>
      </c>
      <c r="D930" s="15" t="s">
        <v>6</v>
      </c>
      <c r="E930" s="15" t="s">
        <v>793</v>
      </c>
      <c r="F930" s="91" t="s">
        <v>119</v>
      </c>
      <c r="G930" s="4"/>
      <c r="H930" s="4"/>
      <c r="I930" s="4"/>
    </row>
    <row r="931" spans="1:9" ht="15">
      <c r="A931" s="21">
        <f t="shared" si="17"/>
        <v>17</v>
      </c>
      <c r="B931" s="14" t="s">
        <v>1270</v>
      </c>
      <c r="C931" s="85" t="str">
        <f ca="1">IFERROR(__xludf.DUMMYFUNCTION("GOOGLETRANSLATE(B931:B946,""RU"",""UK"")"),"Свердло 6,3 (d14) Р18 одностор.")</f>
        <v>Свердло 6,3 (d14) Р18 одностор.</v>
      </c>
      <c r="D931" s="15" t="s">
        <v>6</v>
      </c>
      <c r="E931" s="15">
        <v>12</v>
      </c>
      <c r="F931" s="91" t="s">
        <v>226</v>
      </c>
      <c r="G931" s="4"/>
      <c r="H931" s="4"/>
      <c r="I931" s="4"/>
    </row>
    <row r="932" spans="1:9" ht="15">
      <c r="A932" s="21">
        <f t="shared" si="17"/>
        <v>18</v>
      </c>
      <c r="B932" s="14" t="s">
        <v>1271</v>
      </c>
      <c r="C932" s="85" t="str">
        <f ca="1">IFERROR(__xludf.DUMMYFUNCTION("GOOGLETRANSLATE(B932:B947,""RU"",""UK"")"),"Свердло 12 Р6М5 СРСР")</f>
        <v>Свердло 12 Р6М5 СРСР</v>
      </c>
      <c r="D932" s="15" t="s">
        <v>6</v>
      </c>
      <c r="E932" s="15">
        <v>6</v>
      </c>
      <c r="F932" s="91" t="s">
        <v>140</v>
      </c>
      <c r="G932" s="4"/>
      <c r="H932" s="4"/>
      <c r="I932" s="4"/>
    </row>
    <row r="933" spans="1:9" ht="15">
      <c r="A933" s="22"/>
      <c r="B933" s="29" t="s">
        <v>1272</v>
      </c>
      <c r="C933" s="110" t="str">
        <f ca="1">IFERROR(__xludf.DUMMYFUNCTION("GOOGLETRANSLATE(B933:B948,""RU"",""UK"")"),"12. С В І Р Д Л А  Л І В І ЦИЛ./ХВ. Р6М5")</f>
        <v>12. С В І Р Д Л А  Л І В І ЦИЛ./ХВ. Р6М5</v>
      </c>
      <c r="D933" s="29"/>
      <c r="E933" s="29"/>
      <c r="F933" s="95"/>
      <c r="G933" s="4"/>
      <c r="H933" s="4"/>
      <c r="I933" s="4"/>
    </row>
    <row r="934" spans="1:9" ht="15">
      <c r="A934" s="13">
        <v>1</v>
      </c>
      <c r="B934" s="14" t="s">
        <v>1273</v>
      </c>
      <c r="C934" s="85" t="str">
        <f ca="1">IFERROR(__xludf.DUMMYFUNCTION("GOOGLETRANSLATE(B934:B949,""RU"",""UK"")"),"Свердло ліве 0,4мм")</f>
        <v>Свердло ліве 0,4мм</v>
      </c>
      <c r="D934" s="15" t="s">
        <v>6</v>
      </c>
      <c r="E934" s="15">
        <v>41</v>
      </c>
      <c r="F934" s="91" t="s">
        <v>1274</v>
      </c>
      <c r="G934" s="4"/>
      <c r="H934" s="4"/>
      <c r="I934" s="4"/>
    </row>
    <row r="935" spans="1:9" ht="15">
      <c r="A935" s="13">
        <v>2</v>
      </c>
      <c r="B935" s="14" t="s">
        <v>1275</v>
      </c>
      <c r="C935" s="85" t="str">
        <f ca="1">IFERROR(__xludf.DUMMYFUNCTION("GOOGLETRANSLATE(B935:B950,""RU"",""UK"")"),"Свердло ліве 1,2/1.3мм")</f>
        <v>Свердло ліве 1,2/1.3мм</v>
      </c>
      <c r="D935" s="15" t="s">
        <v>6</v>
      </c>
      <c r="E935" s="15" t="s">
        <v>1276</v>
      </c>
      <c r="F935" s="91" t="s">
        <v>1277</v>
      </c>
      <c r="G935" s="4"/>
      <c r="H935" s="4"/>
      <c r="I935" s="4"/>
    </row>
    <row r="936" spans="1:9" ht="15">
      <c r="A936" s="13">
        <v>3</v>
      </c>
      <c r="B936" s="14" t="s">
        <v>1278</v>
      </c>
      <c r="C936" s="85" t="str">
        <f ca="1">IFERROR(__xludf.DUMMYFUNCTION("GOOGLETRANSLATE(B936:B951,""RU"",""UK"")"),"Свердло ліве 1,2мм удл")</f>
        <v>Свердло ліве 1,2мм удл</v>
      </c>
      <c r="D936" s="15" t="s">
        <v>6</v>
      </c>
      <c r="E936" s="15">
        <v>3</v>
      </c>
      <c r="F936" s="91" t="s">
        <v>1279</v>
      </c>
      <c r="G936" s="4"/>
      <c r="H936" s="4"/>
      <c r="I936" s="4"/>
    </row>
    <row r="937" spans="1:9" ht="15">
      <c r="A937" s="13">
        <v>4</v>
      </c>
      <c r="B937" s="14" t="s">
        <v>1280</v>
      </c>
      <c r="C937" s="85" t="str">
        <f ca="1">IFERROR(__xludf.DUMMYFUNCTION("GOOGLETRANSLATE(B937:B952,""RU"",""UK"")"),"Свердло ліве 1,4/1,5мм")</f>
        <v>Свердло ліве 1,4/1,5мм</v>
      </c>
      <c r="D937" s="15" t="s">
        <v>6</v>
      </c>
      <c r="E937" s="15" t="s">
        <v>1281</v>
      </c>
      <c r="F937" s="91" t="s">
        <v>1282</v>
      </c>
      <c r="G937" s="4"/>
      <c r="H937" s="4"/>
      <c r="I937" s="4"/>
    </row>
    <row r="938" spans="1:9" ht="15">
      <c r="A938" s="13">
        <v>5</v>
      </c>
      <c r="B938" s="14" t="s">
        <v>1283</v>
      </c>
      <c r="C938" s="85" t="str">
        <f ca="1">IFERROR(__xludf.DUMMYFUNCTION("GOOGLETRANSLATE(B938:B953,""RU"",""UK"")"),"Свердло ліве 1,6/1.7мм")</f>
        <v>Свердло ліве 1,6/1.7мм</v>
      </c>
      <c r="D938" s="15" t="s">
        <v>6</v>
      </c>
      <c r="E938" s="15" t="s">
        <v>1284</v>
      </c>
      <c r="F938" s="91" t="s">
        <v>1285</v>
      </c>
      <c r="G938" s="4"/>
      <c r="H938" s="4"/>
      <c r="I938" s="4"/>
    </row>
    <row r="939" spans="1:9" ht="15">
      <c r="A939" s="13">
        <v>6</v>
      </c>
      <c r="B939" s="14" t="s">
        <v>1286</v>
      </c>
      <c r="C939" s="85" t="str">
        <f ca="1">IFERROR(__xludf.DUMMYFUNCTION("GOOGLETRANSLATE(B939:B954,""RU"",""UK"")"),"Свердло ліве 2,0 мм")</f>
        <v>Свердло ліве 2,0 мм</v>
      </c>
      <c r="D939" s="15" t="s">
        <v>6</v>
      </c>
      <c r="E939" s="15">
        <v>479</v>
      </c>
      <c r="F939" s="91" t="s">
        <v>1287</v>
      </c>
      <c r="G939" s="4"/>
      <c r="H939" s="4"/>
      <c r="I939" s="4"/>
    </row>
    <row r="940" spans="1:9" ht="15">
      <c r="A940" s="13">
        <v>7</v>
      </c>
      <c r="B940" s="14" t="s">
        <v>1288</v>
      </c>
      <c r="C940" s="85" t="str">
        <f ca="1">IFERROR(__xludf.DUMMYFUNCTION("GOOGLETRANSLATE(B940:B955,""RU"",""UK"")"),"Свердло ліве 2,3мм")</f>
        <v>Свердло ліве 2,3мм</v>
      </c>
      <c r="D940" s="15" t="s">
        <v>6</v>
      </c>
      <c r="E940" s="15">
        <v>26</v>
      </c>
      <c r="F940" s="91" t="s">
        <v>1289</v>
      </c>
      <c r="G940" s="4"/>
      <c r="H940" s="4"/>
      <c r="I940" s="4"/>
    </row>
    <row r="941" spans="1:9" ht="15">
      <c r="A941" s="13">
        <v>8</v>
      </c>
      <c r="B941" s="14" t="s">
        <v>1290</v>
      </c>
      <c r="C941" s="85" t="str">
        <f ca="1">IFERROR(__xludf.DUMMYFUNCTION("GOOGLETRANSLATE(B941:B956,""RU"",""UK"")"),"Свердло ліве 2.4/2,75мм")</f>
        <v>Свердло ліве 2.4/2,75мм</v>
      </c>
      <c r="D941" s="15" t="s">
        <v>6</v>
      </c>
      <c r="E941" s="15" t="s">
        <v>1291</v>
      </c>
      <c r="F941" s="91" t="s">
        <v>1292</v>
      </c>
      <c r="G941" s="4"/>
      <c r="H941" s="4"/>
      <c r="I941" s="4"/>
    </row>
    <row r="942" spans="1:9" ht="15">
      <c r="A942" s="13">
        <v>9</v>
      </c>
      <c r="B942" s="14" t="s">
        <v>1293</v>
      </c>
      <c r="C942" s="85" t="str">
        <f ca="1">IFERROR(__xludf.DUMMYFUNCTION("GOOGLETRANSLATE(B942:B957,""RU"",""UK"")"),"Свердло ліве 3,0мм")</f>
        <v>Свердло ліве 3,0мм</v>
      </c>
      <c r="D942" s="15" t="s">
        <v>6</v>
      </c>
      <c r="E942" s="15">
        <v>140</v>
      </c>
      <c r="F942" s="91" t="s">
        <v>1294</v>
      </c>
      <c r="G942" s="4"/>
      <c r="H942" s="4"/>
      <c r="I942" s="4"/>
    </row>
    <row r="943" spans="1:9" ht="15">
      <c r="A943" s="13">
        <v>10</v>
      </c>
      <c r="B943" s="14" t="s">
        <v>1295</v>
      </c>
      <c r="C943" s="85" t="str">
        <f ca="1">IFERROR(__xludf.DUMMYFUNCTION("GOOGLETRANSLATE(B943:B958,""RU"",""UK"")"),"Свердло ліве 4,0/4,1/4,4мм")</f>
        <v>Свердло ліве 4,0/4,1/4,4мм</v>
      </c>
      <c r="D943" s="15" t="s">
        <v>6</v>
      </c>
      <c r="E943" s="15" t="s">
        <v>1296</v>
      </c>
      <c r="F943" s="91" t="s">
        <v>682</v>
      </c>
      <c r="G943" s="4"/>
      <c r="H943" s="4"/>
      <c r="I943" s="4"/>
    </row>
    <row r="944" spans="1:9" ht="15">
      <c r="A944" s="13">
        <v>11</v>
      </c>
      <c r="B944" s="14" t="s">
        <v>1297</v>
      </c>
      <c r="C944" s="85" t="str">
        <f ca="1">IFERROR(__xludf.DUMMYFUNCTION("GOOGLETRANSLATE(B944:B959,""RU"",""UK"")"),"Свердло ліве 5,1/5,2мм")</f>
        <v>Свердло ліве 5,1/5,2мм</v>
      </c>
      <c r="D944" s="15" t="s">
        <v>6</v>
      </c>
      <c r="E944" s="15" t="s">
        <v>1298</v>
      </c>
      <c r="F944" s="91" t="s">
        <v>1299</v>
      </c>
      <c r="G944" s="4"/>
      <c r="H944" s="4"/>
      <c r="I944" s="4"/>
    </row>
    <row r="945" spans="1:9" ht="15">
      <c r="A945" s="13">
        <v>12</v>
      </c>
      <c r="B945" s="14" t="s">
        <v>1300</v>
      </c>
      <c r="C945" s="85" t="str">
        <f ca="1">IFERROR(__xludf.DUMMYFUNCTION("GOOGLETRANSLATE(B945:B960,""RU"",""UK"")"),"Свердло ліве 5.5 мм")</f>
        <v>Свердло ліве 5.5 мм</v>
      </c>
      <c r="D945" s="15" t="s">
        <v>6</v>
      </c>
      <c r="E945" s="15">
        <v>79</v>
      </c>
      <c r="F945" s="91" t="s">
        <v>1301</v>
      </c>
      <c r="G945" s="4"/>
      <c r="H945" s="4"/>
      <c r="I945" s="4"/>
    </row>
    <row r="946" spans="1:9" ht="15">
      <c r="A946" s="13">
        <v>13</v>
      </c>
      <c r="B946" s="14" t="s">
        <v>1302</v>
      </c>
      <c r="C946" s="85" t="str">
        <f ca="1">IFERROR(__xludf.DUMMYFUNCTION("GOOGLETRANSLATE(B946:B961,""RU"",""UK"")"),"Свердло ліве 6,0/6,2/6.4мм")</f>
        <v>Свердло ліве 6,0/6,2/6.4мм</v>
      </c>
      <c r="D946" s="15" t="s">
        <v>6</v>
      </c>
      <c r="E946" s="15" t="s">
        <v>1303</v>
      </c>
      <c r="F946" s="91" t="s">
        <v>134</v>
      </c>
      <c r="G946" s="4"/>
      <c r="H946" s="4"/>
      <c r="I946" s="4"/>
    </row>
    <row r="947" spans="1:9" ht="15">
      <c r="A947" s="13">
        <v>14</v>
      </c>
      <c r="B947" s="14" t="s">
        <v>1304</v>
      </c>
      <c r="C947" s="85" t="str">
        <f ca="1">IFERROR(__xludf.DUMMYFUNCTION("GOOGLETRANSLATE(B947:B962,""RU"",""UK"")"),"Свердло ліве 6,5/6.7 мм")</f>
        <v>Свердло ліве 6,5/6.7 мм</v>
      </c>
      <c r="D947" s="15" t="s">
        <v>6</v>
      </c>
      <c r="E947" s="15" t="s">
        <v>1305</v>
      </c>
      <c r="F947" s="91" t="s">
        <v>169</v>
      </c>
      <c r="G947" s="4"/>
      <c r="H947" s="4"/>
      <c r="I947" s="4"/>
    </row>
    <row r="948" spans="1:9" ht="15">
      <c r="A948" s="13">
        <v>15</v>
      </c>
      <c r="B948" s="14" t="s">
        <v>1306</v>
      </c>
      <c r="C948" s="85" t="str">
        <f ca="1">IFERROR(__xludf.DUMMYFUNCTION("GOOGLETRANSLATE(B948:B963,""RU"",""UK"")"),"Свердло ліве 7.1/7,7мм")</f>
        <v>Свердло ліве 7.1/7,7мм</v>
      </c>
      <c r="D948" s="15" t="s">
        <v>6</v>
      </c>
      <c r="E948" s="15" t="s">
        <v>1307</v>
      </c>
      <c r="F948" s="91" t="s">
        <v>201</v>
      </c>
      <c r="G948" s="4"/>
      <c r="H948" s="4"/>
      <c r="I948" s="4"/>
    </row>
    <row r="949" spans="1:9" ht="15">
      <c r="A949" s="13">
        <v>16</v>
      </c>
      <c r="B949" s="14" t="s">
        <v>1308</v>
      </c>
      <c r="C949" s="85" t="str">
        <f ca="1">IFERROR(__xludf.DUMMYFUNCTION("GOOGLETRANSLATE(B949:B964,""RU"",""UK"")"),"Свердло ліве 8.0мм")</f>
        <v>Свердло ліве 8.0мм</v>
      </c>
      <c r="D949" s="15" t="s">
        <v>6</v>
      </c>
      <c r="E949" s="15">
        <v>45</v>
      </c>
      <c r="F949" s="91" t="s">
        <v>314</v>
      </c>
      <c r="G949" s="4"/>
      <c r="H949" s="4"/>
      <c r="I949" s="4"/>
    </row>
    <row r="950" spans="1:9" ht="15">
      <c r="A950" s="13">
        <v>17</v>
      </c>
      <c r="B950" s="14" t="s">
        <v>1309</v>
      </c>
      <c r="C950" s="85" t="str">
        <f ca="1">IFERROR(__xludf.DUMMYFUNCTION("GOOGLETRANSLATE(B950:B965,""RU"",""UK"")"),"Свердло ліве 8.1/8,3мм")</f>
        <v>Свердло ліве 8.1/8,3мм</v>
      </c>
      <c r="D950" s="15" t="s">
        <v>6</v>
      </c>
      <c r="E950" s="15" t="s">
        <v>1310</v>
      </c>
      <c r="F950" s="91" t="s">
        <v>1186</v>
      </c>
      <c r="G950" s="4"/>
      <c r="H950" s="4"/>
      <c r="I950" s="4"/>
    </row>
    <row r="951" spans="1:9" ht="15">
      <c r="A951" s="13">
        <v>18</v>
      </c>
      <c r="B951" s="14" t="s">
        <v>1311</v>
      </c>
      <c r="C951" s="85" t="str">
        <f ca="1">IFERROR(__xludf.DUMMYFUNCTION("GOOGLETRANSLATE(B951:B966,""RU"",""UK"")"),"Свердло ліве 8.4/8,8мм")</f>
        <v>Свердло ліве 8.4/8,8мм</v>
      </c>
      <c r="D951" s="15" t="s">
        <v>6</v>
      </c>
      <c r="E951" s="15" t="s">
        <v>1312</v>
      </c>
      <c r="F951" s="91" t="s">
        <v>596</v>
      </c>
      <c r="G951" s="4"/>
      <c r="H951" s="4"/>
      <c r="I951" s="4"/>
    </row>
    <row r="952" spans="1:9" ht="15">
      <c r="A952" s="13">
        <v>19</v>
      </c>
      <c r="B952" s="14" t="s">
        <v>1313</v>
      </c>
      <c r="C952" s="85" t="str">
        <f ca="1">IFERROR(__xludf.DUMMYFUNCTION("GOOGLETRANSLATE(B952:B967,""RU"",""UK"")"),"Свердло ліве 9,3мм")</f>
        <v>Свердло ліве 9,3мм</v>
      </c>
      <c r="D952" s="15" t="s">
        <v>6</v>
      </c>
      <c r="E952" s="15">
        <v>19</v>
      </c>
      <c r="F952" s="91" t="s">
        <v>209</v>
      </c>
      <c r="G952" s="4"/>
      <c r="H952" s="4"/>
      <c r="I952" s="4"/>
    </row>
    <row r="953" spans="1:9" ht="15">
      <c r="A953" s="13">
        <v>20</v>
      </c>
      <c r="B953" s="14" t="s">
        <v>1314</v>
      </c>
      <c r="C953" s="85" t="str">
        <f ca="1">IFERROR(__xludf.DUMMYFUNCTION("GOOGLETRANSLATE(B953:B968,""RU"",""UK"")"),"Свердло ліве 10,2/10,5мм")</f>
        <v>Свердло ліве 10,2/10,5мм</v>
      </c>
      <c r="D953" s="15" t="s">
        <v>6</v>
      </c>
      <c r="E953" s="15" t="s">
        <v>1315</v>
      </c>
      <c r="F953" s="91" t="s">
        <v>564</v>
      </c>
      <c r="G953" s="4"/>
      <c r="H953" s="4"/>
      <c r="I953" s="4"/>
    </row>
    <row r="954" spans="1:9" ht="15">
      <c r="A954" s="13">
        <v>21</v>
      </c>
      <c r="B954" s="14" t="s">
        <v>1316</v>
      </c>
      <c r="C954" s="85" t="str">
        <f ca="1">IFERROR(__xludf.DUMMYFUNCTION("GOOGLETRANSLATE(B954:B969,""RU"",""UK"")"),"Свердло ліве 12.0/12,2мм")</f>
        <v>Свердло ліве 12.0/12,2мм</v>
      </c>
      <c r="D954" s="15" t="s">
        <v>6</v>
      </c>
      <c r="E954" s="15" t="s">
        <v>737</v>
      </c>
      <c r="F954" s="91" t="s">
        <v>194</v>
      </c>
      <c r="G954" s="4"/>
      <c r="H954" s="4"/>
      <c r="I954" s="4"/>
    </row>
    <row r="955" spans="1:9" ht="15">
      <c r="A955" s="13">
        <v>22</v>
      </c>
      <c r="B955" s="14" t="s">
        <v>1317</v>
      </c>
      <c r="C955" s="85" t="str">
        <f ca="1">IFERROR(__xludf.DUMMYFUNCTION("GOOGLETRANSLATE(B955:B970,""RU"",""UK"")"),"Свердло ліве 14,0/14.5мм")</f>
        <v>Свердло ліве 14,0/14.5мм</v>
      </c>
      <c r="D955" s="15" t="s">
        <v>6</v>
      </c>
      <c r="E955" s="15" t="s">
        <v>1318</v>
      </c>
      <c r="F955" s="91" t="s">
        <v>567</v>
      </c>
      <c r="G955" s="4"/>
      <c r="H955" s="4"/>
      <c r="I955" s="4"/>
    </row>
    <row r="956" spans="1:9" ht="15">
      <c r="A956" s="13">
        <v>23</v>
      </c>
      <c r="B956" s="14" t="s">
        <v>1319</v>
      </c>
      <c r="C956" s="85" t="str">
        <f ca="1">IFERROR(__xludf.DUMMYFUNCTION("GOOGLETRANSLATE(B956:B971,""RU"",""UK"")"),"Свердло ліве 15,0 мм")</f>
        <v>Свердло ліве 15,0 мм</v>
      </c>
      <c r="D956" s="15" t="s">
        <v>6</v>
      </c>
      <c r="E956" s="15">
        <v>15</v>
      </c>
      <c r="F956" s="91" t="s">
        <v>1320</v>
      </c>
      <c r="G956" s="4"/>
      <c r="H956" s="4"/>
      <c r="I956" s="4"/>
    </row>
    <row r="957" spans="1:9" ht="15">
      <c r="A957" s="13">
        <v>24</v>
      </c>
      <c r="B957" s="14" t="s">
        <v>1321</v>
      </c>
      <c r="C957" s="85" t="str">
        <f ca="1">IFERROR(__xludf.DUMMYFUNCTION("GOOGLETRANSLATE(B957:B972,""RU"",""UK"")"),"Свердло ліве 16,0/16,5мм")</f>
        <v>Свердло ліве 16,0/16,5мм</v>
      </c>
      <c r="D957" s="15" t="s">
        <v>6</v>
      </c>
      <c r="E957" s="15" t="s">
        <v>1322</v>
      </c>
      <c r="F957" s="91" t="s">
        <v>119</v>
      </c>
      <c r="G957" s="4"/>
      <c r="H957" s="4"/>
      <c r="I957" s="4"/>
    </row>
    <row r="958" spans="1:9" ht="15">
      <c r="A958" s="13">
        <v>25</v>
      </c>
      <c r="B958" s="14" t="s">
        <v>1323</v>
      </c>
      <c r="C958" s="85" t="str">
        <f ca="1">IFERROR(__xludf.DUMMYFUNCTION("GOOGLETRANSLATE(B958:B973,""RU"",""UK"")"),"Свердло ліве 17,0/17,5мм")</f>
        <v>Свердло ліве 17,0/17,5мм</v>
      </c>
      <c r="D958" s="15" t="s">
        <v>6</v>
      </c>
      <c r="E958" s="15" t="s">
        <v>1324</v>
      </c>
      <c r="F958" s="91" t="s">
        <v>119</v>
      </c>
      <c r="G958" s="4"/>
      <c r="H958" s="4"/>
      <c r="I958" s="4"/>
    </row>
    <row r="959" spans="1:9" ht="15">
      <c r="A959" s="13">
        <v>26</v>
      </c>
      <c r="B959" s="14" t="s">
        <v>1325</v>
      </c>
      <c r="C959" s="85" t="str">
        <f ca="1">IFERROR(__xludf.DUMMYFUNCTION("GOOGLETRANSLATE(B959:B974,""RU"",""UK"")"),"Свердло ліве 19,0/19,75/20.0мм")</f>
        <v>Свердло ліве 19,0/19,75/20.0мм</v>
      </c>
      <c r="D959" s="15" t="s">
        <v>6</v>
      </c>
      <c r="E959" s="15" t="s">
        <v>1326</v>
      </c>
      <c r="F959" s="91" t="s">
        <v>515</v>
      </c>
      <c r="G959" s="4"/>
      <c r="H959" s="4"/>
      <c r="I959" s="4"/>
    </row>
    <row r="960" spans="1:9" ht="15">
      <c r="A960" s="22"/>
      <c r="B960" s="29" t="s">
        <v>1327</v>
      </c>
      <c r="C960" s="110" t="str">
        <f ca="1">IFERROR(__xludf.DUMMYFUNCTION("GOOGLETRANSLATE(B960:B975,""RU"",""UK"")"),"13. СВЕРДЛА ЦИЛ./ХВ. - Р6М5, Р9")</f>
        <v>13. СВЕРДЛА ЦИЛ./ХВ. - Р6М5, Р9</v>
      </c>
      <c r="D960" s="29"/>
      <c r="E960" s="29"/>
      <c r="F960" s="95"/>
      <c r="G960" s="4"/>
      <c r="H960" s="4"/>
      <c r="I960" s="4"/>
    </row>
    <row r="961" spans="1:9" ht="15">
      <c r="A961" s="13">
        <v>1</v>
      </c>
      <c r="B961" s="14" t="s">
        <v>1328</v>
      </c>
      <c r="C961" s="85" t="str">
        <f ca="1">IFERROR(__xludf.DUMMYFUNCTION("GOOGLETRANSLATE(B961:B976,""RU"",""UK"")"),"Свердло 0,2 Р6М5/0.25 Р6М5/0,3 Р6М5")</f>
        <v>Свердло 0,2 Р6М5/0.25 Р6М5/0,3 Р6М5</v>
      </c>
      <c r="D961" s="15" t="s">
        <v>6</v>
      </c>
      <c r="E961" s="15" t="s">
        <v>1329</v>
      </c>
      <c r="F961" s="91" t="s">
        <v>646</v>
      </c>
      <c r="G961" s="4"/>
      <c r="H961" s="4"/>
      <c r="I961" s="4"/>
    </row>
    <row r="962" spans="1:9" ht="15">
      <c r="A962" s="13">
        <f>A961+1</f>
        <v>2</v>
      </c>
      <c r="B962" s="14" t="s">
        <v>1330</v>
      </c>
      <c r="C962" s="85" t="str">
        <f ca="1">IFERROR(__xludf.DUMMYFUNCTION("GOOGLETRANSLATE(B962:B977,""RU"",""UK"")"),"Свердло 0.35Р6М5/0,4Р6М5")</f>
        <v>Свердло 0.35Р6М5/0,4Р6М5</v>
      </c>
      <c r="D962" s="15" t="s">
        <v>6</v>
      </c>
      <c r="E962" s="15" t="s">
        <v>1331</v>
      </c>
      <c r="F962" s="91" t="s">
        <v>646</v>
      </c>
      <c r="G962" s="4"/>
      <c r="H962" s="4"/>
      <c r="I962" s="4"/>
    </row>
    <row r="963" spans="1:9" ht="15">
      <c r="A963" s="21">
        <f t="shared" ref="A963:A1026" si="18">A962+1</f>
        <v>3</v>
      </c>
      <c r="B963" s="14" t="s">
        <v>1332</v>
      </c>
      <c r="C963" s="85" t="str">
        <f ca="1">IFERROR(__xludf.DUMMYFUNCTION("GOOGLETRANSLATE(B963:B978,""RU"",""UK"")"),"Свердло 0,45Р6М5/0.5Р6М5")</f>
        <v>Свердло 0,45Р6М5/0.5Р6М5</v>
      </c>
      <c r="D963" s="15" t="s">
        <v>6</v>
      </c>
      <c r="E963" s="15" t="s">
        <v>1333</v>
      </c>
      <c r="F963" s="91" t="s">
        <v>1287</v>
      </c>
      <c r="G963" s="4"/>
      <c r="H963" s="4"/>
      <c r="I963" s="4"/>
    </row>
    <row r="964" spans="1:9" ht="15">
      <c r="A964" s="21">
        <f t="shared" si="18"/>
        <v>4</v>
      </c>
      <c r="B964" s="16" t="s">
        <v>1334</v>
      </c>
      <c r="C964" s="85" t="str">
        <f ca="1">IFERROR(__xludf.DUMMYFUNCTION("GOOGLETRANSLATE(B964:B979,""RU"",""UK"")"),"Свердло 0,55Р6М5/0.6Р6М5")</f>
        <v>Свердло 0,55Р6М5/0.6Р6М5</v>
      </c>
      <c r="D964" s="15" t="s">
        <v>6</v>
      </c>
      <c r="E964" s="15" t="s">
        <v>1335</v>
      </c>
      <c r="F964" s="91" t="s">
        <v>1292</v>
      </c>
      <c r="G964" s="4"/>
      <c r="H964" s="4"/>
      <c r="I964" s="4"/>
    </row>
    <row r="965" spans="1:9" ht="15">
      <c r="A965" s="21">
        <f t="shared" si="18"/>
        <v>5</v>
      </c>
      <c r="B965" s="14" t="s">
        <v>1336</v>
      </c>
      <c r="C965" s="85" t="str">
        <f ca="1">IFERROR(__xludf.DUMMYFUNCTION("GOOGLETRANSLATE(B965:B980,""RU"",""UK"")"),"Свердло 0,7Р6М5/0,8Р6М5")</f>
        <v>Свердло 0,7Р6М5/0,8Р6М5</v>
      </c>
      <c r="D965" s="15" t="s">
        <v>6</v>
      </c>
      <c r="E965" s="15" t="s">
        <v>1337</v>
      </c>
      <c r="F965" s="91" t="s">
        <v>1035</v>
      </c>
      <c r="G965" s="4"/>
      <c r="H965" s="4"/>
      <c r="I965" s="4"/>
    </row>
    <row r="966" spans="1:9" ht="15">
      <c r="A966" s="21">
        <f t="shared" si="18"/>
        <v>6</v>
      </c>
      <c r="B966" s="14" t="s">
        <v>1338</v>
      </c>
      <c r="C966" s="85" t="str">
        <f ca="1">IFERROR(__xludf.DUMMYFUNCTION("GOOGLETRANSLATE(B966:B981,""RU"",""UK"")"),"Свердло 0,9 Р6М5/0,95 Р6М5")</f>
        <v>Свердло 0,9 Р6М5/0,95 Р6М5</v>
      </c>
      <c r="D966" s="15" t="s">
        <v>6</v>
      </c>
      <c r="E966" s="15" t="s">
        <v>1339</v>
      </c>
      <c r="F966" s="91" t="s">
        <v>1340</v>
      </c>
      <c r="G966" s="4"/>
      <c r="H966" s="4"/>
      <c r="I966" s="4"/>
    </row>
    <row r="967" spans="1:9" ht="15">
      <c r="A967" s="21">
        <f t="shared" si="18"/>
        <v>7</v>
      </c>
      <c r="B967" s="14" t="s">
        <v>1341</v>
      </c>
      <c r="C967" s="85" t="str">
        <f ca="1">IFERROR(__xludf.DUMMYFUNCTION("GOOGLETRANSLATE(B967:B982,""RU"",""UK"")"),"Свердло 1,0 Р6М5/1,05Р6М5/1,1 Р6М5")</f>
        <v>Свердло 1,0 Р6М5/1,05Р6М5/1,1 Р6М5</v>
      </c>
      <c r="D967" s="15" t="s">
        <v>6</v>
      </c>
      <c r="E967" s="15" t="s">
        <v>1342</v>
      </c>
      <c r="F967" s="91" t="s">
        <v>132</v>
      </c>
      <c r="G967" s="4"/>
      <c r="H967" s="4"/>
      <c r="I967" s="4"/>
    </row>
    <row r="968" spans="1:9" ht="15">
      <c r="A968" s="21">
        <f t="shared" si="18"/>
        <v>8</v>
      </c>
      <c r="B968" s="19" t="s">
        <v>1343</v>
      </c>
      <c r="C968" s="85" t="str">
        <f ca="1">IFERROR(__xludf.DUMMYFUNCTION("GOOGLETRANSLATE(B968:B983,""RU"",""UK"")"),"Свердло 1,2Р6М5/1.25 Р6М5")</f>
        <v>Свердло 1,2Р6М5/1.25 Р6М5</v>
      </c>
      <c r="D968" s="15" t="s">
        <v>6</v>
      </c>
      <c r="E968" s="15" t="s">
        <v>1344</v>
      </c>
      <c r="F968" s="91" t="s">
        <v>1236</v>
      </c>
      <c r="G968" s="4"/>
      <c r="H968" s="4"/>
      <c r="I968" s="4"/>
    </row>
    <row r="969" spans="1:9" ht="15">
      <c r="A969" s="21">
        <f t="shared" si="18"/>
        <v>9</v>
      </c>
      <c r="B969" s="14" t="s">
        <v>1345</v>
      </c>
      <c r="C969" s="85" t="str">
        <f ca="1">IFERROR(__xludf.DUMMYFUNCTION("GOOGLETRANSLATE(B969:B984,""RU"",""UK"")"),"Свердло 1,3Р6М5/1,4Р6М5")</f>
        <v>Свердло 1,3Р6М5/1,4Р6М5</v>
      </c>
      <c r="D969" s="15" t="s">
        <v>6</v>
      </c>
      <c r="E969" s="15" t="s">
        <v>1346</v>
      </c>
      <c r="F969" s="91" t="s">
        <v>1294</v>
      </c>
      <c r="G969" s="4"/>
      <c r="H969" s="4"/>
      <c r="I969" s="4"/>
    </row>
    <row r="970" spans="1:9" ht="15">
      <c r="A970" s="21">
        <f t="shared" si="18"/>
        <v>10</v>
      </c>
      <c r="B970" s="16" t="s">
        <v>1347</v>
      </c>
      <c r="C970" s="85" t="str">
        <f ca="1">IFERROR(__xludf.DUMMYFUNCTION("GOOGLETRANSLATE(B970:B985,""RU"",""UK"")"),"Свердло 1,5Р6М5/1,6Р6М5")</f>
        <v>Свердло 1,5Р6М5/1,6Р6М5</v>
      </c>
      <c r="D970" s="17" t="s">
        <v>6</v>
      </c>
      <c r="E970" s="17" t="s">
        <v>1348</v>
      </c>
      <c r="F970" s="92" t="s">
        <v>1349</v>
      </c>
      <c r="G970" s="4"/>
      <c r="H970" s="4"/>
      <c r="I970" s="4"/>
    </row>
    <row r="971" spans="1:9" ht="15">
      <c r="A971" s="21">
        <f t="shared" si="18"/>
        <v>11</v>
      </c>
      <c r="B971" s="44" t="s">
        <v>1350</v>
      </c>
      <c r="C971" s="85" t="str">
        <f ca="1">IFERROR(__xludf.DUMMYFUNCTION("GOOGLETRANSLATE(B971:B986,""RU"",""UK"")"),"Свердло 1,6Р6М5К5")</f>
        <v>Свердло 1,6Р6М5К5</v>
      </c>
      <c r="D971" s="55" t="s">
        <v>6</v>
      </c>
      <c r="E971" s="55">
        <v>30</v>
      </c>
      <c r="F971" s="101" t="s">
        <v>1351</v>
      </c>
      <c r="G971" s="4"/>
      <c r="H971" s="4"/>
      <c r="I971" s="4"/>
    </row>
    <row r="972" spans="1:9" ht="15">
      <c r="A972" s="21">
        <f t="shared" si="18"/>
        <v>12</v>
      </c>
      <c r="B972" s="16" t="s">
        <v>1352</v>
      </c>
      <c r="C972" s="85" t="str">
        <f ca="1">IFERROR(__xludf.DUMMYFUNCTION("GOOGLETRANSLATE(B972:B987,""RU"",""UK"")"),"Свердло 1.7Р6М5/1,75Р6М5/1,8Р6М5")</f>
        <v>Свердло 1.7Р6М5/1,75Р6М5/1,8Р6М5</v>
      </c>
      <c r="D972" s="15" t="s">
        <v>6</v>
      </c>
      <c r="E972" s="15" t="s">
        <v>1353</v>
      </c>
      <c r="F972" s="91" t="s">
        <v>361</v>
      </c>
      <c r="G972" s="4"/>
      <c r="H972" s="4"/>
      <c r="I972" s="4"/>
    </row>
    <row r="973" spans="1:9" ht="15">
      <c r="A973" s="21">
        <f t="shared" si="18"/>
        <v>13</v>
      </c>
      <c r="B973" s="14" t="s">
        <v>1354</v>
      </c>
      <c r="C973" s="85" t="str">
        <f ca="1">IFERROR(__xludf.DUMMYFUNCTION("GOOGLETRANSLATE(B973:B988,""RU"",""UK"")"),"Свердло 1,85 Р6М5 / 1,9 Р6М5")</f>
        <v>Свердло 1,85 Р6М5 / 1,9 Р6М5</v>
      </c>
      <c r="D973" s="15" t="s">
        <v>6</v>
      </c>
      <c r="E973" s="15" t="s">
        <v>1355</v>
      </c>
      <c r="F973" s="91" t="s">
        <v>361</v>
      </c>
      <c r="G973" s="4"/>
      <c r="H973" s="4"/>
      <c r="I973" s="4"/>
    </row>
    <row r="974" spans="1:9" ht="15">
      <c r="A974" s="21">
        <f t="shared" si="18"/>
        <v>14</v>
      </c>
      <c r="B974" s="14" t="s">
        <v>1356</v>
      </c>
      <c r="C974" s="85" t="str">
        <f ca="1">IFERROR(__xludf.DUMMYFUNCTION("GOOGLETRANSLATE(B974:B989,""RU"",""UK"")"),"Свердло 2,0 Р6М5")</f>
        <v>Свердло 2,0 Р6М5</v>
      </c>
      <c r="D974" s="15" t="s">
        <v>6</v>
      </c>
      <c r="E974" s="15">
        <v>93</v>
      </c>
      <c r="F974" s="91" t="s">
        <v>1357</v>
      </c>
      <c r="G974" s="4"/>
      <c r="H974" s="4"/>
      <c r="I974" s="4"/>
    </row>
    <row r="975" spans="1:9" ht="15">
      <c r="A975" s="21">
        <f t="shared" si="18"/>
        <v>15</v>
      </c>
      <c r="B975" s="14" t="s">
        <v>1358</v>
      </c>
      <c r="C975" s="85" t="str">
        <f ca="1">IFERROR(__xludf.DUMMYFUNCTION("GOOGLETRANSLATE(B975:B990,""RU"",""UK"")"),"Свердло 2,05 Р6М5/2.1 Р6М5")</f>
        <v>Свердло 2,05 Р6М5/2.1 Р6М5</v>
      </c>
      <c r="D975" s="15" t="s">
        <v>6</v>
      </c>
      <c r="E975" s="15" t="s">
        <v>1359</v>
      </c>
      <c r="F975" s="91" t="s">
        <v>1357</v>
      </c>
      <c r="G975" s="4"/>
      <c r="H975" s="4"/>
      <c r="I975" s="4"/>
    </row>
    <row r="976" spans="1:9" ht="15">
      <c r="A976" s="21">
        <f t="shared" si="18"/>
        <v>16</v>
      </c>
      <c r="B976" s="16" t="s">
        <v>1360</v>
      </c>
      <c r="C976" s="85" t="str">
        <f ca="1">IFERROR(__xludf.DUMMYFUNCTION("GOOGLETRANSLATE(B976:B991,""RU"",""UK"")"),"Свердло 2,15Р6М5/2,2Р6М5")</f>
        <v>Свердло 2,15Р6М5/2,2Р6М5</v>
      </c>
      <c r="D976" s="15" t="s">
        <v>6</v>
      </c>
      <c r="E976" s="15" t="s">
        <v>1361</v>
      </c>
      <c r="F976" s="91" t="s">
        <v>680</v>
      </c>
      <c r="G976" s="4"/>
      <c r="H976" s="4"/>
      <c r="I976" s="4"/>
    </row>
    <row r="977" spans="1:9" ht="15">
      <c r="A977" s="21">
        <f t="shared" si="18"/>
        <v>17</v>
      </c>
      <c r="B977" s="14" t="s">
        <v>1362</v>
      </c>
      <c r="C977" s="85" t="str">
        <f ca="1">IFERROR(__xludf.DUMMYFUNCTION("GOOGLETRANSLATE(B977:B992,""RU"",""UK"")"),"Свердло 2,3Р6М5/2,35Р6М5")</f>
        <v>Свердло 2,3Р6М5/2,35Р6М5</v>
      </c>
      <c r="D977" s="15" t="s">
        <v>6</v>
      </c>
      <c r="E977" s="15" t="s">
        <v>1363</v>
      </c>
      <c r="F977" s="91" t="s">
        <v>680</v>
      </c>
      <c r="G977" s="4"/>
      <c r="H977" s="4"/>
      <c r="I977" s="4"/>
    </row>
    <row r="978" spans="1:9" ht="15">
      <c r="A978" s="21">
        <f t="shared" si="18"/>
        <v>18</v>
      </c>
      <c r="B978" s="14" t="s">
        <v>1364</v>
      </c>
      <c r="C978" s="85" t="str">
        <f ca="1">IFERROR(__xludf.DUMMYFUNCTION("GOOGLETRANSLATE(B978:B993,""RU"",""UK"")"),"Свердло 2,1х80удл Р6М5/2,2удл.Р6М5")</f>
        <v>Свердло 2,1х80удл Р6М5/2,2удл.Р6М5</v>
      </c>
      <c r="D978" s="15" t="s">
        <v>6</v>
      </c>
      <c r="E978" s="15" t="s">
        <v>1365</v>
      </c>
      <c r="F978" s="91" t="s">
        <v>286</v>
      </c>
      <c r="G978" s="4"/>
      <c r="H978" s="4"/>
      <c r="I978" s="4"/>
    </row>
    <row r="979" spans="1:9" ht="15">
      <c r="A979" s="21">
        <f t="shared" si="18"/>
        <v>19</v>
      </c>
      <c r="B979" s="14" t="s">
        <v>1366</v>
      </c>
      <c r="C979" s="85" t="str">
        <f ca="1">IFERROR(__xludf.DUMMYFUNCTION("GOOGLETRANSLATE(B979:B994,""RU"",""UK"")"),"Свердло 2,3х90удл.Р6М5")</f>
        <v>Свердло 2,3х90удл.Р6М5</v>
      </c>
      <c r="D979" s="15" t="s">
        <v>6</v>
      </c>
      <c r="E979" s="15">
        <v>192</v>
      </c>
      <c r="F979" s="91" t="s">
        <v>286</v>
      </c>
      <c r="G979" s="4"/>
      <c r="H979" s="4"/>
      <c r="I979" s="4"/>
    </row>
    <row r="980" spans="1:9" ht="15">
      <c r="A980" s="21">
        <f t="shared" si="18"/>
        <v>20</v>
      </c>
      <c r="B980" s="14" t="s">
        <v>1367</v>
      </c>
      <c r="C980" s="85" t="str">
        <f ca="1">IFERROR(__xludf.DUMMYFUNCTION("GOOGLETRANSLATE(B980:B995,""RU"",""UK"")"),"Свердло 2,4Р6М5/2,5Р6М5")</f>
        <v>Свердло 2,4Р6М5/2,5Р6М5</v>
      </c>
      <c r="D980" s="15" t="s">
        <v>6</v>
      </c>
      <c r="E980" s="15" t="s">
        <v>1368</v>
      </c>
      <c r="F980" s="91" t="s">
        <v>1369</v>
      </c>
      <c r="G980" s="4"/>
      <c r="H980" s="4"/>
      <c r="I980" s="4"/>
    </row>
    <row r="981" spans="1:9" ht="15">
      <c r="A981" s="21">
        <f t="shared" si="18"/>
        <v>21</v>
      </c>
      <c r="B981" s="14" t="s">
        <v>1370</v>
      </c>
      <c r="C981" s="85" t="str">
        <f ca="1">IFERROR(__xludf.DUMMYFUNCTION("GOOGLETRANSLATE(B981:B996,""RU"",""UK"")"),"Свердло 2,5х95удл Р6М5")</f>
        <v>Свердло 2,5х95удл Р6М5</v>
      </c>
      <c r="D981" s="15" t="s">
        <v>6</v>
      </c>
      <c r="E981" s="15">
        <v>38</v>
      </c>
      <c r="F981" s="91" t="s">
        <v>286</v>
      </c>
      <c r="G981" s="4"/>
      <c r="H981" s="4"/>
      <c r="I981" s="4"/>
    </row>
    <row r="982" spans="1:9" ht="15">
      <c r="A982" s="21">
        <f t="shared" si="18"/>
        <v>22</v>
      </c>
      <c r="B982" s="14" t="s">
        <v>1371</v>
      </c>
      <c r="C982" s="85" t="str">
        <f ca="1">IFERROR(__xludf.DUMMYFUNCTION("GOOGLETRANSLATE(B982:B997,""RU"",""UK"")"),"Свердло 2,6 Р6М5/2,65 Р6М5")</f>
        <v>Свердло 2,6 Р6М5/2,65 Р6М5</v>
      </c>
      <c r="D982" s="15" t="s">
        <v>6</v>
      </c>
      <c r="E982" s="15" t="s">
        <v>1372</v>
      </c>
      <c r="F982" s="91" t="s">
        <v>1369</v>
      </c>
      <c r="G982" s="4"/>
      <c r="H982" s="4"/>
      <c r="I982" s="4"/>
    </row>
    <row r="983" spans="1:9" ht="15">
      <c r="A983" s="21">
        <f t="shared" si="18"/>
        <v>23</v>
      </c>
      <c r="B983" s="14" t="s">
        <v>1373</v>
      </c>
      <c r="C983" s="85" t="str">
        <f ca="1">IFERROR(__xludf.DUMMYFUNCTION("GOOGLETRANSLATE(B983:B998,""RU"",""UK"")"),"Свердло 2,6х95удл Р6М5")</f>
        <v>Свердло 2,6х95удл Р6М5</v>
      </c>
      <c r="D983" s="15" t="s">
        <v>6</v>
      </c>
      <c r="E983" s="15">
        <v>14</v>
      </c>
      <c r="F983" s="91" t="s">
        <v>286</v>
      </c>
      <c r="G983" s="4"/>
      <c r="H983" s="4"/>
      <c r="I983" s="4"/>
    </row>
    <row r="984" spans="1:9" ht="15">
      <c r="A984" s="21">
        <f t="shared" si="18"/>
        <v>24</v>
      </c>
      <c r="B984" s="14" t="s">
        <v>1374</v>
      </c>
      <c r="C984" s="85" t="str">
        <f ca="1">IFERROR(__xludf.DUMMYFUNCTION("GOOGLETRANSLATE(B984:B999,""RU"",""UK"")"),"Свердло 2,7Р6М5/2,75Р6М5")</f>
        <v>Свердло 2,7Р6М5/2,75Р6М5</v>
      </c>
      <c r="D984" s="15" t="s">
        <v>6</v>
      </c>
      <c r="E984" s="15" t="s">
        <v>1375</v>
      </c>
      <c r="F984" s="91" t="s">
        <v>1369</v>
      </c>
      <c r="G984" s="4"/>
      <c r="H984" s="4"/>
      <c r="I984" s="4"/>
    </row>
    <row r="985" spans="1:9" ht="15">
      <c r="A985" s="21">
        <f t="shared" si="18"/>
        <v>25</v>
      </c>
      <c r="B985" s="14" t="s">
        <v>1376</v>
      </c>
      <c r="C985" s="85" t="str">
        <f ca="1">IFERROR(__xludf.DUMMYFUNCTION("GOOGLETRANSLATE(B985:B1000,""RU"",""UK"")"),"Свердло 2,8 Р6М5/2,85 Р6М5")</f>
        <v>Свердло 2,8 Р6М5/2,85 Р6М5</v>
      </c>
      <c r="D985" s="15" t="s">
        <v>6</v>
      </c>
      <c r="E985" s="15" t="s">
        <v>1377</v>
      </c>
      <c r="F985" s="91" t="s">
        <v>682</v>
      </c>
      <c r="G985" s="4"/>
      <c r="H985" s="4"/>
      <c r="I985" s="4"/>
    </row>
    <row r="986" spans="1:9" ht="15">
      <c r="A986" s="21">
        <f t="shared" si="18"/>
        <v>26</v>
      </c>
      <c r="B986" s="14" t="s">
        <v>1378</v>
      </c>
      <c r="C986" s="85" t="str">
        <f ca="1">IFERROR(__xludf.DUMMYFUNCTION("GOOGLETRANSLATE(B986:B1001,""RU"",""UK"")"),"Свердло 2,8х100удл Р6М5")</f>
        <v>Свердло 2,8х100удл Р6М5</v>
      </c>
      <c r="D986" s="15" t="s">
        <v>6</v>
      </c>
      <c r="E986" s="15">
        <v>15</v>
      </c>
      <c r="F986" s="91" t="s">
        <v>610</v>
      </c>
      <c r="G986" s="4"/>
      <c r="H986" s="4"/>
      <c r="I986" s="4"/>
    </row>
    <row r="987" spans="1:9" ht="15">
      <c r="A987" s="21">
        <f t="shared" si="18"/>
        <v>27</v>
      </c>
      <c r="B987" s="14" t="s">
        <v>1379</v>
      </c>
      <c r="C987" s="85" t="str">
        <f ca="1">IFERROR(__xludf.DUMMYFUNCTION("GOOGLETRANSLATE(B987:B1002,""RU"",""UK"")"),"Свердло 2,9 Р6М5/2,95 Р6М5")</f>
        <v>Свердло 2,9 Р6М5/2,95 Р6М5</v>
      </c>
      <c r="D987" s="15" t="s">
        <v>6</v>
      </c>
      <c r="E987" s="15" t="s">
        <v>1380</v>
      </c>
      <c r="F987" s="91" t="s">
        <v>286</v>
      </c>
      <c r="G987" s="4"/>
      <c r="H987" s="4"/>
      <c r="I987" s="4"/>
    </row>
    <row r="988" spans="1:9" ht="15">
      <c r="A988" s="21">
        <f t="shared" si="18"/>
        <v>28</v>
      </c>
      <c r="B988" s="14" t="s">
        <v>1381</v>
      </c>
      <c r="C988" s="85" t="str">
        <f ca="1">IFERROR(__xludf.DUMMYFUNCTION("GOOGLETRANSLATE(B988:B1003,""RU"",""UK"")"),"Свердло 2,9х100удл Р6М5")</f>
        <v>Свердло 2,9х100удл Р6М5</v>
      </c>
      <c r="D988" s="15" t="s">
        <v>6</v>
      </c>
      <c r="E988" s="15">
        <v>100</v>
      </c>
      <c r="F988" s="91" t="s">
        <v>417</v>
      </c>
      <c r="G988" s="4"/>
      <c r="H988" s="4"/>
      <c r="I988" s="4"/>
    </row>
    <row r="989" spans="1:9" ht="15">
      <c r="A989" s="21">
        <f t="shared" si="18"/>
        <v>29</v>
      </c>
      <c r="B989" s="14" t="s">
        <v>1382</v>
      </c>
      <c r="C989" s="85" t="str">
        <f ca="1">IFERROR(__xludf.DUMMYFUNCTION("GOOGLETRANSLATE(B989:B1004,""RU"",""UK"")"),"Свердло 3,0 Р9")</f>
        <v>Свердло 3,0 Р9</v>
      </c>
      <c r="D989" s="15" t="s">
        <v>6</v>
      </c>
      <c r="E989" s="15">
        <v>31</v>
      </c>
      <c r="F989" s="91" t="s">
        <v>682</v>
      </c>
      <c r="G989" s="4"/>
      <c r="H989" s="4"/>
      <c r="I989" s="4"/>
    </row>
    <row r="990" spans="1:9" ht="15">
      <c r="A990" s="21">
        <f t="shared" si="18"/>
        <v>30</v>
      </c>
      <c r="B990" s="16" t="s">
        <v>1383</v>
      </c>
      <c r="C990" s="85" t="str">
        <f ca="1">IFERROR(__xludf.DUMMYFUNCTION("GOOGLETRANSLATE(B990:B1005,""RU"",""UK"")"),"Свердло 3,0Р6М5")</f>
        <v>Свердло 3,0Р6М5</v>
      </c>
      <c r="D990" s="15" t="s">
        <v>6</v>
      </c>
      <c r="E990" s="15">
        <v>25</v>
      </c>
      <c r="F990" s="91" t="s">
        <v>1384</v>
      </c>
      <c r="G990" s="4"/>
      <c r="H990" s="4"/>
      <c r="I990" s="4"/>
    </row>
    <row r="991" spans="1:9" ht="15">
      <c r="A991" s="21">
        <f t="shared" si="18"/>
        <v>31</v>
      </c>
      <c r="B991" s="44" t="s">
        <v>1385</v>
      </c>
      <c r="C991" s="85" t="str">
        <f ca="1">IFERROR(__xludf.DUMMYFUNCTION("GOOGLETRANSLATE(B991:B1006,""RU"",""UK"")"),"Свердло 3,0Р6М5К5+Р18")</f>
        <v>Свердло 3,0Р6М5К5+Р18</v>
      </c>
      <c r="D991" s="15" t="s">
        <v>6</v>
      </c>
      <c r="E991" s="15">
        <v>29</v>
      </c>
      <c r="F991" s="91" t="s">
        <v>1386</v>
      </c>
      <c r="G991" s="4"/>
      <c r="H991" s="4"/>
      <c r="I991" s="4"/>
    </row>
    <row r="992" spans="1:9" ht="15">
      <c r="A992" s="21">
        <f t="shared" si="18"/>
        <v>32</v>
      </c>
      <c r="B992" s="14" t="s">
        <v>1387</v>
      </c>
      <c r="C992" s="85" t="str">
        <f ca="1">IFERROR(__xludf.DUMMYFUNCTION("GOOGLETRANSLATE(B992:B1007,""RU"",""UK"")"),"Свердло 3,0х100удл.Р6М5")</f>
        <v>Свердло 3,0х100удл.Р6М5</v>
      </c>
      <c r="D992" s="15" t="s">
        <v>6</v>
      </c>
      <c r="E992" s="15">
        <v>39</v>
      </c>
      <c r="F992" s="91" t="s">
        <v>366</v>
      </c>
      <c r="G992" s="4"/>
      <c r="H992" s="4"/>
      <c r="I992" s="4"/>
    </row>
    <row r="993" spans="1:9" ht="15">
      <c r="A993" s="21">
        <f t="shared" si="18"/>
        <v>33</v>
      </c>
      <c r="B993" s="14" t="s">
        <v>1388</v>
      </c>
      <c r="C993" s="85" t="str">
        <f ca="1">IFERROR(__xludf.DUMMYFUNCTION("GOOGLETRANSLATE(B993:B1008,""RU"",""UK"")"),"Свердло 3,1Р6М5/3,15Р6М5")</f>
        <v>Свердло 3,1Р6М5/3,15Р6М5</v>
      </c>
      <c r="D993" s="15" t="s">
        <v>6</v>
      </c>
      <c r="E993" s="15" t="s">
        <v>1389</v>
      </c>
      <c r="F993" s="91" t="s">
        <v>610</v>
      </c>
      <c r="G993" s="4"/>
      <c r="H993" s="4"/>
      <c r="I993" s="4"/>
    </row>
    <row r="994" spans="1:9" ht="15">
      <c r="A994" s="21">
        <f t="shared" si="18"/>
        <v>34</v>
      </c>
      <c r="B994" s="16" t="s">
        <v>1390</v>
      </c>
      <c r="C994" s="85" t="str">
        <f ca="1">IFERROR(__xludf.DUMMYFUNCTION("GOOGLETRANSLATE(B994:B1009,""RU"",""UK"")"),"Свердло 3,2Р9")</f>
        <v>Свердло 3,2Р9</v>
      </c>
      <c r="D994" s="15" t="s">
        <v>6</v>
      </c>
      <c r="E994" s="15">
        <v>28</v>
      </c>
      <c r="F994" s="91" t="s">
        <v>1391</v>
      </c>
      <c r="G994" s="4"/>
      <c r="H994" s="4"/>
      <c r="I994" s="4"/>
    </row>
    <row r="995" spans="1:9" ht="15">
      <c r="A995" s="21">
        <f t="shared" si="18"/>
        <v>35</v>
      </c>
      <c r="B995" s="14" t="s">
        <v>1392</v>
      </c>
      <c r="C995" s="85" t="str">
        <f ca="1">IFERROR(__xludf.DUMMYFUNCTION("GOOGLETRANSLATE(B995:B1010,""RU"",""UK"")"),"Свердло 3,2Р6М5")</f>
        <v>Свердло 3,2Р6М5</v>
      </c>
      <c r="D995" s="15" t="s">
        <v>6</v>
      </c>
      <c r="E995" s="15">
        <v>144</v>
      </c>
      <c r="F995" s="91" t="s">
        <v>417</v>
      </c>
      <c r="G995" s="4"/>
      <c r="H995" s="4"/>
      <c r="I995" s="4"/>
    </row>
    <row r="996" spans="1:9" ht="15">
      <c r="A996" s="21">
        <f t="shared" si="18"/>
        <v>36</v>
      </c>
      <c r="B996" s="44" t="s">
        <v>1393</v>
      </c>
      <c r="C996" s="85" t="str">
        <f ca="1">IFERROR(__xludf.DUMMYFUNCTION("GOOGLETRANSLATE(B996:B1011,""RU"",""UK"")"),"Свердло 3,2Р6М5К5/3,2Р6М5А1")</f>
        <v>Свердло 3,2Р6М5К5/3,2Р6М5А1</v>
      </c>
      <c r="D996" s="15" t="s">
        <v>6</v>
      </c>
      <c r="E996" s="15" t="s">
        <v>1394</v>
      </c>
      <c r="F996" s="91" t="s">
        <v>1386</v>
      </c>
      <c r="G996" s="4"/>
      <c r="H996" s="4"/>
      <c r="I996" s="4"/>
    </row>
    <row r="997" spans="1:9" ht="15">
      <c r="A997" s="21">
        <f t="shared" si="18"/>
        <v>37</v>
      </c>
      <c r="B997" s="16" t="s">
        <v>1395</v>
      </c>
      <c r="C997" s="85" t="str">
        <f ca="1">IFERROR(__xludf.DUMMYFUNCTION("GOOGLETRANSLATE(B997:B1012,""RU"",""UK"")"),"Свердло 3,2 удлР6М5К5/3,2х100удлР6М5А1")</f>
        <v>Свердло 3,2 удлР6М5К5/3,2х100удлР6М5А1</v>
      </c>
      <c r="D997" s="15" t="s">
        <v>6</v>
      </c>
      <c r="E997" s="15" t="s">
        <v>1396</v>
      </c>
      <c r="F997" s="91" t="s">
        <v>366</v>
      </c>
      <c r="G997" s="4"/>
      <c r="H997" s="4"/>
      <c r="I997" s="4"/>
    </row>
    <row r="998" spans="1:9" ht="15">
      <c r="A998" s="21">
        <f t="shared" si="18"/>
        <v>38</v>
      </c>
      <c r="B998" s="16" t="s">
        <v>1397</v>
      </c>
      <c r="C998" s="85" t="str">
        <f ca="1">IFERROR(__xludf.DUMMYFUNCTION("GOOGLETRANSLATE(B998:B1013,""RU"",""UK"")"),"Свердло 3,3 Р9")</f>
        <v>Свердло 3,3 Р9</v>
      </c>
      <c r="D998" s="15" t="s">
        <v>6</v>
      </c>
      <c r="E998" s="15">
        <v>14</v>
      </c>
      <c r="F998" s="91" t="s">
        <v>1384</v>
      </c>
      <c r="G998" s="4"/>
      <c r="H998" s="4"/>
      <c r="I998" s="4"/>
    </row>
    <row r="999" spans="1:9" ht="15">
      <c r="A999" s="21">
        <f t="shared" si="18"/>
        <v>39</v>
      </c>
      <c r="B999" s="14" t="s">
        <v>1398</v>
      </c>
      <c r="C999" s="85" t="str">
        <f ca="1">IFERROR(__xludf.DUMMYFUNCTION("GOOGLETRANSLATE(B999:B1014,""RU"",""UK"")"),"Свердло 3,3Р6М5")</f>
        <v>Свердло 3,3Р6М5</v>
      </c>
      <c r="D999" s="15" t="s">
        <v>6</v>
      </c>
      <c r="E999" s="15">
        <v>115</v>
      </c>
      <c r="F999" s="91" t="s">
        <v>417</v>
      </c>
      <c r="G999" s="4"/>
      <c r="H999" s="4"/>
      <c r="I999" s="4"/>
    </row>
    <row r="1000" spans="1:9" ht="15">
      <c r="A1000" s="21">
        <f t="shared" si="18"/>
        <v>40</v>
      </c>
      <c r="B1000" s="14" t="s">
        <v>1399</v>
      </c>
      <c r="C1000" s="85" t="str">
        <f ca="1">IFERROR(__xludf.DUMMYFUNCTION("GOOGLETRANSLATE(B1000:B1015,""RU"",""UK"")"),"Свердло 3,4Р6М5")</f>
        <v>Свердло 3,4Р6М5</v>
      </c>
      <c r="D1000" s="15" t="s">
        <v>6</v>
      </c>
      <c r="E1000" s="15">
        <v>70</v>
      </c>
      <c r="F1000" s="91" t="s">
        <v>417</v>
      </c>
      <c r="G1000" s="4"/>
      <c r="H1000" s="4"/>
      <c r="I1000" s="4"/>
    </row>
    <row r="1001" spans="1:9" ht="15">
      <c r="A1001" s="21">
        <f t="shared" si="18"/>
        <v>41</v>
      </c>
      <c r="B1001" s="14" t="s">
        <v>1400</v>
      </c>
      <c r="C1001" s="85" t="str">
        <f ca="1">IFERROR(__xludf.DUMMYFUNCTION("GOOGLETRANSLATE(B1001:B1016,""RU"",""UK"")"),"Свердло 3,5Р9")</f>
        <v>Свердло 3,5Р9</v>
      </c>
      <c r="D1001" s="15" t="s">
        <v>6</v>
      </c>
      <c r="E1001" s="15">
        <v>30</v>
      </c>
      <c r="F1001" s="91" t="s">
        <v>1401</v>
      </c>
      <c r="G1001" s="4"/>
      <c r="H1001" s="4"/>
      <c r="I1001" s="4"/>
    </row>
    <row r="1002" spans="1:9" ht="15">
      <c r="A1002" s="21">
        <f t="shared" si="18"/>
        <v>42</v>
      </c>
      <c r="B1002" s="14" t="s">
        <v>1402</v>
      </c>
      <c r="C1002" s="85" t="str">
        <f ca="1">IFERROR(__xludf.DUMMYFUNCTION("GOOGLETRANSLATE(B1002:B1017,""RU"",""UK"")"),"Свердло 3,5Р6м5")</f>
        <v>Свердло 3,5Р6м5</v>
      </c>
      <c r="D1002" s="15" t="s">
        <v>6</v>
      </c>
      <c r="E1002" s="15">
        <v>6</v>
      </c>
      <c r="F1002" s="91" t="s">
        <v>417</v>
      </c>
      <c r="G1002" s="4"/>
      <c r="H1002" s="4"/>
      <c r="I1002" s="4"/>
    </row>
    <row r="1003" spans="1:9" ht="15">
      <c r="A1003" s="21">
        <f t="shared" si="18"/>
        <v>43</v>
      </c>
      <c r="B1003" s="44" t="s">
        <v>1403</v>
      </c>
      <c r="C1003" s="85" t="str">
        <f ca="1">IFERROR(__xludf.DUMMYFUNCTION("GOOGLETRANSLATE(B1003:B1018,""RU"",""UK"")"),"Свердло 3,5Р6М5К5")</f>
        <v>Свердло 3,5Р6М5К5</v>
      </c>
      <c r="D1003" s="15" t="s">
        <v>6</v>
      </c>
      <c r="E1003" s="15">
        <v>26</v>
      </c>
      <c r="F1003" s="91" t="s">
        <v>290</v>
      </c>
      <c r="G1003" s="4"/>
      <c r="H1003" s="4"/>
      <c r="I1003" s="4"/>
    </row>
    <row r="1004" spans="1:9" ht="15">
      <c r="A1004" s="21">
        <f t="shared" si="18"/>
        <v>44</v>
      </c>
      <c r="B1004" s="14" t="s">
        <v>1404</v>
      </c>
      <c r="C1004" s="85" t="str">
        <f ca="1">IFERROR(__xludf.DUMMYFUNCTION("GOOGLETRANSLATE(B1004:B1019,""RU"",""UK"")"),"Свердло 3,4 удлР6М5А1 /3,5 х110удл.Р6М5А1")</f>
        <v>Свердло 3,4 удлР6М5А1 /3,5 х110удл.Р6М5А1</v>
      </c>
      <c r="D1004" s="15" t="s">
        <v>6</v>
      </c>
      <c r="E1004" s="15" t="s">
        <v>1405</v>
      </c>
      <c r="F1004" s="91" t="s">
        <v>366</v>
      </c>
      <c r="G1004" s="4"/>
      <c r="H1004" s="4"/>
      <c r="I1004" s="4"/>
    </row>
    <row r="1005" spans="1:9" ht="15">
      <c r="A1005" s="21">
        <f t="shared" si="18"/>
        <v>45</v>
      </c>
      <c r="B1005" s="14" t="s">
        <v>1406</v>
      </c>
      <c r="C1005" s="85" t="str">
        <f ca="1">IFERROR(__xludf.DUMMYFUNCTION("GOOGLETRANSLATE(B1005:B1020,""RU"",""UK"")"),"Свердло 3,6Р9")</f>
        <v>Свердло 3,6Р9</v>
      </c>
      <c r="D1005" s="15" t="s">
        <v>6</v>
      </c>
      <c r="E1005" s="15">
        <v>29</v>
      </c>
      <c r="F1005" s="91" t="s">
        <v>1401</v>
      </c>
      <c r="G1005" s="4"/>
      <c r="H1005" s="4"/>
      <c r="I1005" s="4"/>
    </row>
    <row r="1006" spans="1:9" ht="15">
      <c r="A1006" s="21">
        <f t="shared" si="18"/>
        <v>46</v>
      </c>
      <c r="B1006" s="14" t="s">
        <v>1407</v>
      </c>
      <c r="C1006" s="85" t="str">
        <f ca="1">IFERROR(__xludf.DUMMYFUNCTION("GOOGLETRANSLATE(B1006:B1021,""RU"",""UK"")"),"Свердло 3,6Р6М5/3,7Р6М5")</f>
        <v>Свердло 3,6Р6М5/3,7Р6М5</v>
      </c>
      <c r="D1006" s="15" t="s">
        <v>6</v>
      </c>
      <c r="E1006" s="15" t="s">
        <v>1408</v>
      </c>
      <c r="F1006" s="91" t="s">
        <v>417</v>
      </c>
      <c r="G1006" s="4"/>
      <c r="H1006" s="4"/>
      <c r="I1006" s="4"/>
    </row>
    <row r="1007" spans="1:9" ht="15">
      <c r="A1007" s="21">
        <f t="shared" si="18"/>
        <v>47</v>
      </c>
      <c r="B1007" s="14" t="s">
        <v>1409</v>
      </c>
      <c r="C1007" s="85" t="str">
        <f ca="1">IFERROR(__xludf.DUMMYFUNCTION("GOOGLETRANSLATE(B1007:B1022,""RU"",""UK"")"),"Свердло 3,8Р6М5/3,9Р6М5")</f>
        <v>Свердло 3,8Р6М5/3,9Р6М5</v>
      </c>
      <c r="D1007" s="15" t="s">
        <v>6</v>
      </c>
      <c r="E1007" s="15" t="s">
        <v>1410</v>
      </c>
      <c r="F1007" s="91" t="s">
        <v>1411</v>
      </c>
      <c r="G1007" s="4"/>
      <c r="H1007" s="4"/>
      <c r="I1007" s="4"/>
    </row>
    <row r="1008" spans="1:9" ht="15">
      <c r="A1008" s="21">
        <f t="shared" si="18"/>
        <v>48</v>
      </c>
      <c r="B1008" s="14" t="s">
        <v>1412</v>
      </c>
      <c r="C1008" s="85" t="str">
        <f ca="1">IFERROR(__xludf.DUMMYFUNCTION("GOOGLETRANSLATE(B1008:B1023,""RU"",""UK"")"),"Свердло 3,7 удл Р6М5 / 3,8 удл.Р6М5 / 3,9 х120удл.Р6М5")</f>
        <v>Свердло 3,7 удл Р6М5 / 3,8 удл.Р6М5 / 3,9 х120удл.Р6М5</v>
      </c>
      <c r="D1008" s="15" t="s">
        <v>6</v>
      </c>
      <c r="E1008" s="15" t="s">
        <v>1413</v>
      </c>
      <c r="F1008" s="91" t="s">
        <v>366</v>
      </c>
      <c r="G1008" s="4"/>
      <c r="H1008" s="4"/>
      <c r="I1008" s="4"/>
    </row>
    <row r="1009" spans="1:9" ht="15">
      <c r="A1009" s="21">
        <f t="shared" si="18"/>
        <v>49</v>
      </c>
      <c r="B1009" s="16" t="s">
        <v>1414</v>
      </c>
      <c r="C1009" s="85" t="str">
        <f ca="1">IFERROR(__xludf.DUMMYFUNCTION("GOOGLETRANSLATE(B1009:B1024,""RU"",""UK"")"),"Свердло 4,0Р9")</f>
        <v>Свердло 4,0Р9</v>
      </c>
      <c r="D1009" s="15" t="s">
        <v>6</v>
      </c>
      <c r="E1009" s="15">
        <v>13</v>
      </c>
      <c r="F1009" s="91" t="s">
        <v>417</v>
      </c>
      <c r="G1009" s="4"/>
      <c r="H1009" s="4"/>
      <c r="I1009" s="4"/>
    </row>
    <row r="1010" spans="1:9" ht="15">
      <c r="A1010" s="21">
        <f t="shared" si="18"/>
        <v>50</v>
      </c>
      <c r="B1010" s="16" t="s">
        <v>1415</v>
      </c>
      <c r="C1010" s="85" t="str">
        <f ca="1">IFERROR(__xludf.DUMMYFUNCTION("GOOGLETRANSLATE(B1010:B1025,""RU"",""UK"")"),"Свердло 4,0Р6М5 коротке")</f>
        <v>Свердло 4,0Р6М5 коротке</v>
      </c>
      <c r="D1010" s="15" t="s">
        <v>6</v>
      </c>
      <c r="E1010" s="15">
        <v>21</v>
      </c>
      <c r="F1010" s="91" t="s">
        <v>290</v>
      </c>
      <c r="G1010" s="4"/>
      <c r="H1010" s="4"/>
      <c r="I1010" s="4"/>
    </row>
    <row r="1011" spans="1:9" ht="15">
      <c r="A1011" s="21">
        <f t="shared" si="18"/>
        <v>51</v>
      </c>
      <c r="B1011" s="44" t="s">
        <v>1416</v>
      </c>
      <c r="C1011" s="85" t="str">
        <f ca="1">IFERROR(__xludf.DUMMYFUNCTION("GOOGLETRANSLATE(B1011:B1026,""RU"",""UK"")"),"Свердло 4.0Р6М5К5/4,0Р18/4.0Р6М5А1")</f>
        <v>Свердло 4.0Р6М5К5/4,0Р18/4.0Р6М5А1</v>
      </c>
      <c r="D1011" s="15" t="s">
        <v>6</v>
      </c>
      <c r="E1011" s="15" t="s">
        <v>1417</v>
      </c>
      <c r="F1011" s="91" t="s">
        <v>366</v>
      </c>
      <c r="G1011" s="4"/>
      <c r="H1011" s="4"/>
      <c r="I1011" s="4"/>
    </row>
    <row r="1012" spans="1:9" ht="15">
      <c r="A1012" s="21">
        <f t="shared" si="18"/>
        <v>52</v>
      </c>
      <c r="B1012" s="19" t="s">
        <v>1418</v>
      </c>
      <c r="C1012" s="85" t="str">
        <f ca="1">IFERROR(__xludf.DUMMYFUNCTION("GOOGLETRANSLATE(B1012:B1027,""RU"",""UK"")"),"Свердло 4,0х150дл.Р6М5")</f>
        <v>Свердло 4,0х150дл.Р6М5</v>
      </c>
      <c r="D1012" s="15" t="s">
        <v>6</v>
      </c>
      <c r="E1012" s="15">
        <v>15</v>
      </c>
      <c r="F1012" s="91" t="s">
        <v>124</v>
      </c>
      <c r="G1012" s="4"/>
      <c r="H1012" s="4"/>
      <c r="I1012" s="4"/>
    </row>
    <row r="1013" spans="1:9" ht="15">
      <c r="A1013" s="21">
        <f t="shared" si="18"/>
        <v>53</v>
      </c>
      <c r="B1013" s="16" t="s">
        <v>1419</v>
      </c>
      <c r="C1013" s="85" t="str">
        <f ca="1">IFERROR(__xludf.DUMMYFUNCTION("GOOGLETRANSLATE(B1013:B1028,""RU"",""UK"")"),"Свердло 4,1Р9/4,2Р9")</f>
        <v>Свердло 4,1Р9/4,2Р9</v>
      </c>
      <c r="D1013" s="15" t="s">
        <v>6</v>
      </c>
      <c r="E1013" s="15" t="s">
        <v>1420</v>
      </c>
      <c r="F1013" s="91" t="s">
        <v>417</v>
      </c>
      <c r="G1013" s="4"/>
      <c r="H1013" s="4"/>
      <c r="I1013" s="4"/>
    </row>
    <row r="1014" spans="1:9" ht="15">
      <c r="A1014" s="21">
        <f t="shared" si="18"/>
        <v>54</v>
      </c>
      <c r="B1014" s="14" t="s">
        <v>1421</v>
      </c>
      <c r="C1014" s="85" t="str">
        <f ca="1">IFERROR(__xludf.DUMMYFUNCTION("GOOGLETRANSLATE(B1014:B1029,""RU"",""UK"")"),"Свердло 4,1 Р6М5/4,2Р6М5")</f>
        <v>Свердло 4,1 Р6М5/4,2Р6М5</v>
      </c>
      <c r="D1014" s="15" t="s">
        <v>6</v>
      </c>
      <c r="E1014" s="15" t="s">
        <v>1422</v>
      </c>
      <c r="F1014" s="91" t="s">
        <v>290</v>
      </c>
      <c r="G1014" s="4"/>
      <c r="H1014" s="4"/>
      <c r="I1014" s="4"/>
    </row>
    <row r="1015" spans="1:9" ht="15">
      <c r="A1015" s="21">
        <f t="shared" si="18"/>
        <v>55</v>
      </c>
      <c r="B1015" s="45" t="s">
        <v>1423</v>
      </c>
      <c r="C1015" s="85" t="str">
        <f ca="1">IFERROR(__xludf.DUMMYFUNCTION("GOOGLETRANSLATE(B1015:B1030,""RU"",""UK"")"),"Свердло 4,2Р6М5К5+Р18/4,2Р6М5А1/4,2Р6М5Аtaka")</f>
        <v>Свердло 4,2Р6М5К5+Р18/4,2Р6М5А1/4,2Р6М5Аtaka</v>
      </c>
      <c r="D1015" s="15" t="s">
        <v>6</v>
      </c>
      <c r="E1015" s="15" t="s">
        <v>1424</v>
      </c>
      <c r="F1015" s="91" t="s">
        <v>124</v>
      </c>
      <c r="G1015" s="4"/>
      <c r="H1015" s="4"/>
      <c r="I1015" s="4"/>
    </row>
    <row r="1016" spans="1:9" ht="15">
      <c r="A1016" s="21">
        <f t="shared" si="18"/>
        <v>56</v>
      </c>
      <c r="B1016" s="19" t="s">
        <v>1425</v>
      </c>
      <c r="C1016" s="85" t="str">
        <f ca="1">IFERROR(__xludf.DUMMYFUNCTION("GOOGLETRANSLATE(B1016:B1031,""RU"",""UK"")"),"Свердло 4,2х120 дл.Р6М5/4,3дл.Р6М5 А1")</f>
        <v>Свердло 4,2х120 дл.Р6М5/4,3дл.Р6М5 А1</v>
      </c>
      <c r="D1016" s="15" t="s">
        <v>6</v>
      </c>
      <c r="E1016" s="15" t="s">
        <v>749</v>
      </c>
      <c r="F1016" s="91" t="s">
        <v>248</v>
      </c>
      <c r="G1016" s="4"/>
      <c r="H1016" s="4"/>
      <c r="I1016" s="4"/>
    </row>
    <row r="1017" spans="1:9" ht="15">
      <c r="A1017" s="21">
        <f t="shared" si="18"/>
        <v>57</v>
      </c>
      <c r="B1017" s="14" t="s">
        <v>1426</v>
      </c>
      <c r="C1017" s="85" t="str">
        <f ca="1">IFERROR(__xludf.DUMMYFUNCTION("GOOGLETRANSLATE(B1017:B1032,""RU"",""UK"")"),"Свердло 4,3Р9")</f>
        <v>Свердло 4,3Р9</v>
      </c>
      <c r="D1017" s="15" t="s">
        <v>6</v>
      </c>
      <c r="E1017" s="15">
        <v>7</v>
      </c>
      <c r="F1017" s="91" t="s">
        <v>1427</v>
      </c>
      <c r="G1017" s="4"/>
      <c r="H1017" s="4"/>
      <c r="I1017" s="4"/>
    </row>
    <row r="1018" spans="1:9" ht="15">
      <c r="A1018" s="21">
        <f t="shared" si="18"/>
        <v>58</v>
      </c>
      <c r="B1018" s="14" t="s">
        <v>1428</v>
      </c>
      <c r="C1018" s="85" t="str">
        <f ca="1">IFERROR(__xludf.DUMMYFUNCTION("GOOGLETRANSLATE(B1018:B1033,""RU"",""UK"")"),"Свердло 4,3Р6М5/4,4Р6М5")</f>
        <v>Свердло 4,3Р6М5/4,4Р6М5</v>
      </c>
      <c r="D1018" s="15" t="s">
        <v>6</v>
      </c>
      <c r="E1018" s="15" t="s">
        <v>1429</v>
      </c>
      <c r="F1018" s="91" t="s">
        <v>1430</v>
      </c>
      <c r="G1018" s="4"/>
      <c r="H1018" s="4"/>
      <c r="I1018" s="4"/>
    </row>
    <row r="1019" spans="1:9" ht="15">
      <c r="A1019" s="21">
        <f t="shared" si="18"/>
        <v>59</v>
      </c>
      <c r="B1019" s="14" t="s">
        <v>1431</v>
      </c>
      <c r="C1019" s="85" t="str">
        <f ca="1">IFERROR(__xludf.DUMMYFUNCTION("GOOGLETRANSLATE(B1019:B1034,""RU"",""UK"")"),"Свердло 4.4х120Р6М5/4,4х125удл. Р6М5")</f>
        <v>Свердло 4.4х120Р6М5/4,4х125удл. Р6М5</v>
      </c>
      <c r="D1019" s="15" t="s">
        <v>6</v>
      </c>
      <c r="E1019" s="15" t="s">
        <v>1432</v>
      </c>
      <c r="F1019" s="91" t="s">
        <v>366</v>
      </c>
      <c r="G1019" s="4"/>
      <c r="H1019" s="4"/>
      <c r="I1019" s="4"/>
    </row>
    <row r="1020" spans="1:9" ht="15">
      <c r="A1020" s="21">
        <f t="shared" si="18"/>
        <v>60</v>
      </c>
      <c r="B1020" s="16" t="s">
        <v>1433</v>
      </c>
      <c r="C1020" s="85" t="str">
        <f ca="1">IFERROR(__xludf.DUMMYFUNCTION("GOOGLETRANSLATE(B1020:B1035,""RU"",""UK"")"),"Свердло 4,5Р9")</f>
        <v>Свердло 4,5Р9</v>
      </c>
      <c r="D1020" s="15" t="s">
        <v>6</v>
      </c>
      <c r="E1020" s="15">
        <v>0</v>
      </c>
      <c r="F1020" s="91" t="s">
        <v>1434</v>
      </c>
      <c r="G1020" s="4"/>
      <c r="H1020" s="4"/>
      <c r="I1020" s="4"/>
    </row>
    <row r="1021" spans="1:9" ht="15">
      <c r="A1021" s="21">
        <f t="shared" si="18"/>
        <v>61</v>
      </c>
      <c r="B1021" s="14" t="s">
        <v>1435</v>
      </c>
      <c r="C1021" s="85" t="str">
        <f ca="1">IFERROR(__xludf.DUMMYFUNCTION("GOOGLETRANSLATE(B1021:B1036,""RU"",""UK"")"),"Свердло 4,5Р6М5/4,6Р6М5")</f>
        <v>Свердло 4,5Р6М5/4,6Р6М5</v>
      </c>
      <c r="D1021" s="15" t="s">
        <v>6</v>
      </c>
      <c r="E1021" s="15" t="s">
        <v>1436</v>
      </c>
      <c r="F1021" s="91" t="s">
        <v>1437</v>
      </c>
      <c r="G1021" s="4"/>
      <c r="H1021" s="4"/>
      <c r="I1021" s="4"/>
    </row>
    <row r="1022" spans="1:9" ht="15">
      <c r="A1022" s="21">
        <f t="shared" si="18"/>
        <v>62</v>
      </c>
      <c r="B1022" s="14" t="s">
        <v>1438</v>
      </c>
      <c r="C1022" s="85" t="str">
        <f ca="1">IFERROR(__xludf.DUMMYFUNCTION("GOOGLETRANSLATE(B1022:B1037,""RU"",""UK"")"),"Свердло 4,5х120дл.Р6М5")</f>
        <v>Свердло 4,5х120дл.Р6М5</v>
      </c>
      <c r="D1022" s="15" t="s">
        <v>6</v>
      </c>
      <c r="E1022" s="15">
        <v>6</v>
      </c>
      <c r="F1022" s="91" t="s">
        <v>167</v>
      </c>
      <c r="G1022" s="4"/>
      <c r="H1022" s="4"/>
      <c r="I1022" s="4"/>
    </row>
    <row r="1023" spans="1:9" ht="15">
      <c r="A1023" s="21">
        <f t="shared" si="18"/>
        <v>63</v>
      </c>
      <c r="B1023" s="14" t="s">
        <v>1439</v>
      </c>
      <c r="C1023" s="85" t="str">
        <f ca="1">IFERROR(__xludf.DUMMYFUNCTION("GOOGLETRANSLATE(B1023:B1038,""RU"",""UK"")"),"Свердло 4,7 Р6М5/4.8 Р6М5")</f>
        <v>Свердло 4,7 Р6М5/4.8 Р6М5</v>
      </c>
      <c r="D1023" s="15" t="s">
        <v>6</v>
      </c>
      <c r="E1023" s="15" t="s">
        <v>1440</v>
      </c>
      <c r="F1023" s="91" t="s">
        <v>124</v>
      </c>
      <c r="G1023" s="4"/>
      <c r="H1023" s="4"/>
      <c r="I1023" s="4"/>
    </row>
    <row r="1024" spans="1:9" ht="15">
      <c r="A1024" s="21">
        <f t="shared" si="18"/>
        <v>64</v>
      </c>
      <c r="B1024" s="14" t="s">
        <v>1441</v>
      </c>
      <c r="C1024" s="85" t="str">
        <f ca="1">IFERROR(__xludf.DUMMYFUNCTION("GOOGLETRANSLATE(B1024:B1039,""RU"",""UK"")"),"Свердло 4,7х120дл.Р6М5")</f>
        <v>Свердло 4,7х120дл.Р6М5</v>
      </c>
      <c r="D1024" s="15" t="s">
        <v>6</v>
      </c>
      <c r="E1024" s="15">
        <v>10</v>
      </c>
      <c r="F1024" s="91" t="s">
        <v>167</v>
      </c>
      <c r="G1024" s="4"/>
      <c r="H1024" s="4"/>
      <c r="I1024" s="4"/>
    </row>
    <row r="1025" spans="1:9" ht="15">
      <c r="A1025" s="21">
        <f t="shared" si="18"/>
        <v>65</v>
      </c>
      <c r="B1025" s="14" t="s">
        <v>1442</v>
      </c>
      <c r="C1025" s="85" t="str">
        <f ca="1">IFERROR(__xludf.DUMMYFUNCTION("GOOGLETRANSLATE(B1025:B1040,""RU"",""UK"")"),"Свердло 4,8Р6М5К5/4,9Р6М5")</f>
        <v>Свердло 4,8Р6М5К5/4,9Р6М5</v>
      </c>
      <c r="D1025" s="15" t="s">
        <v>6</v>
      </c>
      <c r="E1025" s="15" t="s">
        <v>1443</v>
      </c>
      <c r="F1025" s="91" t="s">
        <v>167</v>
      </c>
      <c r="G1025" s="4"/>
      <c r="H1025" s="4"/>
      <c r="I1025" s="4"/>
    </row>
    <row r="1026" spans="1:9" ht="15">
      <c r="A1026" s="21">
        <f t="shared" si="18"/>
        <v>66</v>
      </c>
      <c r="B1026" s="14" t="s">
        <v>1444</v>
      </c>
      <c r="C1026" s="85" t="str">
        <f ca="1">IFERROR(__xludf.DUMMYFUNCTION("GOOGLETRANSLATE(B1026:B1041,""RU"",""UK"")"),"Свердло 5,0 Р9")</f>
        <v>Свердло 5,0 Р9</v>
      </c>
      <c r="D1026" s="15" t="s">
        <v>6</v>
      </c>
      <c r="E1026" s="15">
        <v>25</v>
      </c>
      <c r="F1026" s="91" t="s">
        <v>292</v>
      </c>
      <c r="G1026" s="4"/>
      <c r="H1026" s="4"/>
      <c r="I1026" s="4"/>
    </row>
    <row r="1027" spans="1:9" ht="15">
      <c r="A1027" s="21">
        <f t="shared" ref="A1027:A1090" si="19">A1026+1</f>
        <v>67</v>
      </c>
      <c r="B1027" s="56" t="s">
        <v>1445</v>
      </c>
      <c r="C1027" s="85" t="str">
        <f ca="1">IFERROR(__xludf.DUMMYFUNCTION("GOOGLETRANSLATE(B1027:B1042,""RU"",""UK"")"),"Свердло 5,0 Р6М5К5/5,0Р6М5А1")</f>
        <v>Свердло 5,0 Р6М5К5/5,0Р6М5А1</v>
      </c>
      <c r="D1027" s="15" t="s">
        <v>6</v>
      </c>
      <c r="E1027" s="15" t="s">
        <v>1446</v>
      </c>
      <c r="F1027" s="91" t="s">
        <v>248</v>
      </c>
      <c r="G1027" s="4"/>
      <c r="H1027" s="4"/>
      <c r="I1027" s="4"/>
    </row>
    <row r="1028" spans="1:9" ht="15">
      <c r="A1028" s="21">
        <f t="shared" si="19"/>
        <v>68</v>
      </c>
      <c r="B1028" s="19" t="s">
        <v>1447</v>
      </c>
      <c r="C1028" s="85" t="str">
        <f ca="1">IFERROR(__xludf.DUMMYFUNCTION("GOOGLETRANSLATE(B1028:B1043,""RU"",""UK"")"),"Свердло 5,0 дл.")</f>
        <v>Свердло 5,0 дл.</v>
      </c>
      <c r="D1028" s="15" t="s">
        <v>6</v>
      </c>
      <c r="E1028" s="15">
        <v>1</v>
      </c>
      <c r="F1028" s="91" t="s">
        <v>169</v>
      </c>
      <c r="G1028" s="4"/>
      <c r="H1028" s="4"/>
      <c r="I1028" s="4"/>
    </row>
    <row r="1029" spans="1:9" ht="15">
      <c r="A1029" s="21">
        <f t="shared" si="19"/>
        <v>69</v>
      </c>
      <c r="B1029" s="45" t="s">
        <v>1448</v>
      </c>
      <c r="C1029" s="85" t="str">
        <f ca="1">IFERROR(__xludf.DUMMYFUNCTION("GOOGLETRANSLATE(B1029:B1044,""RU"",""UK"")"),"Свердло 5,1Р6М5К5/5,2Р6М5")</f>
        <v>Свердло 5,1Р6М5К5/5,2Р6М5</v>
      </c>
      <c r="D1029" s="15" t="s">
        <v>6</v>
      </c>
      <c r="E1029" s="15" t="s">
        <v>1449</v>
      </c>
      <c r="F1029" s="91" t="s">
        <v>167</v>
      </c>
      <c r="G1029" s="4"/>
      <c r="H1029" s="4"/>
      <c r="I1029" s="4"/>
    </row>
    <row r="1030" spans="1:9" ht="15">
      <c r="A1030" s="21">
        <f t="shared" si="19"/>
        <v>70</v>
      </c>
      <c r="B1030" s="19" t="s">
        <v>1450</v>
      </c>
      <c r="C1030" s="85" t="str">
        <f ca="1">IFERROR(__xludf.DUMMYFUNCTION("GOOGLETRANSLATE(B1030:B1045,""RU"",""UK"")"),"Свердло 5,1 Р6М5 А1")</f>
        <v>Свердло 5,1 Р6М5 А1</v>
      </c>
      <c r="D1030" s="15" t="s">
        <v>6</v>
      </c>
      <c r="E1030" s="15">
        <v>0</v>
      </c>
      <c r="F1030" s="91" t="s">
        <v>248</v>
      </c>
      <c r="G1030" s="4"/>
      <c r="H1030" s="4"/>
      <c r="I1030" s="4"/>
    </row>
    <row r="1031" spans="1:9" ht="15">
      <c r="A1031" s="21">
        <f t="shared" si="19"/>
        <v>71</v>
      </c>
      <c r="B1031" s="16" t="s">
        <v>1451</v>
      </c>
      <c r="C1031" s="85" t="str">
        <f ca="1">IFERROR(__xludf.DUMMYFUNCTION("GOOGLETRANSLATE(B1031:B1046,""RU"",""UK"")"),"Свердло 5,2Р9")</f>
        <v>Свердло 5,2Р9</v>
      </c>
      <c r="D1031" s="15" t="s">
        <v>6</v>
      </c>
      <c r="E1031" s="15">
        <v>21</v>
      </c>
      <c r="F1031" s="91" t="s">
        <v>366</v>
      </c>
      <c r="G1031" s="4"/>
      <c r="H1031" s="4"/>
      <c r="I1031" s="4"/>
    </row>
    <row r="1032" spans="1:9" ht="15">
      <c r="A1032" s="21">
        <f t="shared" si="19"/>
        <v>72</v>
      </c>
      <c r="B1032" s="44" t="s">
        <v>1452</v>
      </c>
      <c r="C1032" s="85" t="str">
        <f ca="1">IFERROR(__xludf.DUMMYFUNCTION("GOOGLETRANSLATE(B1032:B1047,""RU"",""UK"")"),"Свердло 5,2Р6М5К5+Р18/5,2HSS-G (P12) BOСSH/5,2Р6М5А1")</f>
        <v>Свердло 5,2Р6М5К5+Р18/5,2HSS-G (P12) BOСSH/5,2Р6М5А1</v>
      </c>
      <c r="D1032" s="15" t="s">
        <v>6</v>
      </c>
      <c r="E1032" s="15" t="s">
        <v>1453</v>
      </c>
      <c r="F1032" s="91" t="s">
        <v>177</v>
      </c>
      <c r="G1032" s="4"/>
      <c r="H1032" s="4"/>
      <c r="I1032" s="4"/>
    </row>
    <row r="1033" spans="1:9" ht="15">
      <c r="A1033" s="21">
        <f t="shared" si="19"/>
        <v>73</v>
      </c>
      <c r="B1033" s="16" t="s">
        <v>1454</v>
      </c>
      <c r="C1033" s="85" t="str">
        <f ca="1">IFERROR(__xludf.DUMMYFUNCTION("GOOGLETRANSLATE(B1033:B1048,""RU"",""UK"")"),"Свердло 5,1х130 Р6М5 удл. / 5,2х130 Р6М5 удл.")</f>
        <v>Свердло 5,1х130 Р6М5 удл. / 5,2х130 Р6М5 удл.</v>
      </c>
      <c r="D1033" s="15" t="s">
        <v>6</v>
      </c>
      <c r="E1033" s="15" t="s">
        <v>1455</v>
      </c>
      <c r="F1033" s="91" t="s">
        <v>304</v>
      </c>
      <c r="G1033" s="4"/>
      <c r="H1033" s="4"/>
      <c r="I1033" s="4"/>
    </row>
    <row r="1034" spans="1:9" ht="15">
      <c r="A1034" s="21">
        <f t="shared" si="19"/>
        <v>74</v>
      </c>
      <c r="B1034" s="14" t="s">
        <v>1456</v>
      </c>
      <c r="C1034" s="85" t="str">
        <f ca="1">IFERROR(__xludf.DUMMYFUNCTION("GOOGLETRANSLATE(B1034:B1049,""RU"",""UK"")"),"Свердло 5,3Р6М5/5,3Р9")</f>
        <v>Свердло 5,3Р6М5/5,3Р9</v>
      </c>
      <c r="D1034" s="15" t="s">
        <v>6</v>
      </c>
      <c r="E1034" s="15" t="s">
        <v>1457</v>
      </c>
      <c r="F1034" s="91" t="s">
        <v>167</v>
      </c>
      <c r="G1034" s="4"/>
      <c r="H1034" s="4"/>
      <c r="I1034" s="4"/>
    </row>
    <row r="1035" spans="1:9" ht="15">
      <c r="A1035" s="21">
        <f t="shared" si="19"/>
        <v>75</v>
      </c>
      <c r="B1035" s="14" t="s">
        <v>1458</v>
      </c>
      <c r="C1035" s="85" t="str">
        <f ca="1">IFERROR(__xludf.DUMMYFUNCTION("GOOGLETRANSLATE(B1035:B1050,""RU"",""UK"")"),"Свердло 5,4 Р6М5")</f>
        <v>Свердло 5,4 Р6М5</v>
      </c>
      <c r="D1035" s="15" t="s">
        <v>6</v>
      </c>
      <c r="E1035" s="15">
        <v>146</v>
      </c>
      <c r="F1035" s="91" t="s">
        <v>167</v>
      </c>
      <c r="G1035" s="4"/>
      <c r="H1035" s="4"/>
      <c r="I1035" s="4"/>
    </row>
    <row r="1036" spans="1:9" ht="15">
      <c r="A1036" s="21">
        <f t="shared" si="19"/>
        <v>76</v>
      </c>
      <c r="B1036" s="16" t="s">
        <v>1459</v>
      </c>
      <c r="C1036" s="85" t="str">
        <f ca="1">IFERROR(__xludf.DUMMYFUNCTION("GOOGLETRANSLATE(B1036:B1051,""RU"",""UK"")"),"Свердло 5,5 Р6М5")</f>
        <v>Свердло 5,5 Р6М5</v>
      </c>
      <c r="D1036" s="15" t="s">
        <v>6</v>
      </c>
      <c r="E1036" s="15">
        <v>73</v>
      </c>
      <c r="F1036" s="91" t="s">
        <v>167</v>
      </c>
      <c r="G1036" s="4"/>
      <c r="H1036" s="4"/>
      <c r="I1036" s="4"/>
    </row>
    <row r="1037" spans="1:9" ht="15">
      <c r="A1037" s="21">
        <f t="shared" si="19"/>
        <v>77</v>
      </c>
      <c r="B1037" s="14" t="s">
        <v>1460</v>
      </c>
      <c r="C1037" s="85" t="str">
        <f ca="1">IFERROR(__xludf.DUMMYFUNCTION("GOOGLETRANSLATE(B1037:B1052,""RU"",""UK"")"),"Свердло 5,5 удлР6М5")</f>
        <v>Свердло 5,5 удлР6М5</v>
      </c>
      <c r="D1037" s="15" t="s">
        <v>6</v>
      </c>
      <c r="E1037" s="15">
        <v>10</v>
      </c>
      <c r="F1037" s="91" t="s">
        <v>253</v>
      </c>
      <c r="G1037" s="4"/>
      <c r="H1037" s="4"/>
      <c r="I1037" s="4"/>
    </row>
    <row r="1038" spans="1:9" ht="15">
      <c r="A1038" s="21">
        <f t="shared" si="19"/>
        <v>78</v>
      </c>
      <c r="B1038" s="14" t="s">
        <v>1461</v>
      </c>
      <c r="C1038" s="85" t="str">
        <f ca="1">IFERROR(__xludf.DUMMYFUNCTION("GOOGLETRANSLATE(B1038:B1053,""RU"",""UK"")"),"Свердло 5,6Р6М5/5,7Р6М5")</f>
        <v>Свердло 5,6Р6М5/5,7Р6М5</v>
      </c>
      <c r="D1038" s="15" t="s">
        <v>6</v>
      </c>
      <c r="E1038" s="15" t="s">
        <v>1462</v>
      </c>
      <c r="F1038" s="91" t="s">
        <v>167</v>
      </c>
      <c r="G1038" s="4"/>
      <c r="H1038" s="4"/>
      <c r="I1038" s="4"/>
    </row>
    <row r="1039" spans="1:9" ht="15">
      <c r="A1039" s="21">
        <f t="shared" si="19"/>
        <v>79</v>
      </c>
      <c r="B1039" s="14" t="s">
        <v>1463</v>
      </c>
      <c r="C1039" s="85" t="str">
        <f ca="1">IFERROR(__xludf.DUMMYFUNCTION("GOOGLETRANSLATE(B1039:B1054,""RU"",""UK"")"),"Свердло 5,7х140удлР6М5А1")</f>
        <v>Свердло 5,7х140удлР6М5А1</v>
      </c>
      <c r="D1039" s="15" t="s">
        <v>6</v>
      </c>
      <c r="E1039" s="15">
        <v>9</v>
      </c>
      <c r="F1039" s="91" t="s">
        <v>596</v>
      </c>
      <c r="G1039" s="4"/>
      <c r="H1039" s="4"/>
      <c r="I1039" s="4"/>
    </row>
    <row r="1040" spans="1:9" ht="15">
      <c r="A1040" s="21">
        <f t="shared" si="19"/>
        <v>80</v>
      </c>
      <c r="B1040" s="14" t="s">
        <v>1464</v>
      </c>
      <c r="C1040" s="85" t="str">
        <f ca="1">IFERROR(__xludf.DUMMYFUNCTION("GOOGLETRANSLATE(B1040:B1055,""RU"",""UK"")"),"Свердло 5,8Р6М5/5,9Р6М5")</f>
        <v>Свердло 5,8Р6М5/5,9Р6М5</v>
      </c>
      <c r="D1040" s="15" t="s">
        <v>6</v>
      </c>
      <c r="E1040" s="15" t="s">
        <v>1465</v>
      </c>
      <c r="F1040" s="91" t="s">
        <v>248</v>
      </c>
      <c r="G1040" s="4"/>
      <c r="H1040" s="4"/>
      <c r="I1040" s="4"/>
    </row>
    <row r="1041" spans="1:9" ht="15">
      <c r="A1041" s="21">
        <f t="shared" si="19"/>
        <v>81</v>
      </c>
      <c r="B1041" s="16" t="s">
        <v>1466</v>
      </c>
      <c r="C1041" s="85" t="str">
        <f ca="1">IFERROR(__xludf.DUMMYFUNCTION("GOOGLETRANSLATE(B1041:B1056,""RU"",""UK"")"),"Свердло 6,0 Р9")</f>
        <v>Свердло 6,0 Р9</v>
      </c>
      <c r="D1041" s="15" t="s">
        <v>6</v>
      </c>
      <c r="E1041" s="15">
        <v>31</v>
      </c>
      <c r="F1041" s="91" t="s">
        <v>134</v>
      </c>
      <c r="G1041" s="4"/>
      <c r="H1041" s="4"/>
      <c r="I1041" s="4"/>
    </row>
    <row r="1042" spans="1:9" ht="15">
      <c r="A1042" s="21">
        <f t="shared" si="19"/>
        <v>82</v>
      </c>
      <c r="B1042" s="16" t="s">
        <v>1467</v>
      </c>
      <c r="C1042" s="85" t="str">
        <f ca="1">IFERROR(__xludf.DUMMYFUNCTION("GOOGLETRANSLATE(B1042:B1057,""RU"",""UK"")"),"Свердло 6,0 HSS-G (P12) BOСSH")</f>
        <v>Свердло 6,0 HSS-G (P12) BOСSH</v>
      </c>
      <c r="D1042" s="15" t="s">
        <v>6</v>
      </c>
      <c r="E1042" s="15">
        <v>77</v>
      </c>
      <c r="F1042" s="91" t="s">
        <v>1468</v>
      </c>
      <c r="G1042" s="4"/>
      <c r="H1042" s="4"/>
      <c r="I1042" s="4"/>
    </row>
    <row r="1043" spans="1:9" ht="15">
      <c r="A1043" s="21">
        <f t="shared" si="19"/>
        <v>83</v>
      </c>
      <c r="B1043" s="44" t="s">
        <v>1469</v>
      </c>
      <c r="C1043" s="85" t="str">
        <f ca="1">IFERROR(__xludf.DUMMYFUNCTION("GOOGLETRANSLATE(B1043:B1058,""RU"",""UK"")"),"Свердло 6,0 Р6М5К5 + Р18")</f>
        <v>Свердло 6,0 Р6М5К5 + Р18</v>
      </c>
      <c r="D1043" s="15" t="s">
        <v>6</v>
      </c>
      <c r="E1043" s="15">
        <v>21</v>
      </c>
      <c r="F1043" s="91" t="s">
        <v>1468</v>
      </c>
      <c r="G1043" s="4"/>
      <c r="H1043" s="4"/>
      <c r="I1043" s="4"/>
    </row>
    <row r="1044" spans="1:9" ht="15">
      <c r="A1044" s="21">
        <f t="shared" si="19"/>
        <v>84</v>
      </c>
      <c r="B1044" s="19" t="s">
        <v>1470</v>
      </c>
      <c r="C1044" s="85" t="str">
        <f ca="1">IFERROR(__xludf.DUMMYFUNCTION("GOOGLETRANSLATE(B1044:B1059,""RU"",""UK"")"),"Свердло 6,0х140удл Р6М5 СРСР")</f>
        <v>Свердло 6,0х140удл Р6М5 СРСР</v>
      </c>
      <c r="D1044" s="15" t="s">
        <v>6</v>
      </c>
      <c r="E1044" s="15">
        <v>0</v>
      </c>
      <c r="F1044" s="91" t="s">
        <v>255</v>
      </c>
      <c r="G1044" s="4"/>
      <c r="H1044" s="4"/>
      <c r="I1044" s="4"/>
    </row>
    <row r="1045" spans="1:9" ht="15">
      <c r="A1045" s="21">
        <f t="shared" si="19"/>
        <v>85</v>
      </c>
      <c r="B1045" s="16" t="s">
        <v>1471</v>
      </c>
      <c r="C1045" s="85" t="str">
        <f ca="1">IFERROR(__xludf.DUMMYFUNCTION("GOOGLETRANSLATE(B1045:B1060,""RU"",""UK"")"),"Свердло 6,1Р6М5/6,2Р6М5/6,3Р6М5")</f>
        <v>Свердло 6,1Р6М5/6,2Р6М5/6,3Р6М5</v>
      </c>
      <c r="D1045" s="15" t="s">
        <v>6</v>
      </c>
      <c r="E1045" s="15" t="s">
        <v>1472</v>
      </c>
      <c r="F1045" s="91" t="s">
        <v>304</v>
      </c>
      <c r="G1045" s="4"/>
      <c r="H1045" s="4"/>
      <c r="I1045" s="4"/>
    </row>
    <row r="1046" spans="1:9" ht="15">
      <c r="A1046" s="21">
        <f t="shared" si="19"/>
        <v>86</v>
      </c>
      <c r="B1046" s="14" t="s">
        <v>1473</v>
      </c>
      <c r="C1046" s="85" t="str">
        <f ca="1">IFERROR(__xludf.DUMMYFUNCTION("GOOGLETRANSLATE(B1046:B1061,""RU"",""UK"")"),"Свердло 6,2х150 Р6М5А1/6,3х140 Р6М5")</f>
        <v>Свердло 6,2х150 Р6М5А1/6,3х140 Р6М5</v>
      </c>
      <c r="D1046" s="15" t="s">
        <v>6</v>
      </c>
      <c r="E1046" s="15" t="s">
        <v>1474</v>
      </c>
      <c r="F1046" s="91" t="s">
        <v>255</v>
      </c>
      <c r="G1046" s="4"/>
      <c r="H1046" s="4"/>
      <c r="I1046" s="4"/>
    </row>
    <row r="1047" spans="1:9" ht="15">
      <c r="A1047" s="21">
        <f t="shared" si="19"/>
        <v>87</v>
      </c>
      <c r="B1047" s="16" t="s">
        <v>1475</v>
      </c>
      <c r="C1047" s="85" t="str">
        <f ca="1">IFERROR(__xludf.DUMMYFUNCTION("GOOGLETRANSLATE(B1047:B1062,""RU"",""UK"")"),"Свердло 6,4Р6М5/6,5Р6М5")</f>
        <v>Свердло 6,4Р6М5/6,5Р6М5</v>
      </c>
      <c r="D1047" s="15" t="s">
        <v>6</v>
      </c>
      <c r="E1047" s="15" t="s">
        <v>1476</v>
      </c>
      <c r="F1047" s="91" t="s">
        <v>314</v>
      </c>
      <c r="G1047" s="4"/>
      <c r="H1047" s="4"/>
      <c r="I1047" s="4"/>
    </row>
    <row r="1048" spans="1:9" ht="15">
      <c r="A1048" s="21">
        <f t="shared" si="19"/>
        <v>88</v>
      </c>
      <c r="B1048" s="16" t="s">
        <v>1477</v>
      </c>
      <c r="C1048" s="85" t="str">
        <f ca="1">IFERROR(__xludf.DUMMYFUNCTION("GOOGLETRANSLATE(B1048:B1063,""RU"",""UK"")"),"Свердло 6,5 Р9")</f>
        <v>Свердло 6,5 Р9</v>
      </c>
      <c r="D1048" s="15" t="s">
        <v>6</v>
      </c>
      <c r="E1048" s="15">
        <v>17</v>
      </c>
      <c r="F1048" s="91" t="s">
        <v>167</v>
      </c>
      <c r="G1048" s="4"/>
      <c r="H1048" s="4"/>
      <c r="I1048" s="4"/>
    </row>
    <row r="1049" spans="1:9" ht="15">
      <c r="A1049" s="21">
        <f t="shared" si="19"/>
        <v>89</v>
      </c>
      <c r="B1049" s="44" t="s">
        <v>1478</v>
      </c>
      <c r="C1049" s="85" t="str">
        <f ca="1">IFERROR(__xludf.DUMMYFUNCTION("GOOGLETRANSLATE(B1049:B1064,""RU"",""UK"")"),"Свердло 6,5 Р6М5К5")</f>
        <v>Свердло 6,5 Р6М5К5</v>
      </c>
      <c r="D1049" s="15" t="s">
        <v>6</v>
      </c>
      <c r="E1049" s="15">
        <v>15</v>
      </c>
      <c r="F1049" s="91" t="s">
        <v>598</v>
      </c>
      <c r="G1049" s="4"/>
      <c r="H1049" s="4"/>
      <c r="I1049" s="4"/>
    </row>
    <row r="1050" spans="1:9" ht="15">
      <c r="A1050" s="21">
        <f t="shared" si="19"/>
        <v>90</v>
      </c>
      <c r="B1050" s="14" t="s">
        <v>1479</v>
      </c>
      <c r="C1050" s="85" t="str">
        <f ca="1">IFERROR(__xludf.DUMMYFUNCTION("GOOGLETRANSLATE(B1050:B1065,""RU"",""UK"")"),"Свердло 6,4 удл Р6М5/ 6,5 х150удл Р6М5")</f>
        <v>Свердло 6,4 удл Р6М5/ 6,5 х150удл Р6М5</v>
      </c>
      <c r="D1050" s="15" t="s">
        <v>6</v>
      </c>
      <c r="E1050" s="15" t="s">
        <v>1480</v>
      </c>
      <c r="F1050" s="91" t="s">
        <v>181</v>
      </c>
      <c r="G1050" s="4"/>
      <c r="H1050" s="4"/>
      <c r="I1050" s="4"/>
    </row>
    <row r="1051" spans="1:9" ht="15">
      <c r="A1051" s="21">
        <f t="shared" si="19"/>
        <v>91</v>
      </c>
      <c r="B1051" s="14" t="s">
        <v>1481</v>
      </c>
      <c r="C1051" s="85" t="str">
        <f ca="1">IFERROR(__xludf.DUMMYFUNCTION("GOOGLETRANSLATE(B1051:B1066,""RU"",""UK"")"),"Свердло 6,6 Р6М5/6,7 Р6М5")</f>
        <v>Свердло 6,6 Р6М5/6,7 Р6М5</v>
      </c>
      <c r="D1051" s="15" t="s">
        <v>6</v>
      </c>
      <c r="E1051" s="15" t="s">
        <v>1482</v>
      </c>
      <c r="F1051" s="91" t="s">
        <v>253</v>
      </c>
      <c r="G1051" s="4"/>
      <c r="H1051" s="4"/>
      <c r="I1051" s="4"/>
    </row>
    <row r="1052" spans="1:9" ht="15">
      <c r="A1052" s="21">
        <f t="shared" si="19"/>
        <v>92</v>
      </c>
      <c r="B1052" s="14" t="s">
        <v>1483</v>
      </c>
      <c r="C1052" s="85" t="str">
        <f ca="1">IFERROR(__xludf.DUMMYFUNCTION("GOOGLETRANSLATE(B1052:B1067,""RU"",""UK"")"),"Свердло 6,7 х150удл Р6М5")</f>
        <v>Свердло 6,7 х150удл Р6М5</v>
      </c>
      <c r="D1052" s="15" t="s">
        <v>6</v>
      </c>
      <c r="E1052" s="15">
        <v>17</v>
      </c>
      <c r="F1052" s="91" t="s">
        <v>257</v>
      </c>
      <c r="G1052" s="4"/>
      <c r="H1052" s="4"/>
      <c r="I1052" s="4"/>
    </row>
    <row r="1053" spans="1:9" ht="15">
      <c r="A1053" s="21">
        <f t="shared" si="19"/>
        <v>93</v>
      </c>
      <c r="B1053" s="14" t="s">
        <v>1484</v>
      </c>
      <c r="C1053" s="85" t="str">
        <f ca="1">IFERROR(__xludf.DUMMYFUNCTION("GOOGLETRANSLATE(B1053:B1068,""RU"",""UK"")"),"Свердло 6,7 х150удл Р6М5 А1")</f>
        <v>Свердло 6,7 х150удл Р6М5 А1</v>
      </c>
      <c r="D1053" s="15" t="s">
        <v>6</v>
      </c>
      <c r="E1053" s="15">
        <v>49</v>
      </c>
      <c r="F1053" s="91" t="s">
        <v>104</v>
      </c>
      <c r="G1053" s="4"/>
      <c r="H1053" s="4"/>
      <c r="I1053" s="4"/>
    </row>
    <row r="1054" spans="1:9" ht="15">
      <c r="A1054" s="21">
        <f t="shared" si="19"/>
        <v>94</v>
      </c>
      <c r="B1054" s="14" t="s">
        <v>1485</v>
      </c>
      <c r="C1054" s="85" t="str">
        <f ca="1">IFERROR(__xludf.DUMMYFUNCTION("GOOGLETRANSLATE(B1054:B1069,""RU"",""UK"")"),"Свердло 6,8 Р6М5/6,9 Р6М5")</f>
        <v>Свердло 6,8 Р6М5/6,9 Р6М5</v>
      </c>
      <c r="D1054" s="15" t="s">
        <v>6</v>
      </c>
      <c r="E1054" s="15" t="s">
        <v>1486</v>
      </c>
      <c r="F1054" s="91" t="s">
        <v>314</v>
      </c>
      <c r="G1054" s="4"/>
      <c r="H1054" s="4"/>
      <c r="I1054" s="4"/>
    </row>
    <row r="1055" spans="1:9" ht="15">
      <c r="A1055" s="21">
        <f t="shared" si="19"/>
        <v>95</v>
      </c>
      <c r="B1055" s="14" t="s">
        <v>1487</v>
      </c>
      <c r="C1055" s="85" t="str">
        <f ca="1">IFERROR(__xludf.DUMMYFUNCTION("GOOGLETRANSLATE(B1055:B1070,""RU"",""UK"")"),"Свердло 6,8 А1 Р6М5/6,8 Р6АМ5")</f>
        <v>Свердло 6,8 А1 Р6М5/6,8 Р6АМ5</v>
      </c>
      <c r="D1055" s="15" t="s">
        <v>6</v>
      </c>
      <c r="E1055" s="15" t="s">
        <v>1488</v>
      </c>
      <c r="F1055" s="91" t="s">
        <v>598</v>
      </c>
      <c r="G1055" s="4"/>
      <c r="H1055" s="4"/>
      <c r="I1055" s="4"/>
    </row>
    <row r="1056" spans="1:9" ht="15">
      <c r="A1056" s="21">
        <f t="shared" si="19"/>
        <v>96</v>
      </c>
      <c r="B1056" s="14" t="s">
        <v>1489</v>
      </c>
      <c r="C1056" s="85" t="str">
        <f ca="1">IFERROR(__xludf.DUMMYFUNCTION("GOOGLETRANSLATE(B1056:B1071,""RU"",""UK"")"),"Свердло 6,8х140-150 Р6М5/6,9х140уд.Р6М5")</f>
        <v>Свердло 6,8х140-150 Р6М5/6,9х140уд.Р6М5</v>
      </c>
      <c r="D1056" s="15" t="s">
        <v>6</v>
      </c>
      <c r="E1056" s="15" t="s">
        <v>1490</v>
      </c>
      <c r="F1056" s="91" t="s">
        <v>257</v>
      </c>
      <c r="G1056" s="4"/>
      <c r="H1056" s="4"/>
      <c r="I1056" s="4"/>
    </row>
    <row r="1057" spans="1:9" ht="15">
      <c r="A1057" s="21">
        <f t="shared" si="19"/>
        <v>97</v>
      </c>
      <c r="B1057" s="14" t="s">
        <v>1491</v>
      </c>
      <c r="C1057" s="85" t="str">
        <f ca="1">IFERROR(__xludf.DUMMYFUNCTION("GOOGLETRANSLATE(B1057:B1072,""RU"",""UK"")"),"Свердло 7,0Р9")</f>
        <v>Свердло 7,0Р9</v>
      </c>
      <c r="D1057" s="15" t="s">
        <v>6</v>
      </c>
      <c r="E1057" s="15">
        <v>3</v>
      </c>
      <c r="F1057" s="91" t="s">
        <v>255</v>
      </c>
      <c r="G1057" s="4"/>
      <c r="H1057" s="4"/>
      <c r="I1057" s="4"/>
    </row>
    <row r="1058" spans="1:9" ht="15">
      <c r="A1058" s="21">
        <f t="shared" si="19"/>
        <v>98</v>
      </c>
      <c r="B1058" s="14" t="s">
        <v>1492</v>
      </c>
      <c r="C1058" s="85" t="str">
        <f ca="1">IFERROR(__xludf.DUMMYFUNCTION("GOOGLETRANSLATE(B1058:B1073,""RU"",""UK"")"),"Свердло 7,0 Р6М5 СРСР")</f>
        <v>Свердло 7,0 Р6М5 СРСР</v>
      </c>
      <c r="D1058" s="15" t="s">
        <v>6</v>
      </c>
      <c r="E1058" s="15">
        <v>91</v>
      </c>
      <c r="F1058" s="91" t="s">
        <v>209</v>
      </c>
      <c r="G1058" s="4"/>
      <c r="H1058" s="4"/>
      <c r="I1058" s="4"/>
    </row>
    <row r="1059" spans="1:9" ht="15">
      <c r="A1059" s="21">
        <f t="shared" si="19"/>
        <v>99</v>
      </c>
      <c r="B1059" s="16" t="s">
        <v>1493</v>
      </c>
      <c r="C1059" s="85" t="str">
        <f ca="1">IFERROR(__xludf.DUMMYFUNCTION("GOOGLETRANSLATE(B1059:B1074,""RU"",""UK"")"),"Свердло 7,0 HSS-G (P12) BOСSH")</f>
        <v>Свердло 7,0 HSS-G (P12) BOСSH</v>
      </c>
      <c r="D1059" s="15" t="s">
        <v>6</v>
      </c>
      <c r="E1059" s="15">
        <v>98</v>
      </c>
      <c r="F1059" s="91" t="s">
        <v>257</v>
      </c>
      <c r="G1059" s="4"/>
      <c r="H1059" s="4"/>
      <c r="I1059" s="4"/>
    </row>
    <row r="1060" spans="1:9" ht="15">
      <c r="A1060" s="21">
        <f t="shared" si="19"/>
        <v>100</v>
      </c>
      <c r="B1060" s="14" t="s">
        <v>1494</v>
      </c>
      <c r="C1060" s="85" t="str">
        <f ca="1">IFERROR(__xludf.DUMMYFUNCTION("GOOGLETRANSLATE(B1060:B1075,""RU"",""UK"")"),"Свердло 7,0 удл.Р6М5/7,0х150удл.Р6М5")</f>
        <v>Свердло 7,0 удл.Р6М5/7,0х150удл.Р6М5</v>
      </c>
      <c r="D1060" s="15" t="s">
        <v>6</v>
      </c>
      <c r="E1060" s="15" t="s">
        <v>1495</v>
      </c>
      <c r="F1060" s="91" t="s">
        <v>183</v>
      </c>
      <c r="G1060" s="4"/>
      <c r="H1060" s="4"/>
      <c r="I1060" s="4"/>
    </row>
    <row r="1061" spans="1:9" ht="15">
      <c r="A1061" s="21">
        <f t="shared" si="19"/>
        <v>101</v>
      </c>
      <c r="B1061" s="14" t="s">
        <v>1496</v>
      </c>
      <c r="C1061" s="85" t="str">
        <f ca="1">IFERROR(__xludf.DUMMYFUNCTION("GOOGLETRANSLATE(B1061:B1076,""RU"",""UK"")"),"Свердло 7,0х370удл.Р6М5")</f>
        <v>Свердло 7,0х370удл.Р6М5</v>
      </c>
      <c r="D1061" s="15" t="s">
        <v>6</v>
      </c>
      <c r="E1061" s="15">
        <v>1</v>
      </c>
      <c r="F1061" s="91" t="s">
        <v>371</v>
      </c>
      <c r="G1061" s="4"/>
      <c r="H1061" s="4"/>
      <c r="I1061" s="4"/>
    </row>
    <row r="1062" spans="1:9" ht="15">
      <c r="A1062" s="21">
        <f t="shared" si="19"/>
        <v>102</v>
      </c>
      <c r="B1062" s="14" t="s">
        <v>1497</v>
      </c>
      <c r="C1062" s="85" t="str">
        <f ca="1">IFERROR(__xludf.DUMMYFUNCTION("GOOGLETRANSLATE(B1062:B1077,""RU"",""UK"")"),"Свердло 7,1удл. Р6М5/ 7,2х150удл.Р6М5")</f>
        <v>Свердло 7,1удл. Р6М5/ 7,2х150удл.Р6М5</v>
      </c>
      <c r="D1062" s="15" t="s">
        <v>6</v>
      </c>
      <c r="E1062" s="15" t="s">
        <v>1498</v>
      </c>
      <c r="F1062" s="91" t="s">
        <v>183</v>
      </c>
      <c r="G1062" s="4"/>
      <c r="H1062" s="4"/>
      <c r="I1062" s="4"/>
    </row>
    <row r="1063" spans="1:9" ht="15">
      <c r="A1063" s="21">
        <f t="shared" si="19"/>
        <v>103</v>
      </c>
      <c r="B1063" s="14" t="s">
        <v>1499</v>
      </c>
      <c r="C1063" s="85" t="str">
        <f ca="1">IFERROR(__xludf.DUMMYFUNCTION("GOOGLETRANSLATE(B1063:B1078,""RU"",""UK"")"),"Свердло 7,1 Р6М5/7,2 Р6М5")</f>
        <v>Свердло 7,1 Р6М5/7,2 Р6М5</v>
      </c>
      <c r="D1063" s="15" t="s">
        <v>6</v>
      </c>
      <c r="E1063" s="15" t="s">
        <v>1500</v>
      </c>
      <c r="F1063" s="91" t="s">
        <v>209</v>
      </c>
      <c r="G1063" s="4"/>
      <c r="H1063" s="4"/>
      <c r="I1063" s="4"/>
    </row>
    <row r="1064" spans="1:9" ht="15">
      <c r="A1064" s="21">
        <f t="shared" si="19"/>
        <v>104</v>
      </c>
      <c r="B1064" s="14" t="s">
        <v>1501</v>
      </c>
      <c r="C1064" s="85" t="str">
        <f ca="1">IFERROR(__xludf.DUMMYFUNCTION("GOOGLETRANSLATE(B1064:B1079,""RU"",""UK"")"),"Свердло 7,3Р6М5/7,4Р6М5")</f>
        <v>Свердло 7,3Р6М5/7,4Р6М5</v>
      </c>
      <c r="D1064" s="15" t="s">
        <v>6</v>
      </c>
      <c r="E1064" s="15" t="s">
        <v>1502</v>
      </c>
      <c r="F1064" s="91" t="s">
        <v>181</v>
      </c>
      <c r="G1064" s="4"/>
      <c r="H1064" s="4"/>
      <c r="I1064" s="4"/>
    </row>
    <row r="1065" spans="1:9" ht="15">
      <c r="A1065" s="21">
        <f t="shared" si="19"/>
        <v>105</v>
      </c>
      <c r="B1065" s="14" t="s">
        <v>1503</v>
      </c>
      <c r="C1065" s="85" t="str">
        <f ca="1">IFERROR(__xludf.DUMMYFUNCTION("GOOGLETRANSLATE(B1065:B1080,""RU"",""UK"")"),"Свердло 7,5Р6М5")</f>
        <v>Свердло 7,5Р6М5</v>
      </c>
      <c r="D1065" s="15" t="s">
        <v>6</v>
      </c>
      <c r="E1065" s="15">
        <v>86</v>
      </c>
      <c r="F1065" s="91" t="s">
        <v>257</v>
      </c>
      <c r="G1065" s="4"/>
      <c r="H1065" s="4"/>
      <c r="I1065" s="4"/>
    </row>
    <row r="1066" spans="1:9" ht="15">
      <c r="A1066" s="21">
        <f t="shared" si="19"/>
        <v>106</v>
      </c>
      <c r="B1066" s="57" t="s">
        <v>1504</v>
      </c>
      <c r="C1066" s="85" t="str">
        <f ca="1">IFERROR(__xludf.DUMMYFUNCTION("GOOGLETRANSLATE(B1066:B1081,""RU"",""UK"")"),"Свердло 7,5 Р6М5К5")</f>
        <v>Свердло 7,5 Р6М5К5</v>
      </c>
      <c r="D1066" s="58" t="s">
        <v>6</v>
      </c>
      <c r="E1066" s="58">
        <v>10</v>
      </c>
      <c r="F1066" s="102" t="s">
        <v>104</v>
      </c>
      <c r="G1066" s="4"/>
      <c r="H1066" s="4"/>
      <c r="I1066" s="4"/>
    </row>
    <row r="1067" spans="1:9" ht="15">
      <c r="A1067" s="21">
        <f t="shared" si="19"/>
        <v>107</v>
      </c>
      <c r="B1067" s="14" t="s">
        <v>1505</v>
      </c>
      <c r="C1067" s="85" t="str">
        <f ca="1">IFERROR(__xludf.DUMMYFUNCTION("GOOGLETRANSLATE(B1067:B1082,""RU"",""UK"")"),"Свердло 7,3х160удл Р6М5/7,5х150удл.Р6М5/7,6х160 удл Р6М5")</f>
        <v>Свердло 7,3х160удл Р6М5/7,5х150удл.Р6М5/7,6х160 удл Р6М5</v>
      </c>
      <c r="D1067" s="15" t="s">
        <v>6</v>
      </c>
      <c r="E1067" s="15" t="s">
        <v>1506</v>
      </c>
      <c r="F1067" s="91" t="s">
        <v>371</v>
      </c>
      <c r="G1067" s="4"/>
      <c r="H1067" s="4"/>
      <c r="I1067" s="4"/>
    </row>
    <row r="1068" spans="1:9" ht="15">
      <c r="A1068" s="21">
        <f t="shared" si="19"/>
        <v>108</v>
      </c>
      <c r="B1068" s="14" t="s">
        <v>1507</v>
      </c>
      <c r="C1068" s="85" t="str">
        <f ca="1">IFERROR(__xludf.DUMMYFUNCTION("GOOGLETRANSLATE(B1068:B1083,""RU"",""UK"")"),"Свердло 7,6 Р6М5/7,7 Р6М5")</f>
        <v>Свердло 7,6 Р6М5/7,7 Р6М5</v>
      </c>
      <c r="D1068" s="15" t="s">
        <v>6</v>
      </c>
      <c r="E1068" s="15" t="s">
        <v>1508</v>
      </c>
      <c r="F1068" s="91" t="s">
        <v>183</v>
      </c>
      <c r="G1068" s="4"/>
      <c r="H1068" s="4"/>
      <c r="I1068" s="4"/>
    </row>
    <row r="1069" spans="1:9" ht="15">
      <c r="A1069" s="21">
        <f t="shared" si="19"/>
        <v>109</v>
      </c>
      <c r="B1069" s="14" t="s">
        <v>1509</v>
      </c>
      <c r="C1069" s="85" t="str">
        <f ca="1">IFERROR(__xludf.DUMMYFUNCTION("GOOGLETRANSLATE(B1069:B1084,""RU"",""UK"")"),"Свердло 7,8 Р6М5/ 7,9 Р6М5")</f>
        <v>Свердло 7,8 Р6М5/ 7,9 Р6М5</v>
      </c>
      <c r="D1069" s="15" t="s">
        <v>6</v>
      </c>
      <c r="E1069" s="15" t="s">
        <v>1510</v>
      </c>
      <c r="F1069" s="91" t="s">
        <v>183</v>
      </c>
      <c r="G1069" s="4"/>
      <c r="H1069" s="4"/>
      <c r="I1069" s="4"/>
    </row>
    <row r="1070" spans="1:9" ht="15">
      <c r="A1070" s="21">
        <f t="shared" si="19"/>
        <v>110</v>
      </c>
      <c r="B1070" s="14" t="s">
        <v>1511</v>
      </c>
      <c r="C1070" s="85" t="str">
        <f ca="1">IFERROR(__xludf.DUMMYFUNCTION("GOOGLETRANSLATE(B1070:B1085,""RU"",""UK"")"),"Свердло 8,0Р9")</f>
        <v>Свердло 8,0Р9</v>
      </c>
      <c r="D1070" s="15" t="s">
        <v>6</v>
      </c>
      <c r="E1070" s="15">
        <v>5</v>
      </c>
      <c r="F1070" s="91" t="s">
        <v>181</v>
      </c>
      <c r="G1070" s="4"/>
      <c r="H1070" s="4"/>
      <c r="I1070" s="4"/>
    </row>
    <row r="1071" spans="1:9" ht="15">
      <c r="A1071" s="21">
        <f t="shared" si="19"/>
        <v>111</v>
      </c>
      <c r="B1071" s="14" t="s">
        <v>1512</v>
      </c>
      <c r="C1071" s="85" t="str">
        <f ca="1">IFERROR(__xludf.DUMMYFUNCTION("GOOGLETRANSLATE(B1071:B1086,""RU"",""UK"")"),"Свердло 8,0 Р6М5 СРСР")</f>
        <v>Свердло 8,0 Р6М5 СРСР</v>
      </c>
      <c r="D1071" s="15" t="s">
        <v>6</v>
      </c>
      <c r="E1071" s="15">
        <v>108</v>
      </c>
      <c r="F1071" s="91" t="s">
        <v>104</v>
      </c>
      <c r="G1071" s="4"/>
      <c r="H1071" s="4"/>
      <c r="I1071" s="4"/>
    </row>
    <row r="1072" spans="1:9" ht="15">
      <c r="A1072" s="21">
        <f t="shared" si="19"/>
        <v>112</v>
      </c>
      <c r="B1072" s="14" t="s">
        <v>1513</v>
      </c>
      <c r="C1072" s="85" t="str">
        <f ca="1">IFERROR(__xludf.DUMMYFUNCTION("GOOGLETRANSLATE(B1072:B1087,""RU"",""UK"")"),"Свердло 8,0 HSS (Р6М5) Аtaka")</f>
        <v>Свердло 8,0 HSS (Р6М5) Аtaka</v>
      </c>
      <c r="D1072" s="15" t="s">
        <v>6</v>
      </c>
      <c r="E1072" s="15">
        <v>10</v>
      </c>
      <c r="F1072" s="91" t="s">
        <v>564</v>
      </c>
      <c r="G1072" s="4"/>
      <c r="H1072" s="4"/>
      <c r="I1072" s="4"/>
    </row>
    <row r="1073" spans="1:9" ht="15">
      <c r="A1073" s="21">
        <f t="shared" si="19"/>
        <v>113</v>
      </c>
      <c r="B1073" s="14" t="s">
        <v>1514</v>
      </c>
      <c r="C1073" s="85" t="str">
        <f ca="1">IFERROR(__xludf.DUMMYFUNCTION("GOOGLETRANSLATE(B1073:B1088,""RU"",""UK"")"),"Свердло 8,1 Р6М5/8,2 Р6М5")</f>
        <v>Свердло 8,1 Р6М5/8,2 Р6М5</v>
      </c>
      <c r="D1073" s="15" t="s">
        <v>6</v>
      </c>
      <c r="E1073" s="15" t="s">
        <v>1515</v>
      </c>
      <c r="F1073" s="91" t="s">
        <v>614</v>
      </c>
      <c r="G1073" s="4"/>
      <c r="H1073" s="4"/>
      <c r="I1073" s="4"/>
    </row>
    <row r="1074" spans="1:9" ht="15">
      <c r="A1074" s="21">
        <f t="shared" si="19"/>
        <v>114</v>
      </c>
      <c r="B1074" s="19" t="s">
        <v>1516</v>
      </c>
      <c r="C1074" s="85" t="str">
        <f ca="1">IFERROR(__xludf.DUMMYFUNCTION("GOOGLETRANSLATE(B1074:B1089,""RU"",""UK"")"),"Свердло 8,2Р9")</f>
        <v>Свердло 8,2Р9</v>
      </c>
      <c r="D1074" s="15" t="s">
        <v>6</v>
      </c>
      <c r="E1074" s="15">
        <v>0</v>
      </c>
      <c r="F1074" s="91" t="s">
        <v>257</v>
      </c>
      <c r="G1074" s="4"/>
      <c r="H1074" s="4"/>
      <c r="I1074" s="4"/>
    </row>
    <row r="1075" spans="1:9" ht="15">
      <c r="A1075" s="21">
        <f t="shared" si="19"/>
        <v>115</v>
      </c>
      <c r="B1075" s="45" t="s">
        <v>1517</v>
      </c>
      <c r="C1075" s="85" t="str">
        <f ca="1">IFERROR(__xludf.DUMMYFUNCTION("GOOGLETRANSLATE(B1075:B1090,""RU"",""UK"")"),"Свердло 8,2 Р6М5К5")</f>
        <v>Свердло 8,2 Р6М5К5</v>
      </c>
      <c r="D1075" s="15" t="s">
        <v>6</v>
      </c>
      <c r="E1075" s="15">
        <v>20</v>
      </c>
      <c r="F1075" s="91" t="s">
        <v>1518</v>
      </c>
      <c r="G1075" s="4"/>
      <c r="H1075" s="4"/>
      <c r="I1075" s="4"/>
    </row>
    <row r="1076" spans="1:9" ht="15">
      <c r="A1076" s="21">
        <f t="shared" si="19"/>
        <v>116</v>
      </c>
      <c r="B1076" s="14" t="s">
        <v>1519</v>
      </c>
      <c r="C1076" s="85" t="str">
        <f ca="1">IFERROR(__xludf.DUMMYFUNCTION("GOOGLETRANSLATE(B1076:B1091,""RU"",""UK"")"),"Свердло 8,3 удл. Р6М5")</f>
        <v>Свердло 8,3 удл. Р6М5</v>
      </c>
      <c r="D1076" s="15" t="s">
        <v>6</v>
      </c>
      <c r="E1076" s="15">
        <v>5</v>
      </c>
      <c r="F1076" s="91" t="s">
        <v>104</v>
      </c>
      <c r="G1076" s="4"/>
      <c r="H1076" s="4"/>
      <c r="I1076" s="4"/>
    </row>
    <row r="1077" spans="1:9" ht="15">
      <c r="A1077" s="21">
        <f t="shared" si="19"/>
        <v>117</v>
      </c>
      <c r="B1077" s="16" t="s">
        <v>1520</v>
      </c>
      <c r="C1077" s="85" t="str">
        <f ca="1">IFERROR(__xludf.DUMMYFUNCTION("GOOGLETRANSLATE(B1077:B1092,""RU"",""UK"")"),"Свердло 8,3 Р6М5/8,4Р6М5")</f>
        <v>Свердло 8,3 Р6М5/8,4Р6М5</v>
      </c>
      <c r="D1077" s="15" t="s">
        <v>6</v>
      </c>
      <c r="E1077" s="15" t="s">
        <v>1521</v>
      </c>
      <c r="F1077" s="91" t="s">
        <v>104</v>
      </c>
      <c r="G1077" s="4"/>
      <c r="H1077" s="4"/>
      <c r="I1077" s="4"/>
    </row>
    <row r="1078" spans="1:9" ht="15">
      <c r="A1078" s="21">
        <f t="shared" si="19"/>
        <v>118</v>
      </c>
      <c r="B1078" s="14" t="s">
        <v>1522</v>
      </c>
      <c r="C1078" s="85" t="str">
        <f ca="1">IFERROR(__xludf.DUMMYFUNCTION("GOOGLETRANSLATE(B1078:B1093,""RU"",""UK"")"),"Свердло 8,5 Р9")</f>
        <v>Свердло 8,5 Р9</v>
      </c>
      <c r="D1078" s="15" t="s">
        <v>6</v>
      </c>
      <c r="E1078" s="15">
        <v>3</v>
      </c>
      <c r="F1078" s="91" t="s">
        <v>371</v>
      </c>
      <c r="G1078" s="4"/>
      <c r="H1078" s="4"/>
      <c r="I1078" s="4"/>
    </row>
    <row r="1079" spans="1:9" ht="15">
      <c r="A1079" s="21">
        <f t="shared" si="19"/>
        <v>119</v>
      </c>
      <c r="B1079" s="14" t="s">
        <v>1523</v>
      </c>
      <c r="C1079" s="85" t="str">
        <f ca="1">IFERROR(__xludf.DUMMYFUNCTION("GOOGLETRANSLATE(B1079:B1094,""RU"",""UK"")"),"Свердло 8,5 Р6М5 СРСР")</f>
        <v>Свердло 8,5 Р6М5 СРСР</v>
      </c>
      <c r="D1079" s="15" t="s">
        <v>6</v>
      </c>
      <c r="E1079" s="15">
        <v>63</v>
      </c>
      <c r="F1079" s="91" t="s">
        <v>338</v>
      </c>
      <c r="G1079" s="4"/>
      <c r="H1079" s="4"/>
      <c r="I1079" s="4"/>
    </row>
    <row r="1080" spans="1:9" ht="15">
      <c r="A1080" s="21">
        <f t="shared" si="19"/>
        <v>120</v>
      </c>
      <c r="B1080" s="14" t="s">
        <v>1524</v>
      </c>
      <c r="C1080" s="85" t="str">
        <f ca="1">IFERROR(__xludf.DUMMYFUNCTION("GOOGLETRANSLATE(B1080:B1095,""RU"",""UK"")"),"Свердло 8,4 х160удл. Р6М5/8,5х160удл Р6М5")</f>
        <v>Свердло 8,4 х160удл. Р6М5/8,5х160удл Р6М5</v>
      </c>
      <c r="D1080" s="15" t="s">
        <v>6</v>
      </c>
      <c r="E1080" s="15" t="s">
        <v>1525</v>
      </c>
      <c r="F1080" s="91" t="s">
        <v>194</v>
      </c>
      <c r="G1080" s="4"/>
      <c r="H1080" s="4"/>
      <c r="I1080" s="4"/>
    </row>
    <row r="1081" spans="1:9" ht="15">
      <c r="A1081" s="21">
        <f t="shared" si="19"/>
        <v>121</v>
      </c>
      <c r="B1081" s="14" t="s">
        <v>1526</v>
      </c>
      <c r="C1081" s="85" t="str">
        <f ca="1">IFERROR(__xludf.DUMMYFUNCTION("GOOGLETRANSLATE(B1081:B1096,""RU"",""UK"")"),"Свердло 8,5х270удл Р6М5/8,5х160(100)удл Р6М5А1")</f>
        <v>Свердло 8,5х270удл Р6М5/8,5х160(100)удл Р6М5А1</v>
      </c>
      <c r="D1081" s="15" t="s">
        <v>6</v>
      </c>
      <c r="E1081" s="15" t="s">
        <v>1527</v>
      </c>
      <c r="F1081" s="91" t="s">
        <v>348</v>
      </c>
      <c r="G1081" s="4"/>
      <c r="H1081" s="4"/>
      <c r="I1081" s="4"/>
    </row>
    <row r="1082" spans="1:9" ht="15">
      <c r="A1082" s="21">
        <f t="shared" si="19"/>
        <v>122</v>
      </c>
      <c r="B1082" s="14" t="s">
        <v>1528</v>
      </c>
      <c r="C1082" s="85" t="str">
        <f ca="1">IFERROR(__xludf.DUMMYFUNCTION("GOOGLETRANSLATE(B1082:B1097,""RU"",""UK"")"),"Свердло 8.6удл Р6М5")</f>
        <v>Свердло 8.6удл Р6М5</v>
      </c>
      <c r="D1082" s="15" t="s">
        <v>6</v>
      </c>
      <c r="E1082" s="15">
        <v>1</v>
      </c>
      <c r="F1082" s="91" t="s">
        <v>1518</v>
      </c>
      <c r="G1082" s="4"/>
      <c r="H1082" s="4"/>
      <c r="I1082" s="4"/>
    </row>
    <row r="1083" spans="1:9" ht="15">
      <c r="A1083" s="21">
        <f t="shared" si="19"/>
        <v>123</v>
      </c>
      <c r="B1083" s="14" t="s">
        <v>1529</v>
      </c>
      <c r="C1083" s="85" t="str">
        <f ca="1">IFERROR(__xludf.DUMMYFUNCTION("GOOGLETRANSLATE(B1083:B1098,""RU"",""UK"")"),"Свердло 8,6 Р6М5/8,7 Р6М5")</f>
        <v>Свердло 8,6 Р6М5/8,7 Р6М5</v>
      </c>
      <c r="D1083" s="15" t="s">
        <v>6</v>
      </c>
      <c r="E1083" s="15" t="s">
        <v>1530</v>
      </c>
      <c r="F1083" s="91" t="s">
        <v>338</v>
      </c>
      <c r="G1083" s="4"/>
      <c r="H1083" s="4"/>
      <c r="I1083" s="4"/>
    </row>
    <row r="1084" spans="1:9" ht="15">
      <c r="A1084" s="21">
        <f t="shared" si="19"/>
        <v>124</v>
      </c>
      <c r="B1084" s="14" t="s">
        <v>1531</v>
      </c>
      <c r="C1084" s="85" t="str">
        <f ca="1">IFERROR(__xludf.DUMMYFUNCTION("GOOGLETRANSLATE(B1084:B1099,""RU"",""UK"")"),"Свердло 8,7х170 Р6М5")</f>
        <v>Свердло 8,7х170 Р6М5</v>
      </c>
      <c r="D1084" s="15" t="s">
        <v>6</v>
      </c>
      <c r="E1084" s="15">
        <v>1</v>
      </c>
      <c r="F1084" s="91" t="s">
        <v>1518</v>
      </c>
      <c r="G1084" s="4"/>
      <c r="H1084" s="4"/>
      <c r="I1084" s="4"/>
    </row>
    <row r="1085" spans="1:9" ht="15">
      <c r="A1085" s="21">
        <f t="shared" si="19"/>
        <v>125</v>
      </c>
      <c r="B1085" s="14" t="s">
        <v>1532</v>
      </c>
      <c r="C1085" s="85" t="str">
        <f ca="1">IFERROR(__xludf.DUMMYFUNCTION("GOOGLETRANSLATE(B1085:B1100,""RU"",""UK"")"),"Свердло 8,8 Р6М5/8,9Р6М5")</f>
        <v>Свердло 8,8 Р6М5/8,9Р6М5</v>
      </c>
      <c r="D1085" s="15" t="s">
        <v>6</v>
      </c>
      <c r="E1085" s="15" t="s">
        <v>1533</v>
      </c>
      <c r="F1085" s="91" t="s">
        <v>338</v>
      </c>
      <c r="G1085" s="4"/>
      <c r="H1085" s="4"/>
      <c r="I1085" s="4"/>
    </row>
    <row r="1086" spans="1:9" ht="15">
      <c r="A1086" s="21">
        <f t="shared" si="19"/>
        <v>126</v>
      </c>
      <c r="B1086" s="14" t="s">
        <v>1534</v>
      </c>
      <c r="C1086" s="85" t="str">
        <f ca="1">IFERROR(__xludf.DUMMYFUNCTION("GOOGLETRANSLATE(B1086:B1101,""RU"",""UK"")"),"Свердло 8.9х170удл. Р6М5")</f>
        <v>Свердло 8.9х170удл. Р6М5</v>
      </c>
      <c r="D1086" s="15" t="s">
        <v>6</v>
      </c>
      <c r="E1086" s="15">
        <v>25</v>
      </c>
      <c r="F1086" s="91" t="s">
        <v>1518</v>
      </c>
      <c r="G1086" s="4"/>
      <c r="H1086" s="4"/>
      <c r="I1086" s="4"/>
    </row>
    <row r="1087" spans="1:9" ht="15">
      <c r="A1087" s="21">
        <f t="shared" si="19"/>
        <v>127</v>
      </c>
      <c r="B1087" s="14" t="s">
        <v>1535</v>
      </c>
      <c r="C1087" s="85" t="str">
        <f ca="1">IFERROR(__xludf.DUMMYFUNCTION("GOOGLETRANSLATE(B1087:B1102,""RU"",""UK"")"),"Свердло 9,0 Р9")</f>
        <v>Свердло 9,0 Р9</v>
      </c>
      <c r="D1087" s="15" t="s">
        <v>6</v>
      </c>
      <c r="E1087" s="15">
        <v>0</v>
      </c>
      <c r="F1087" s="91" t="s">
        <v>104</v>
      </c>
      <c r="G1087" s="4"/>
      <c r="H1087" s="4"/>
      <c r="I1087" s="4"/>
    </row>
    <row r="1088" spans="1:9" ht="15">
      <c r="A1088" s="21">
        <f t="shared" si="19"/>
        <v>128</v>
      </c>
      <c r="B1088" s="14" t="s">
        <v>1536</v>
      </c>
      <c r="C1088" s="85" t="str">
        <f ca="1">IFERROR(__xludf.DUMMYFUNCTION("GOOGLETRANSLATE(B1088:B1103,""RU"",""UK"")"),"Свердло 9,0 Р6М5/9,1Р6М5")</f>
        <v>Свердло 9,0 Р6М5/9,1Р6М5</v>
      </c>
      <c r="D1088" s="15" t="s">
        <v>6</v>
      </c>
      <c r="E1088" s="15" t="s">
        <v>1537</v>
      </c>
      <c r="F1088" s="91" t="s">
        <v>495</v>
      </c>
      <c r="G1088" s="4"/>
      <c r="H1088" s="4"/>
      <c r="I1088" s="4"/>
    </row>
    <row r="1089" spans="1:9" ht="15">
      <c r="A1089" s="21">
        <f t="shared" si="19"/>
        <v>129</v>
      </c>
      <c r="B1089" s="14" t="s">
        <v>1538</v>
      </c>
      <c r="C1089" s="85" t="str">
        <f ca="1">IFERROR(__xludf.DUMMYFUNCTION("GOOGLETRANSLATE(B1089:B1104,""RU"",""UK"")"),"Свердло 9,0х170-180 удл.Р6М5/9,0х300дл.Р6М5")</f>
        <v>Свердло 9,0х170-180 удл.Р6М5/9,0х300дл.Р6М5</v>
      </c>
      <c r="D1089" s="15" t="s">
        <v>6</v>
      </c>
      <c r="E1089" s="15" t="s">
        <v>1539</v>
      </c>
      <c r="F1089" s="91" t="s">
        <v>1518</v>
      </c>
      <c r="G1089" s="4"/>
      <c r="H1089" s="4"/>
      <c r="I1089" s="4"/>
    </row>
    <row r="1090" spans="1:9" ht="15">
      <c r="A1090" s="21">
        <f t="shared" si="19"/>
        <v>130</v>
      </c>
      <c r="B1090" s="14" t="s">
        <v>1540</v>
      </c>
      <c r="C1090" s="85" t="str">
        <f ca="1">IFERROR(__xludf.DUMMYFUNCTION("GOOGLETRANSLATE(B1090:B1105,""RU"",""UK"")"),"Свердло 9,2 Р6М5/9,3Р6М5")</f>
        <v>Свердло 9,2 Р6М5/9,3Р6М5</v>
      </c>
      <c r="D1090" s="15" t="s">
        <v>6</v>
      </c>
      <c r="E1090" s="15" t="s">
        <v>1541</v>
      </c>
      <c r="F1090" s="91" t="s">
        <v>495</v>
      </c>
      <c r="G1090" s="4"/>
      <c r="H1090" s="4"/>
      <c r="I1090" s="4"/>
    </row>
    <row r="1091" spans="1:9" ht="15">
      <c r="A1091" s="21">
        <f t="shared" ref="A1091:A1154" si="20">A1090+1</f>
        <v>131</v>
      </c>
      <c r="B1091" s="14" t="s">
        <v>1542</v>
      </c>
      <c r="C1091" s="85" t="str">
        <f ca="1">IFERROR(__xludf.DUMMYFUNCTION("GOOGLETRANSLATE(B1091:B1106,""RU"",""UK"")"),"Свердло 9,4 Р6М5/9,5Р6М5")</f>
        <v>Свердло 9,4 Р6М5/9,5Р6М5</v>
      </c>
      <c r="D1091" s="15" t="s">
        <v>6</v>
      </c>
      <c r="E1091" s="15" t="s">
        <v>1543</v>
      </c>
      <c r="F1091" s="91" t="s">
        <v>1544</v>
      </c>
      <c r="G1091" s="4"/>
      <c r="H1091" s="4"/>
      <c r="I1091" s="4"/>
    </row>
    <row r="1092" spans="1:9" ht="15">
      <c r="A1092" s="21">
        <f t="shared" si="20"/>
        <v>132</v>
      </c>
      <c r="B1092" s="14" t="s">
        <v>1545</v>
      </c>
      <c r="C1092" s="85" t="str">
        <f ca="1">IFERROR(__xludf.DUMMYFUNCTION("GOOGLETRANSLATE(B1092:B1107,""RU"",""UK"")"),"Свердло 9,3х200удл Р6М5/9,5удл. Р6М5 / 9,5 х170удл. Р6М5")</f>
        <v>Свердло 9,3х200удл Р6М5/9,5удл. Р6М5 / 9,5 х170удл. Р6М5</v>
      </c>
      <c r="D1092" s="15" t="s">
        <v>6</v>
      </c>
      <c r="E1092" s="15" t="s">
        <v>1546</v>
      </c>
      <c r="F1092" s="91" t="s">
        <v>1194</v>
      </c>
      <c r="G1092" s="4"/>
      <c r="H1092" s="4"/>
      <c r="I1092" s="4"/>
    </row>
    <row r="1093" spans="1:9" ht="15">
      <c r="A1093" s="21">
        <f t="shared" si="20"/>
        <v>133</v>
      </c>
      <c r="B1093" s="14" t="s">
        <v>1547</v>
      </c>
      <c r="C1093" s="85" t="str">
        <f ca="1">IFERROR(__xludf.DUMMYFUNCTION("GOOGLETRANSLATE(B1093:B1108,""RU"",""UK"")"),"Свердло 9,6 Р6М5/9,7Р6М5")</f>
        <v>Свердло 9,6 Р6М5/9,7Р6М5</v>
      </c>
      <c r="D1093" s="15" t="s">
        <v>6</v>
      </c>
      <c r="E1093" s="15" t="s">
        <v>1548</v>
      </c>
      <c r="F1093" s="91" t="s">
        <v>212</v>
      </c>
      <c r="G1093" s="4"/>
      <c r="H1093" s="4"/>
      <c r="I1093" s="4"/>
    </row>
    <row r="1094" spans="1:9" ht="15">
      <c r="A1094" s="21">
        <f t="shared" si="20"/>
        <v>134</v>
      </c>
      <c r="B1094" s="14" t="s">
        <v>1549</v>
      </c>
      <c r="C1094" s="85" t="str">
        <f ca="1">IFERROR(__xludf.DUMMYFUNCTION("GOOGLETRANSLATE(B1094:B1109,""RU"",""UK"")"),"Свердло 9,6 х185 (110) удл Р6М5 / 9,7 удл.Р6М5 / 9.8х180удл.Р6М5")</f>
        <v>Свердло 9,6 х185 (110) удл Р6М5 / 9,7 удл.Р6М5 / 9.8х180удл.Р6М5</v>
      </c>
      <c r="D1094" s="15" t="s">
        <v>6</v>
      </c>
      <c r="E1094" s="15" t="s">
        <v>1550</v>
      </c>
      <c r="F1094" s="91" t="s">
        <v>344</v>
      </c>
      <c r="G1094" s="4"/>
      <c r="H1094" s="4"/>
      <c r="I1094" s="4"/>
    </row>
    <row r="1095" spans="1:9" ht="15">
      <c r="A1095" s="21">
        <f t="shared" si="20"/>
        <v>135</v>
      </c>
      <c r="B1095" s="14" t="s">
        <v>1551</v>
      </c>
      <c r="C1095" s="85" t="str">
        <f ca="1">IFERROR(__xludf.DUMMYFUNCTION("GOOGLETRANSLATE(B1095:B1110,""RU"",""UK"")"),"Свердло 9,8 Р6М5/9,9Р6М5")</f>
        <v>Свердло 9,8 Р6М5/9,9Р6М5</v>
      </c>
      <c r="D1095" s="15" t="s">
        <v>6</v>
      </c>
      <c r="E1095" s="15" t="s">
        <v>1552</v>
      </c>
      <c r="F1095" s="91" t="s">
        <v>1553</v>
      </c>
      <c r="G1095" s="4"/>
      <c r="H1095" s="4"/>
      <c r="I1095" s="4"/>
    </row>
    <row r="1096" spans="1:9" ht="15">
      <c r="A1096" s="21">
        <f t="shared" si="20"/>
        <v>136</v>
      </c>
      <c r="B1096" s="14" t="s">
        <v>1554</v>
      </c>
      <c r="C1096" s="85" t="str">
        <f ca="1">IFERROR(__xludf.DUMMYFUNCTION("GOOGLETRANSLATE(B1096:B1111,""RU"",""UK"")"),"Свердло 10,0 Р6М5/10,1 Р6М5")</f>
        <v>Свердло 10,0 Р6М5/10,1 Р6М5</v>
      </c>
      <c r="D1096" s="15" t="s">
        <v>6</v>
      </c>
      <c r="E1096" s="15" t="s">
        <v>1555</v>
      </c>
      <c r="F1096" s="91" t="s">
        <v>344</v>
      </c>
      <c r="G1096" s="4"/>
      <c r="H1096" s="4"/>
      <c r="I1096" s="4"/>
    </row>
    <row r="1097" spans="1:9" ht="15">
      <c r="A1097" s="21">
        <f t="shared" si="20"/>
        <v>137</v>
      </c>
      <c r="B1097" s="16" t="s">
        <v>1556</v>
      </c>
      <c r="C1097" s="85" t="str">
        <f ca="1">IFERROR(__xludf.DUMMYFUNCTION("GOOGLETRANSLATE(B1097:B1112,""RU"",""UK"")"),"Свердло 10,0Р9")</f>
        <v>Свердло 10,0Р9</v>
      </c>
      <c r="D1097" s="15" t="s">
        <v>6</v>
      </c>
      <c r="E1097" s="15">
        <v>4</v>
      </c>
      <c r="F1097" s="91" t="s">
        <v>185</v>
      </c>
      <c r="G1097" s="4"/>
      <c r="H1097" s="4"/>
      <c r="I1097" s="4"/>
    </row>
    <row r="1098" spans="1:9" ht="15">
      <c r="A1098" s="21">
        <f t="shared" si="20"/>
        <v>138</v>
      </c>
      <c r="B1098" s="44" t="s">
        <v>1557</v>
      </c>
      <c r="C1098" s="85" t="str">
        <f ca="1">IFERROR(__xludf.DUMMYFUNCTION("GOOGLETRANSLATE(B1098:B1113,""RU"",""UK"")"),"Свердло 10,0Р6М5К5/Аtaka")</f>
        <v>Свердло 10,0Р6М5К5/Аtaka</v>
      </c>
      <c r="D1098" s="15" t="s">
        <v>6</v>
      </c>
      <c r="E1098" s="15" t="s">
        <v>1558</v>
      </c>
      <c r="F1098" s="91" t="s">
        <v>1559</v>
      </c>
      <c r="G1098" s="4"/>
      <c r="H1098" s="4"/>
      <c r="I1098" s="4"/>
    </row>
    <row r="1099" spans="1:9" ht="15">
      <c r="A1099" s="21">
        <f t="shared" si="20"/>
        <v>139</v>
      </c>
      <c r="B1099" s="14" t="s">
        <v>1560</v>
      </c>
      <c r="C1099" s="85" t="str">
        <f ca="1">IFERROR(__xludf.DUMMYFUNCTION("GOOGLETRANSLATE(B1099:B1114,""RU"",""UK"")"),"Свердло 10.1 удл Р6М5")</f>
        <v>Свердло 10.1 удл Р6М5</v>
      </c>
      <c r="D1099" s="15" t="s">
        <v>6</v>
      </c>
      <c r="E1099" s="15">
        <v>9</v>
      </c>
      <c r="F1099" s="91" t="s">
        <v>319</v>
      </c>
      <c r="G1099" s="4"/>
      <c r="H1099" s="4"/>
      <c r="I1099" s="4"/>
    </row>
    <row r="1100" spans="1:9" ht="15">
      <c r="A1100" s="21">
        <f t="shared" si="20"/>
        <v>140</v>
      </c>
      <c r="B1100" s="16" t="s">
        <v>1561</v>
      </c>
      <c r="C1100" s="85" t="str">
        <f ca="1">IFERROR(__xludf.DUMMYFUNCTION("GOOGLETRANSLATE(B1100:B1115,""RU"",""UK"")"),"Свердло 10,2Р6М5")</f>
        <v>Свердло 10,2Р6М5</v>
      </c>
      <c r="D1100" s="15" t="s">
        <v>6</v>
      </c>
      <c r="E1100" s="15">
        <v>74</v>
      </c>
      <c r="F1100" s="91" t="s">
        <v>344</v>
      </c>
      <c r="G1100" s="4"/>
      <c r="H1100" s="4"/>
      <c r="I1100" s="4"/>
    </row>
    <row r="1101" spans="1:9" ht="15">
      <c r="A1101" s="21">
        <f t="shared" si="20"/>
        <v>141</v>
      </c>
      <c r="B1101" s="44" t="s">
        <v>1562</v>
      </c>
      <c r="C1101" s="85" t="str">
        <f ca="1">IFERROR(__xludf.DUMMYFUNCTION("GOOGLETRANSLATE(B1101:B1116,""RU"",""UK"")"),"Свердло 10,2 Р6М5К5/А1 булат")</f>
        <v>Свердло 10,2 Р6М5К5/А1 булат</v>
      </c>
      <c r="D1101" s="15" t="s">
        <v>6</v>
      </c>
      <c r="E1101" s="15" t="s">
        <v>1198</v>
      </c>
      <c r="F1101" s="91" t="s">
        <v>119</v>
      </c>
      <c r="G1101" s="4"/>
      <c r="H1101" s="4"/>
      <c r="I1101" s="4"/>
    </row>
    <row r="1102" spans="1:9" ht="15">
      <c r="A1102" s="21">
        <f t="shared" si="20"/>
        <v>142</v>
      </c>
      <c r="B1102" s="14" t="s">
        <v>1563</v>
      </c>
      <c r="C1102" s="85" t="str">
        <f ca="1">IFERROR(__xludf.DUMMYFUNCTION("GOOGLETRANSLATE(B1102:B1117,""RU"",""UK"")"),"Свердло 10.2х180удл Р6М5")</f>
        <v>Свердло 10.2х180удл Р6М5</v>
      </c>
      <c r="D1102" s="15" t="s">
        <v>6</v>
      </c>
      <c r="E1102" s="15">
        <v>74</v>
      </c>
      <c r="F1102" s="91" t="s">
        <v>353</v>
      </c>
      <c r="G1102" s="4"/>
      <c r="H1102" s="4"/>
      <c r="I1102" s="4"/>
    </row>
    <row r="1103" spans="1:9" ht="15">
      <c r="A1103" s="21">
        <f t="shared" si="20"/>
        <v>143</v>
      </c>
      <c r="B1103" s="16" t="s">
        <v>1564</v>
      </c>
      <c r="C1103" s="85" t="str">
        <f ca="1">IFERROR(__xludf.DUMMYFUNCTION("GOOGLETRANSLATE(B1103:B1118,""RU"",""UK"")"),"Свердло 10,3 Р6М5/10,4Р6М5")</f>
        <v>Свердло 10,3 Р6М5/10,4Р6М5</v>
      </c>
      <c r="D1103" s="15" t="s">
        <v>6</v>
      </c>
      <c r="E1103" s="15" t="s">
        <v>1565</v>
      </c>
      <c r="F1103" s="91" t="s">
        <v>344</v>
      </c>
      <c r="G1103" s="4"/>
      <c r="H1103" s="4"/>
      <c r="I1103" s="4"/>
    </row>
    <row r="1104" spans="1:9" ht="15">
      <c r="A1104" s="21">
        <f t="shared" si="20"/>
        <v>144</v>
      </c>
      <c r="B1104" s="14" t="s">
        <v>1566</v>
      </c>
      <c r="C1104" s="85" t="str">
        <f ca="1">IFERROR(__xludf.DUMMYFUNCTION("GOOGLETRANSLATE(B1104:B1119,""RU"",""UK"")"),"Свердло 10,5Р9")</f>
        <v>Свердло 10,5Р9</v>
      </c>
      <c r="D1104" s="15" t="s">
        <v>6</v>
      </c>
      <c r="E1104" s="15">
        <v>8</v>
      </c>
      <c r="F1104" s="91" t="s">
        <v>1518</v>
      </c>
      <c r="G1104" s="4"/>
      <c r="H1104" s="4"/>
      <c r="I1104" s="4"/>
    </row>
    <row r="1105" spans="1:9" ht="15">
      <c r="A1105" s="21">
        <f t="shared" si="20"/>
        <v>145</v>
      </c>
      <c r="B1105" s="14" t="s">
        <v>1567</v>
      </c>
      <c r="C1105" s="85" t="str">
        <f ca="1">IFERROR(__xludf.DUMMYFUNCTION("GOOGLETRANSLATE(B1105:B1120,""RU"",""UK"")"),"Свердло 10.5Р6М5")</f>
        <v>Свердло 10.5Р6М5</v>
      </c>
      <c r="D1105" s="15" t="s">
        <v>6</v>
      </c>
      <c r="E1105" s="15">
        <v>159</v>
      </c>
      <c r="F1105" s="91" t="s">
        <v>319</v>
      </c>
      <c r="G1105" s="4"/>
      <c r="H1105" s="4"/>
      <c r="I1105" s="4"/>
    </row>
    <row r="1106" spans="1:9" ht="15">
      <c r="A1106" s="21">
        <f t="shared" si="20"/>
        <v>146</v>
      </c>
      <c r="B1106" s="14" t="s">
        <v>1568</v>
      </c>
      <c r="C1106" s="85" t="str">
        <f ca="1">IFERROR(__xludf.DUMMYFUNCTION("GOOGLETRANSLATE(B1106:B1121,""RU"",""UK"")"),"Свердло 10.5 HSS-G (P12) BOСSH")</f>
        <v>Свердло 10.5 HSS-G (P12) BOСSH</v>
      </c>
      <c r="D1106" s="15" t="s">
        <v>6</v>
      </c>
      <c r="E1106" s="15">
        <v>21</v>
      </c>
      <c r="F1106" s="91" t="s">
        <v>319</v>
      </c>
      <c r="G1106" s="4"/>
      <c r="H1106" s="4"/>
      <c r="I1106" s="4"/>
    </row>
    <row r="1107" spans="1:9" ht="15">
      <c r="A1107" s="21">
        <f t="shared" si="20"/>
        <v>147</v>
      </c>
      <c r="B1107" s="14" t="s">
        <v>1569</v>
      </c>
      <c r="C1107" s="85" t="str">
        <f ca="1">IFERROR(__xludf.DUMMYFUNCTION("GOOGLETRANSLATE(B1107:B1122,""RU"",""UK"")"),"Свердло 10,5 х220дл. Р6М5")</f>
        <v>Свердло 10,5 х220дл. Р6М5</v>
      </c>
      <c r="D1107" s="15" t="s">
        <v>6</v>
      </c>
      <c r="E1107" s="15">
        <v>66</v>
      </c>
      <c r="F1107" s="91" t="s">
        <v>1570</v>
      </c>
      <c r="G1107" s="4"/>
      <c r="H1107" s="4"/>
      <c r="I1107" s="4"/>
    </row>
    <row r="1108" spans="1:9" ht="15">
      <c r="A1108" s="21">
        <f t="shared" si="20"/>
        <v>148</v>
      </c>
      <c r="B1108" s="44" t="s">
        <v>1571</v>
      </c>
      <c r="C1108" s="85" t="str">
        <f ca="1">IFERROR(__xludf.DUMMYFUNCTION("GOOGLETRANSLATE(B1108:B1123,""RU"",""UK"")"),"Свердло 10,6 Р6М5К5")</f>
        <v>Свердло 10,6 Р6М5К5</v>
      </c>
      <c r="D1108" s="15" t="s">
        <v>6</v>
      </c>
      <c r="E1108" s="15">
        <v>85</v>
      </c>
      <c r="F1108" s="91" t="s">
        <v>119</v>
      </c>
      <c r="G1108" s="4"/>
      <c r="H1108" s="4"/>
      <c r="I1108" s="4"/>
    </row>
    <row r="1109" spans="1:9" ht="15">
      <c r="A1109" s="21">
        <f t="shared" si="20"/>
        <v>149</v>
      </c>
      <c r="B1109" s="14" t="s">
        <v>1572</v>
      </c>
      <c r="C1109" s="85" t="str">
        <f ca="1">IFERROR(__xludf.DUMMYFUNCTION("GOOGLETRANSLATE(B1109:B1124,""RU"",""UK"")"),"Свердло 10,6Р6М5/10,7Р6М5")</f>
        <v>Свердло 10,6Р6М5/10,7Р6М5</v>
      </c>
      <c r="D1109" s="15" t="s">
        <v>6</v>
      </c>
      <c r="E1109" s="15" t="s">
        <v>1573</v>
      </c>
      <c r="F1109" s="91" t="s">
        <v>319</v>
      </c>
      <c r="G1109" s="4"/>
      <c r="H1109" s="4"/>
      <c r="I1109" s="4"/>
    </row>
    <row r="1110" spans="1:9" ht="15">
      <c r="A1110" s="21">
        <f t="shared" si="20"/>
        <v>150</v>
      </c>
      <c r="B1110" s="14" t="s">
        <v>1574</v>
      </c>
      <c r="C1110" s="85" t="str">
        <f ca="1">IFERROR(__xludf.DUMMYFUNCTION("GOOGLETRANSLATE(B1110:B1125,""RU"",""UK"")"),"Свердло 10,8 Р6М5 / 10,9 Р6М5")</f>
        <v>Свердло 10,8 Р6М5 / 10,9 Р6М5</v>
      </c>
      <c r="D1110" s="15" t="s">
        <v>6</v>
      </c>
      <c r="E1110" s="15" t="s">
        <v>1575</v>
      </c>
      <c r="F1110" s="91" t="s">
        <v>346</v>
      </c>
      <c r="G1110" s="4"/>
      <c r="H1110" s="4"/>
      <c r="I1110" s="4"/>
    </row>
    <row r="1111" spans="1:9" ht="15">
      <c r="A1111" s="21">
        <f t="shared" si="20"/>
        <v>151</v>
      </c>
      <c r="B1111" s="14" t="s">
        <v>1576</v>
      </c>
      <c r="C1111" s="85" t="str">
        <f ca="1">IFERROR(__xludf.DUMMYFUNCTION("GOOGLETRANSLATE(B1111:B1126,""RU"",""UK"")"),"Свердло 10,7 х190удл Р6М5 / 10.8удл.Р6М5")</f>
        <v>Свердло 10,7 х190удл Р6М5 / 10.8удл.Р6М5</v>
      </c>
      <c r="D1111" s="15" t="s">
        <v>6</v>
      </c>
      <c r="E1111" s="15" t="s">
        <v>1577</v>
      </c>
      <c r="F1111" s="91" t="s">
        <v>1570</v>
      </c>
      <c r="G1111" s="4"/>
      <c r="H1111" s="4"/>
      <c r="I1111" s="4"/>
    </row>
    <row r="1112" spans="1:9" ht="15">
      <c r="A1112" s="21">
        <f t="shared" si="20"/>
        <v>152</v>
      </c>
      <c r="B1112" s="16" t="s">
        <v>1578</v>
      </c>
      <c r="C1112" s="85" t="str">
        <f ca="1">IFERROR(__xludf.DUMMYFUNCTION("GOOGLETRANSLATE(B1112:B1127,""RU"",""UK"")"),"Свердло 11,0 Р9")</f>
        <v>Свердло 11,0 Р9</v>
      </c>
      <c r="D1112" s="15" t="s">
        <v>6</v>
      </c>
      <c r="E1112" s="15">
        <v>7</v>
      </c>
      <c r="F1112" s="91" t="s">
        <v>346</v>
      </c>
      <c r="G1112" s="4"/>
      <c r="H1112" s="4"/>
      <c r="I1112" s="4"/>
    </row>
    <row r="1113" spans="1:9" ht="15">
      <c r="A1113" s="21">
        <f t="shared" si="20"/>
        <v>153</v>
      </c>
      <c r="B1113" s="16" t="s">
        <v>1579</v>
      </c>
      <c r="C1113" s="85" t="str">
        <f ca="1">IFERROR(__xludf.DUMMYFUNCTION("GOOGLETRANSLATE(B1113:B1128,""RU"",""UK"")"),"Свердло 11,0 Р6М5/11.1 Р6М5")</f>
        <v>Свердло 11,0 Р6М5/11.1 Р6М5</v>
      </c>
      <c r="D1113" s="15" t="s">
        <v>6</v>
      </c>
      <c r="E1113" s="15" t="s">
        <v>1580</v>
      </c>
      <c r="F1113" s="91" t="s">
        <v>317</v>
      </c>
      <c r="G1113" s="4"/>
      <c r="H1113" s="4"/>
      <c r="I1113" s="4"/>
    </row>
    <row r="1114" spans="1:9" ht="15">
      <c r="A1114" s="21">
        <f t="shared" si="20"/>
        <v>154</v>
      </c>
      <c r="B1114" s="44" t="s">
        <v>1581</v>
      </c>
      <c r="C1114" s="85" t="str">
        <f ca="1">IFERROR(__xludf.DUMMYFUNCTION("GOOGLETRANSLATE(B1114:B1129,""RU"",""UK"")"),"Свердло 11,0 Р6М5К5/Аtaka")</f>
        <v>Свердло 11,0 Р6М5К5/Аtaka</v>
      </c>
      <c r="D1114" s="15" t="s">
        <v>6</v>
      </c>
      <c r="E1114" s="15" t="s">
        <v>774</v>
      </c>
      <c r="F1114" s="91" t="s">
        <v>327</v>
      </c>
      <c r="G1114" s="4"/>
      <c r="H1114" s="4"/>
      <c r="I1114" s="4"/>
    </row>
    <row r="1115" spans="1:9" ht="15">
      <c r="A1115" s="21">
        <f t="shared" si="20"/>
        <v>155</v>
      </c>
      <c r="B1115" s="14" t="s">
        <v>1582</v>
      </c>
      <c r="C1115" s="85" t="str">
        <f ca="1">IFERROR(__xludf.DUMMYFUNCTION("GOOGLETRANSLATE(B1115:B1130,""RU"",""UK"")"),"Свердло 11.0х195удл. Р6М5")</f>
        <v>Свердло 11.0х195удл. Р6М5</v>
      </c>
      <c r="D1115" s="15" t="s">
        <v>6</v>
      </c>
      <c r="E1115" s="15">
        <v>110</v>
      </c>
      <c r="F1115" s="91" t="s">
        <v>119</v>
      </c>
      <c r="G1115" s="4"/>
      <c r="H1115" s="4"/>
      <c r="I1115" s="4"/>
    </row>
    <row r="1116" spans="1:9" ht="15">
      <c r="A1116" s="21">
        <f t="shared" si="20"/>
        <v>156</v>
      </c>
      <c r="B1116" s="14" t="s">
        <v>1583</v>
      </c>
      <c r="C1116" s="85" t="str">
        <f ca="1">IFERROR(__xludf.DUMMYFUNCTION("GOOGLETRANSLATE(B1116:B1131,""RU"",""UK"")"),"Свердло 11.2 Р6М5/11,3Р6М5")</f>
        <v>Свердло 11.2 Р6М5/11,3Р6М5</v>
      </c>
      <c r="D1116" s="15" t="s">
        <v>6</v>
      </c>
      <c r="E1116" s="15" t="s">
        <v>1584</v>
      </c>
      <c r="F1116" s="91" t="s">
        <v>1585</v>
      </c>
      <c r="G1116" s="4"/>
      <c r="H1116" s="4"/>
      <c r="I1116" s="4"/>
    </row>
    <row r="1117" spans="1:9" ht="15">
      <c r="A1117" s="21">
        <f t="shared" si="20"/>
        <v>157</v>
      </c>
      <c r="B1117" s="14" t="s">
        <v>1586</v>
      </c>
      <c r="C1117" s="85" t="str">
        <f ca="1">IFERROR(__xludf.DUMMYFUNCTION("GOOGLETRANSLATE(B1117:B1132,""RU"",""UK"")"),"Свердло 11,4 удл Р6М5")</f>
        <v>Свердло 11,4 удл Р6М5</v>
      </c>
      <c r="D1117" s="15" t="s">
        <v>6</v>
      </c>
      <c r="E1117" s="15">
        <v>5</v>
      </c>
      <c r="F1117" s="91" t="s">
        <v>1559</v>
      </c>
      <c r="G1117" s="4"/>
      <c r="H1117" s="4"/>
      <c r="I1117" s="4"/>
    </row>
    <row r="1118" spans="1:9" ht="15">
      <c r="A1118" s="21">
        <f t="shared" si="20"/>
        <v>158</v>
      </c>
      <c r="B1118" s="16" t="s">
        <v>1587</v>
      </c>
      <c r="C1118" s="85" t="str">
        <f ca="1">IFERROR(__xludf.DUMMYFUNCTION("GOOGLETRANSLATE(B1118:B1133,""RU"",""UK"")"),"Свердло 11,5Р9")</f>
        <v>Свердло 11,5Р9</v>
      </c>
      <c r="D1118" s="15" t="s">
        <v>6</v>
      </c>
      <c r="E1118" s="15">
        <v>5</v>
      </c>
      <c r="F1118" s="91" t="s">
        <v>1585</v>
      </c>
      <c r="G1118" s="4"/>
      <c r="H1118" s="4"/>
      <c r="I1118" s="4"/>
    </row>
    <row r="1119" spans="1:9" ht="15">
      <c r="A1119" s="21">
        <f t="shared" si="20"/>
        <v>159</v>
      </c>
      <c r="B1119" s="16" t="s">
        <v>1588</v>
      </c>
      <c r="C1119" s="85" t="str">
        <f ca="1">IFERROR(__xludf.DUMMYFUNCTION("GOOGLETRANSLATE(B1119:B1134,""RU"",""UK"")"),"Свердло 11,5Р6М5/11,6Р6М5")</f>
        <v>Свердло 11,5Р6М5/11,6Р6М5</v>
      </c>
      <c r="D1119" s="15" t="s">
        <v>6</v>
      </c>
      <c r="E1119" s="15" t="s">
        <v>1589</v>
      </c>
      <c r="F1119" s="91" t="s">
        <v>1320</v>
      </c>
      <c r="G1119" s="4"/>
      <c r="H1119" s="4"/>
      <c r="I1119" s="4"/>
    </row>
    <row r="1120" spans="1:9" ht="15">
      <c r="A1120" s="21">
        <f t="shared" si="20"/>
        <v>160</v>
      </c>
      <c r="B1120" s="14" t="s">
        <v>1590</v>
      </c>
      <c r="C1120" s="85" t="str">
        <f ca="1">IFERROR(__xludf.DUMMYFUNCTION("GOOGLETRANSLATE(B1120:B1135,""RU"",""UK"")"),"Свердло 11,5 х190 удл Р6М5/ 11,8 удл.Р6М5")</f>
        <v>Свердло 11,5 х190 удл Р6М5/ 11,8 удл.Р6М5</v>
      </c>
      <c r="D1120" s="15" t="s">
        <v>6</v>
      </c>
      <c r="E1120" s="15" t="s">
        <v>1591</v>
      </c>
      <c r="F1120" s="91" t="s">
        <v>119</v>
      </c>
      <c r="G1120" s="4"/>
      <c r="H1120" s="4"/>
      <c r="I1120" s="4"/>
    </row>
    <row r="1121" spans="1:9" ht="15">
      <c r="A1121" s="21">
        <f t="shared" si="20"/>
        <v>161</v>
      </c>
      <c r="B1121" s="16" t="s">
        <v>1592</v>
      </c>
      <c r="C1121" s="85" t="str">
        <f ca="1">IFERROR(__xludf.DUMMYFUNCTION("GOOGLETRANSLATE(B1121:B1136,""RU"",""UK"")"),"Свердло 12,0Р9")</f>
        <v>Свердло 12,0Р9</v>
      </c>
      <c r="D1121" s="15" t="s">
        <v>6</v>
      </c>
      <c r="E1121" s="15">
        <v>0</v>
      </c>
      <c r="F1121" s="91" t="s">
        <v>567</v>
      </c>
      <c r="G1121" s="4"/>
      <c r="H1121" s="4"/>
      <c r="I1121" s="4"/>
    </row>
    <row r="1122" spans="1:9" ht="15">
      <c r="A1122" s="21">
        <f t="shared" si="20"/>
        <v>162</v>
      </c>
      <c r="B1122" s="16" t="s">
        <v>1593</v>
      </c>
      <c r="C1122" s="85" t="str">
        <f ca="1">IFERROR(__xludf.DUMMYFUNCTION("GOOGLETRANSLATE(B1122:B1137,""RU"",""UK"")"),"Свердло 12,0Р6М5")</f>
        <v>Свердло 12,0Р6М5</v>
      </c>
      <c r="D1122" s="15" t="s">
        <v>6</v>
      </c>
      <c r="E1122" s="15">
        <v>3</v>
      </c>
      <c r="F1122" s="91" t="s">
        <v>1559</v>
      </c>
      <c r="G1122" s="4"/>
      <c r="H1122" s="4"/>
      <c r="I1122" s="4"/>
    </row>
    <row r="1123" spans="1:9" ht="15">
      <c r="A1123" s="21">
        <f t="shared" si="20"/>
        <v>163</v>
      </c>
      <c r="B1123" s="45" t="s">
        <v>1594</v>
      </c>
      <c r="C1123" s="85" t="str">
        <f ca="1">IFERROR(__xludf.DUMMYFUNCTION("GOOGLETRANSLATE(B1123:B1138,""RU"",""UK"")"),"Свердло 12,0Р6М5К5")</f>
        <v>Свердло 12,0Р6М5К5</v>
      </c>
      <c r="D1123" s="15" t="s">
        <v>6</v>
      </c>
      <c r="E1123" s="15">
        <v>7</v>
      </c>
      <c r="F1123" s="91" t="s">
        <v>1595</v>
      </c>
      <c r="G1123" s="4"/>
      <c r="H1123" s="4"/>
      <c r="I1123" s="4"/>
    </row>
    <row r="1124" spans="1:9" ht="15">
      <c r="A1124" s="21">
        <f t="shared" si="20"/>
        <v>164</v>
      </c>
      <c r="B1124" s="16" t="s">
        <v>1596</v>
      </c>
      <c r="C1124" s="85" t="str">
        <f ca="1">IFERROR(__xludf.DUMMYFUNCTION("GOOGLETRANSLATE(B1124:B1139,""RU"",""UK"")"),"Свердло 12,2Р9/12,2Р6М5")</f>
        <v>Свердло 12,2Р9/12,2Р6М5</v>
      </c>
      <c r="D1124" s="15" t="s">
        <v>6</v>
      </c>
      <c r="E1124" s="15">
        <v>-2</v>
      </c>
      <c r="F1124" s="91" t="s">
        <v>1559</v>
      </c>
      <c r="G1124" s="4"/>
      <c r="H1124" s="4"/>
      <c r="I1124" s="4"/>
    </row>
    <row r="1125" spans="1:9" ht="15">
      <c r="A1125" s="21">
        <f t="shared" si="20"/>
        <v>165</v>
      </c>
      <c r="B1125" s="14" t="s">
        <v>1597</v>
      </c>
      <c r="C1125" s="85" t="str">
        <f ca="1">IFERROR(__xludf.DUMMYFUNCTION("GOOGLETRANSLATE(B1125:B1140,""RU"",""UK"")"),"Свердло 12,3 Р6М5/12,4 Р6М5")</f>
        <v>Свердло 12,3 Р6М5/12,4 Р6М5</v>
      </c>
      <c r="D1125" s="15" t="s">
        <v>6</v>
      </c>
      <c r="E1125" s="15" t="s">
        <v>825</v>
      </c>
      <c r="F1125" s="91" t="s">
        <v>1559</v>
      </c>
      <c r="G1125" s="4"/>
      <c r="H1125" s="4"/>
      <c r="I1125" s="4"/>
    </row>
    <row r="1126" spans="1:9" ht="15">
      <c r="A1126" s="21">
        <f t="shared" si="20"/>
        <v>166</v>
      </c>
      <c r="B1126" s="16" t="s">
        <v>1598</v>
      </c>
      <c r="C1126" s="85" t="str">
        <f ca="1">IFERROR(__xludf.DUMMYFUNCTION("GOOGLETRANSLATE(B1126:B1141,""RU"",""UK"")"),"Свердло 12,5 Р6М5/12,6Р6М5")</f>
        <v>Свердло 12,5 Р6М5/12,6Р6М5</v>
      </c>
      <c r="D1126" s="15" t="s">
        <v>6</v>
      </c>
      <c r="E1126" s="15" t="s">
        <v>1599</v>
      </c>
      <c r="F1126" s="91" t="s">
        <v>1559</v>
      </c>
      <c r="G1126" s="4"/>
      <c r="H1126" s="4"/>
      <c r="I1126" s="4"/>
    </row>
    <row r="1127" spans="1:9" ht="15">
      <c r="A1127" s="21">
        <f t="shared" si="20"/>
        <v>167</v>
      </c>
      <c r="B1127" s="45" t="s">
        <v>1600</v>
      </c>
      <c r="C1127" s="85" t="str">
        <f ca="1">IFERROR(__xludf.DUMMYFUNCTION("GOOGLETRANSLATE(B1127:B1142,""RU"",""UK"")"),"Свердло 12,5 Р6М5К5")</f>
        <v>Свердло 12,5 Р6М5К5</v>
      </c>
      <c r="D1127" s="15" t="s">
        <v>6</v>
      </c>
      <c r="E1127" s="15">
        <v>2</v>
      </c>
      <c r="F1127" s="91" t="s">
        <v>1595</v>
      </c>
      <c r="G1127" s="4"/>
      <c r="H1127" s="4"/>
      <c r="I1127" s="4"/>
    </row>
    <row r="1128" spans="1:9" ht="15">
      <c r="A1128" s="21">
        <f t="shared" si="20"/>
        <v>168</v>
      </c>
      <c r="B1128" s="14" t="s">
        <v>1601</v>
      </c>
      <c r="C1128" s="85" t="str">
        <f ca="1">IFERROR(__xludf.DUMMYFUNCTION("GOOGLETRANSLATE(B1128:B1143,""RU"",""UK"")"),"Свердло 12,5 200(120) Р6М5")</f>
        <v>Свердло 12,5 200(120) Р6М5</v>
      </c>
      <c r="D1128" s="15" t="s">
        <v>6</v>
      </c>
      <c r="E1128" s="15">
        <v>5</v>
      </c>
      <c r="F1128" s="91" t="s">
        <v>222</v>
      </c>
      <c r="G1128" s="4"/>
      <c r="H1128" s="4"/>
      <c r="I1128" s="4"/>
    </row>
    <row r="1129" spans="1:9" ht="15">
      <c r="A1129" s="21">
        <f t="shared" si="20"/>
        <v>169</v>
      </c>
      <c r="B1129" s="14" t="s">
        <v>1602</v>
      </c>
      <c r="C1129" s="85" t="str">
        <f ca="1">IFERROR(__xludf.DUMMYFUNCTION("GOOGLETRANSLATE(B1129:B1144,""RU"",""UK"")"),"Свердло 12,7 Р6М5/12,8Р6М5")</f>
        <v>Свердло 12,7 Р6М5/12,8Р6М5</v>
      </c>
      <c r="D1129" s="15" t="s">
        <v>6</v>
      </c>
      <c r="E1129" s="15" t="s">
        <v>1603</v>
      </c>
      <c r="F1129" s="91" t="s">
        <v>265</v>
      </c>
      <c r="G1129" s="4"/>
      <c r="H1129" s="4"/>
      <c r="I1129" s="4"/>
    </row>
    <row r="1130" spans="1:9" ht="15">
      <c r="A1130" s="21">
        <f t="shared" si="20"/>
        <v>170</v>
      </c>
      <c r="B1130" s="14" t="s">
        <v>1604</v>
      </c>
      <c r="C1130" s="85" t="str">
        <f ca="1">IFERROR(__xludf.DUMMYFUNCTION("GOOGLETRANSLATE(B1130:B1145,""RU"",""UK"")"),"Свердло 12,8 удл.Р6М5")</f>
        <v>Свердло 12,8 удл.Р6М5</v>
      </c>
      <c r="D1130" s="15" t="s">
        <v>6</v>
      </c>
      <c r="E1130" s="15" t="s">
        <v>1605</v>
      </c>
      <c r="F1130" s="91" t="s">
        <v>222</v>
      </c>
      <c r="G1130" s="4"/>
      <c r="H1130" s="4"/>
      <c r="I1130" s="4"/>
    </row>
    <row r="1131" spans="1:9" ht="15">
      <c r="A1131" s="21">
        <f t="shared" si="20"/>
        <v>171</v>
      </c>
      <c r="B1131" s="16" t="s">
        <v>1606</v>
      </c>
      <c r="C1131" s="85" t="str">
        <f ca="1">IFERROR(__xludf.DUMMYFUNCTION("GOOGLETRANSLATE(B1131:B1146,""RU"",""UK"")"),"Свердло 13,0Р9")</f>
        <v>Свердло 13,0Р9</v>
      </c>
      <c r="D1131" s="15" t="s">
        <v>6</v>
      </c>
      <c r="E1131" s="15">
        <v>5</v>
      </c>
      <c r="F1131" s="91" t="s">
        <v>351</v>
      </c>
      <c r="G1131" s="4"/>
      <c r="H1131" s="4"/>
      <c r="I1131" s="4"/>
    </row>
    <row r="1132" spans="1:9" ht="15">
      <c r="A1132" s="21">
        <f t="shared" si="20"/>
        <v>172</v>
      </c>
      <c r="B1132" s="16" t="s">
        <v>1607</v>
      </c>
      <c r="C1132" s="85" t="str">
        <f ca="1">IFERROR(__xludf.DUMMYFUNCTION("GOOGLETRANSLATE(B1132:B1147,""RU"",""UK"")"),"Свердло 13.0Р6М5")</f>
        <v>Свердло 13.0Р6М5</v>
      </c>
      <c r="D1132" s="15" t="s">
        <v>6</v>
      </c>
      <c r="E1132" s="15">
        <v>11</v>
      </c>
      <c r="F1132" s="91" t="s">
        <v>222</v>
      </c>
      <c r="G1132" s="4"/>
      <c r="H1132" s="4"/>
      <c r="I1132" s="4"/>
    </row>
    <row r="1133" spans="1:9" ht="15">
      <c r="A1133" s="21">
        <f t="shared" si="20"/>
        <v>173</v>
      </c>
      <c r="B1133" s="45" t="s">
        <v>1608</v>
      </c>
      <c r="C1133" s="85" t="str">
        <f ca="1">IFERROR(__xludf.DUMMYFUNCTION("GOOGLETRANSLATE(B1133:B1148,""RU"",""UK"")"),"Свердло 13,0Р6М5К5/Аtaka")</f>
        <v>Свердло 13,0Р6М5К5/Аtaka</v>
      </c>
      <c r="D1133" s="15" t="s">
        <v>6</v>
      </c>
      <c r="E1133" s="15" t="s">
        <v>1609</v>
      </c>
      <c r="F1133" s="91" t="s">
        <v>159</v>
      </c>
      <c r="G1133" s="4"/>
      <c r="H1133" s="4"/>
      <c r="I1133" s="4"/>
    </row>
    <row r="1134" spans="1:9" ht="15">
      <c r="A1134" s="21">
        <f t="shared" si="20"/>
        <v>174</v>
      </c>
      <c r="B1134" s="14" t="s">
        <v>1610</v>
      </c>
      <c r="C1134" s="85" t="str">
        <f ca="1">IFERROR(__xludf.DUMMYFUNCTION("GOOGLETRANSLATE(B1134:B1149,""RU"",""UK"")"),"Свердло 13,0 удл.Р6М5")</f>
        <v>Свердло 13,0 удл.Р6М5</v>
      </c>
      <c r="D1134" s="15" t="s">
        <v>6</v>
      </c>
      <c r="E1134" s="15">
        <v>17</v>
      </c>
      <c r="F1134" s="91" t="s">
        <v>327</v>
      </c>
      <c r="G1134" s="4"/>
      <c r="H1134" s="4"/>
      <c r="I1134" s="4"/>
    </row>
    <row r="1135" spans="1:9" ht="15">
      <c r="A1135" s="21">
        <f t="shared" si="20"/>
        <v>175</v>
      </c>
      <c r="B1135" s="14" t="s">
        <v>1611</v>
      </c>
      <c r="C1135" s="85" t="str">
        <f ca="1">IFERROR(__xludf.DUMMYFUNCTION("GOOGLETRANSLATE(B1135:B1150,""RU"",""UK"")"),"Свердло 13,2 удл.Р6М5 / 13,5 удл.Р6М5")</f>
        <v>Свердло 13,2 удл.Р6М5 / 13,5 удл.Р6М5</v>
      </c>
      <c r="D1135" s="15" t="s">
        <v>6</v>
      </c>
      <c r="E1135" s="15" t="s">
        <v>1612</v>
      </c>
      <c r="F1135" s="91" t="s">
        <v>327</v>
      </c>
      <c r="G1135" s="4"/>
      <c r="H1135" s="4"/>
      <c r="I1135" s="4"/>
    </row>
    <row r="1136" spans="1:9" ht="15">
      <c r="A1136" s="21">
        <f t="shared" si="20"/>
        <v>176</v>
      </c>
      <c r="B1136" s="14" t="s">
        <v>1613</v>
      </c>
      <c r="C1136" s="85" t="str">
        <f ca="1">IFERROR(__xludf.DUMMYFUNCTION("GOOGLETRANSLATE(B1136:B1151,""RU"",""UK"")"),"Свердло 13,1 Р6М5/13,2Р6М5")</f>
        <v>Свердло 13,1 Р6М5/13,2Р6М5</v>
      </c>
      <c r="D1136" s="15" t="s">
        <v>6</v>
      </c>
      <c r="E1136" s="15" t="s">
        <v>1614</v>
      </c>
      <c r="F1136" s="91" t="s">
        <v>222</v>
      </c>
      <c r="G1136" s="4"/>
      <c r="H1136" s="4"/>
      <c r="I1136" s="4"/>
    </row>
    <row r="1137" spans="1:9" ht="15">
      <c r="A1137" s="21">
        <f t="shared" si="20"/>
        <v>177</v>
      </c>
      <c r="B1137" s="14" t="s">
        <v>1615</v>
      </c>
      <c r="C1137" s="85" t="str">
        <f ca="1">IFERROR(__xludf.DUMMYFUNCTION("GOOGLETRANSLATE(B1137:B1152,""RU"",""UK"")"),"Свердло 13,3 Р6М5/13,5Р6М5")</f>
        <v>Свердло 13,3 Р6М5/13,5Р6М5</v>
      </c>
      <c r="D1137" s="15" t="s">
        <v>6</v>
      </c>
      <c r="E1137" s="15" t="s">
        <v>1616</v>
      </c>
      <c r="F1137" s="91" t="s">
        <v>222</v>
      </c>
      <c r="G1137" s="4"/>
      <c r="H1137" s="4"/>
      <c r="I1137" s="4"/>
    </row>
    <row r="1138" spans="1:9" ht="15">
      <c r="A1138" s="21">
        <f t="shared" si="20"/>
        <v>178</v>
      </c>
      <c r="B1138" s="14" t="s">
        <v>1617</v>
      </c>
      <c r="C1138" s="85" t="str">
        <f ca="1">IFERROR(__xludf.DUMMYFUNCTION("GOOGLETRANSLATE(B1138:B1153,""RU"",""UK"")"),"Свердло 13,7 Р6М5/13,8Р6М5")</f>
        <v>Свердло 13,7 Р6М5/13,8Р6М5</v>
      </c>
      <c r="D1138" s="15" t="s">
        <v>6</v>
      </c>
      <c r="E1138" s="15" t="s">
        <v>1618</v>
      </c>
      <c r="F1138" s="91" t="s">
        <v>222</v>
      </c>
      <c r="G1138" s="4"/>
      <c r="H1138" s="4"/>
      <c r="I1138" s="4"/>
    </row>
    <row r="1139" spans="1:9" ht="15">
      <c r="A1139" s="21">
        <f t="shared" si="20"/>
        <v>179</v>
      </c>
      <c r="B1139" s="14" t="s">
        <v>1619</v>
      </c>
      <c r="C1139" s="85" t="str">
        <f ca="1">IFERROR(__xludf.DUMMYFUNCTION("GOOGLETRANSLATE(B1139:B1154,""RU"",""UK"")"),"Свердло 13,8 удл Р6М5")</f>
        <v>Свердло 13,8 удл Р6М5</v>
      </c>
      <c r="D1139" s="15" t="s">
        <v>6</v>
      </c>
      <c r="E1139" s="15">
        <v>2</v>
      </c>
      <c r="F1139" s="91" t="s">
        <v>327</v>
      </c>
      <c r="G1139" s="4"/>
      <c r="H1139" s="4"/>
      <c r="I1139" s="4"/>
    </row>
    <row r="1140" spans="1:9" ht="15">
      <c r="A1140" s="21">
        <f t="shared" si="20"/>
        <v>180</v>
      </c>
      <c r="B1140" s="14" t="s">
        <v>1620</v>
      </c>
      <c r="C1140" s="85" t="str">
        <f ca="1">IFERROR(__xludf.DUMMYFUNCTION("GOOGLETRANSLATE(B1140:B1155,""RU"",""UK"")"),"Свердло 14,0Р9")</f>
        <v>Свердло 14,0Р9</v>
      </c>
      <c r="D1140" s="15" t="s">
        <v>6</v>
      </c>
      <c r="E1140" s="15">
        <v>3</v>
      </c>
      <c r="F1140" s="91" t="s">
        <v>119</v>
      </c>
      <c r="G1140" s="4"/>
      <c r="H1140" s="4"/>
      <c r="I1140" s="4"/>
    </row>
    <row r="1141" spans="1:9" ht="15">
      <c r="A1141" s="21">
        <f t="shared" si="20"/>
        <v>181</v>
      </c>
      <c r="B1141" s="14" t="s">
        <v>1621</v>
      </c>
      <c r="C1141" s="85" t="str">
        <f ca="1">IFERROR(__xludf.DUMMYFUNCTION("GOOGLETRANSLATE(B1141:B1156,""RU"",""UK"")"),"Свердло 14,0Р6М5")</f>
        <v>Свердло 14,0Р6М5</v>
      </c>
      <c r="D1141" s="15" t="s">
        <v>6</v>
      </c>
      <c r="E1141" s="15">
        <v>7</v>
      </c>
      <c r="F1141" s="91" t="s">
        <v>222</v>
      </c>
      <c r="G1141" s="4"/>
      <c r="H1141" s="4"/>
      <c r="I1141" s="4"/>
    </row>
    <row r="1142" spans="1:9" ht="15">
      <c r="A1142" s="21">
        <f t="shared" si="20"/>
        <v>182</v>
      </c>
      <c r="B1142" s="44" t="s">
        <v>1622</v>
      </c>
      <c r="C1142" s="85" t="str">
        <f ca="1">IFERROR(__xludf.DUMMYFUNCTION("GOOGLETRANSLATE(B1142:B1157,""RU"",""UK"")"),"Свердло 14,0Р6М5К5 Аtaka")</f>
        <v>Свердло 14,0Р6М5К5 Аtaka</v>
      </c>
      <c r="D1142" s="15" t="s">
        <v>6</v>
      </c>
      <c r="E1142" s="15">
        <v>3</v>
      </c>
      <c r="F1142" s="91" t="s">
        <v>327</v>
      </c>
      <c r="G1142" s="4"/>
      <c r="H1142" s="4"/>
      <c r="I1142" s="4"/>
    </row>
    <row r="1143" spans="1:9" ht="15">
      <c r="A1143" s="21">
        <f t="shared" si="20"/>
        <v>183</v>
      </c>
      <c r="B1143" s="16" t="s">
        <v>1623</v>
      </c>
      <c r="C1143" s="85" t="str">
        <f ca="1">IFERROR(__xludf.DUMMYFUNCTION("GOOGLETRANSLATE(B1143:B1158,""RU"",""UK"")"),"Свердло 14,0 (220х120) удл Р6М5")</f>
        <v>Свердло 14,0 (220х120) удл Р6М5</v>
      </c>
      <c r="D1143" s="15" t="s">
        <v>6</v>
      </c>
      <c r="E1143" s="15">
        <v>10</v>
      </c>
      <c r="F1143" s="91" t="s">
        <v>327</v>
      </c>
      <c r="G1143" s="4"/>
      <c r="H1143" s="4"/>
      <c r="I1143" s="4"/>
    </row>
    <row r="1144" spans="1:9" ht="15">
      <c r="A1144" s="21">
        <f t="shared" si="20"/>
        <v>184</v>
      </c>
      <c r="B1144" s="14" t="s">
        <v>1624</v>
      </c>
      <c r="C1144" s="85" t="str">
        <f ca="1">IFERROR(__xludf.DUMMYFUNCTION("GOOGLETRANSLATE(B1144:B1159,""RU"",""UK"")"),"Свердло 14,5Р9/14,5Р6М5")</f>
        <v>Свердло 14,5Р9/14,5Р6М5</v>
      </c>
      <c r="D1144" s="15" t="s">
        <v>6</v>
      </c>
      <c r="E1144" s="15" t="s">
        <v>1625</v>
      </c>
      <c r="F1144" s="91" t="s">
        <v>222</v>
      </c>
      <c r="G1144" s="4"/>
      <c r="H1144" s="4"/>
      <c r="I1144" s="4"/>
    </row>
    <row r="1145" spans="1:9" ht="15">
      <c r="A1145" s="21">
        <f t="shared" si="20"/>
        <v>185</v>
      </c>
      <c r="B1145" s="14" t="s">
        <v>1626</v>
      </c>
      <c r="C1145" s="85" t="str">
        <f ca="1">IFERROR(__xludf.DUMMYFUNCTION("GOOGLETRANSLATE(B1145:B1160,""RU"",""UK"")"),"Свердло 14,25 удл Р6М5 / 14,5 удл Р6М5")</f>
        <v>Свердло 14,25 удл Р6М5 / 14,5 удл Р6М5</v>
      </c>
      <c r="D1145" s="15" t="s">
        <v>6</v>
      </c>
      <c r="E1145" s="15" t="s">
        <v>1627</v>
      </c>
      <c r="F1145" s="91" t="s">
        <v>327</v>
      </c>
      <c r="G1145" s="4"/>
      <c r="H1145" s="4"/>
      <c r="I1145" s="4"/>
    </row>
    <row r="1146" spans="1:9" ht="15">
      <c r="A1146" s="21">
        <f t="shared" si="20"/>
        <v>186</v>
      </c>
      <c r="B1146" s="14" t="s">
        <v>1628</v>
      </c>
      <c r="C1146" s="85" t="str">
        <f ca="1">IFERROR(__xludf.DUMMYFUNCTION("GOOGLETRANSLATE(B1146:B1161,""RU"",""UK"")"),"Свердло 14.6 Р6М5/14,75Р6М5")</f>
        <v>Свердло 14.6 Р6М5/14,75Р6М5</v>
      </c>
      <c r="D1146" s="15" t="s">
        <v>6</v>
      </c>
      <c r="E1146" s="15" t="s">
        <v>1629</v>
      </c>
      <c r="F1146" s="91" t="s">
        <v>222</v>
      </c>
      <c r="G1146" s="4"/>
      <c r="H1146" s="4"/>
      <c r="I1146" s="4"/>
    </row>
    <row r="1147" spans="1:9" ht="15">
      <c r="A1147" s="21">
        <f t="shared" si="20"/>
        <v>187</v>
      </c>
      <c r="B1147" s="14" t="s">
        <v>1630</v>
      </c>
      <c r="C1147" s="85" t="str">
        <f ca="1">IFERROR(__xludf.DUMMYFUNCTION("GOOGLETRANSLATE(B1147:B1162,""RU"",""UK"")"),"Свердло 15,0 Р6М5/15,25 Р6М5")</f>
        <v>Свердло 15,0 Р6М5/15,25 Р6М5</v>
      </c>
      <c r="D1147" s="15" t="s">
        <v>6</v>
      </c>
      <c r="E1147" s="15" t="s">
        <v>1631</v>
      </c>
      <c r="F1147" s="91" t="s">
        <v>327</v>
      </c>
      <c r="G1147" s="4"/>
      <c r="H1147" s="4"/>
      <c r="I1147" s="4"/>
    </row>
    <row r="1148" spans="1:9" ht="15">
      <c r="A1148" s="21">
        <f t="shared" si="20"/>
        <v>188</v>
      </c>
      <c r="B1148" s="19" t="s">
        <v>1632</v>
      </c>
      <c r="C1148" s="85" t="str">
        <f ca="1">IFERROR(__xludf.DUMMYFUNCTION("GOOGLETRANSLATE(B1148:B1163,""RU"",""UK"")"),"Свердло 15,0Р9")</f>
        <v>Свердло 15,0Р9</v>
      </c>
      <c r="D1148" s="15" t="s">
        <v>6</v>
      </c>
      <c r="E1148" s="15">
        <v>2</v>
      </c>
      <c r="F1148" s="91" t="s">
        <v>220</v>
      </c>
      <c r="G1148" s="4"/>
      <c r="H1148" s="4"/>
      <c r="I1148" s="4"/>
    </row>
    <row r="1149" spans="1:9" ht="15">
      <c r="A1149" s="21">
        <f t="shared" si="20"/>
        <v>189</v>
      </c>
      <c r="B1149" s="44" t="s">
        <v>1633</v>
      </c>
      <c r="C1149" s="85" t="str">
        <f ca="1">IFERROR(__xludf.DUMMYFUNCTION("GOOGLETRANSLATE(B1149:B1164,""RU"",""UK"")"),"Свердло 15,0Р6М5К5 Аtaka/15,0Р6М5")</f>
        <v>Свердло 15,0Р6М5К5 Аtaka/15,0Р6М5</v>
      </c>
      <c r="D1149" s="15" t="s">
        <v>6</v>
      </c>
      <c r="E1149" s="15">
        <v>1</v>
      </c>
      <c r="F1149" s="91" t="s">
        <v>327</v>
      </c>
      <c r="G1149" s="4"/>
      <c r="H1149" s="4"/>
      <c r="I1149" s="4"/>
    </row>
    <row r="1150" spans="1:9" ht="15">
      <c r="A1150" s="21">
        <f t="shared" si="20"/>
        <v>190</v>
      </c>
      <c r="B1150" s="14" t="s">
        <v>1634</v>
      </c>
      <c r="C1150" s="85" t="str">
        <f ca="1">IFERROR(__xludf.DUMMYFUNCTION("GOOGLETRANSLATE(B1150:B1165,""RU"",""UK"")"),"Свердло 15,0 удл Р6М5 / 15.5х230удлР6М5")</f>
        <v>Свердло 15,0 удл Р6М5 / 15.5х230удлР6М5</v>
      </c>
      <c r="D1150" s="15" t="s">
        <v>6</v>
      </c>
      <c r="E1150" s="15" t="s">
        <v>1635</v>
      </c>
      <c r="F1150" s="91" t="s">
        <v>327</v>
      </c>
      <c r="G1150" s="4"/>
      <c r="H1150" s="4"/>
      <c r="I1150" s="4"/>
    </row>
    <row r="1151" spans="1:9" ht="15">
      <c r="A1151" s="21">
        <f t="shared" si="20"/>
        <v>191</v>
      </c>
      <c r="B1151" s="14" t="s">
        <v>1636</v>
      </c>
      <c r="C1151" s="85" t="str">
        <f ca="1">IFERROR(__xludf.DUMMYFUNCTION("GOOGLETRANSLATE(B1151:B1166,""RU"",""UK"")"),"Свердло 15.4 Р6М5/15,5Р6М5")</f>
        <v>Свердло 15.4 Р6М5/15,5Р6М5</v>
      </c>
      <c r="D1151" s="15" t="s">
        <v>6</v>
      </c>
      <c r="E1151" s="15" t="s">
        <v>1637</v>
      </c>
      <c r="F1151" s="91" t="s">
        <v>327</v>
      </c>
      <c r="G1151" s="4"/>
      <c r="H1151" s="4"/>
      <c r="I1151" s="4"/>
    </row>
    <row r="1152" spans="1:9" ht="15">
      <c r="A1152" s="21">
        <f t="shared" si="20"/>
        <v>192</v>
      </c>
      <c r="B1152" s="16" t="s">
        <v>1638</v>
      </c>
      <c r="C1152" s="85" t="str">
        <f ca="1">IFERROR(__xludf.DUMMYFUNCTION("GOOGLETRANSLATE(B1152:B1167,""RU"",""UK"")"),"Свердло 16,0 Р9/16,0 Р6М5")</f>
        <v>Свердло 16,0 Р9/16,0 Р6М5</v>
      </c>
      <c r="D1152" s="15" t="s">
        <v>6</v>
      </c>
      <c r="E1152" s="15" t="s">
        <v>686</v>
      </c>
      <c r="F1152" s="91" t="s">
        <v>327</v>
      </c>
      <c r="G1152" s="4"/>
      <c r="H1152" s="4"/>
      <c r="I1152" s="4"/>
    </row>
    <row r="1153" spans="1:9" ht="15">
      <c r="A1153" s="21">
        <f t="shared" si="20"/>
        <v>193</v>
      </c>
      <c r="B1153" s="16" t="s">
        <v>1639</v>
      </c>
      <c r="C1153" s="85" t="str">
        <f ca="1">IFERROR(__xludf.DUMMYFUNCTION("GOOGLETRANSLATE(B1153:B1168,""RU"",""UK"")"),"Свердло 16,25 Р6М5/16.5Р6М5")</f>
        <v>Свердло 16,25 Р6М5/16.5Р6М5</v>
      </c>
      <c r="D1153" s="15" t="s">
        <v>6</v>
      </c>
      <c r="E1153" s="15" t="s">
        <v>1640</v>
      </c>
      <c r="F1153" s="91" t="s">
        <v>506</v>
      </c>
      <c r="G1153" s="4"/>
      <c r="H1153" s="4"/>
      <c r="I1153" s="4"/>
    </row>
    <row r="1154" spans="1:9" ht="15">
      <c r="A1154" s="21">
        <f t="shared" si="20"/>
        <v>194</v>
      </c>
      <c r="B1154" s="14" t="s">
        <v>1641</v>
      </c>
      <c r="C1154" s="85" t="str">
        <f ca="1">IFERROR(__xludf.DUMMYFUNCTION("GOOGLETRANSLATE(B1154:B1169,""RU"",""UK"")"),"Свердло 16,5х240удл Р6М5")</f>
        <v>Свердло 16,5х240удл Р6М5</v>
      </c>
      <c r="D1154" s="15" t="s">
        <v>6</v>
      </c>
      <c r="E1154" s="15">
        <v>13</v>
      </c>
      <c r="F1154" s="91" t="s">
        <v>510</v>
      </c>
      <c r="G1154" s="4"/>
      <c r="H1154" s="4"/>
      <c r="I1154" s="4"/>
    </row>
    <row r="1155" spans="1:9" ht="15">
      <c r="A1155" s="21">
        <f t="shared" ref="A1155:A1160" si="21">A1154+1</f>
        <v>195</v>
      </c>
      <c r="B1155" s="14" t="s">
        <v>1642</v>
      </c>
      <c r="C1155" s="85" t="str">
        <f ca="1">IFERROR(__xludf.DUMMYFUNCTION("GOOGLETRANSLATE(B1155:B1170,""RU"",""UK"")"),"Свердло 17,25х240удл Р6М5")</f>
        <v>Свердло 17,25х240удл Р6М5</v>
      </c>
      <c r="D1155" s="15" t="s">
        <v>6</v>
      </c>
      <c r="E1155" s="15">
        <v>7</v>
      </c>
      <c r="F1155" s="91" t="s">
        <v>569</v>
      </c>
      <c r="G1155" s="4"/>
      <c r="H1155" s="4"/>
      <c r="I1155" s="4"/>
    </row>
    <row r="1156" spans="1:9" ht="15">
      <c r="A1156" s="21">
        <f t="shared" si="21"/>
        <v>196</v>
      </c>
      <c r="B1156" s="14" t="s">
        <v>1643</v>
      </c>
      <c r="C1156" s="85" t="str">
        <f ca="1">IFERROR(__xludf.DUMMYFUNCTION("GOOGLETRANSLATE(B1156:B1171,""RU"",""UK"")"),"Свердло 17.5 Р6М5")</f>
        <v>Свердло 17.5 Р6М5</v>
      </c>
      <c r="D1156" s="15" t="s">
        <v>6</v>
      </c>
      <c r="E1156" s="15">
        <v>12</v>
      </c>
      <c r="F1156" s="91" t="s">
        <v>508</v>
      </c>
      <c r="G1156" s="4"/>
      <c r="H1156" s="4"/>
      <c r="I1156" s="4"/>
    </row>
    <row r="1157" spans="1:9" ht="15">
      <c r="A1157" s="21">
        <f t="shared" si="21"/>
        <v>197</v>
      </c>
      <c r="B1157" s="14" t="s">
        <v>1644</v>
      </c>
      <c r="C1157" s="85" t="str">
        <f ca="1">IFERROR(__xludf.DUMMYFUNCTION("GOOGLETRANSLATE(B1157:B1172,""RU"",""UK"")"),"Свердло 18.5 Р6М5/18.75 Р6М5")</f>
        <v>Свердло 18.5 Р6М5/18.75 Р6М5</v>
      </c>
      <c r="D1157" s="15" t="s">
        <v>6</v>
      </c>
      <c r="E1157" s="15" t="s">
        <v>1645</v>
      </c>
      <c r="F1157" s="91" t="s">
        <v>508</v>
      </c>
      <c r="G1157" s="4"/>
      <c r="H1157" s="4"/>
      <c r="I1157" s="4"/>
    </row>
    <row r="1158" spans="1:9" ht="15">
      <c r="A1158" s="21">
        <f t="shared" si="21"/>
        <v>198</v>
      </c>
      <c r="B1158" s="14" t="s">
        <v>1646</v>
      </c>
      <c r="C1158" s="85" t="str">
        <f ca="1">IFERROR(__xludf.DUMMYFUNCTION("GOOGLETRANSLATE(B1158:B1173,""RU"",""UK"")"),"Свердло 19.0 Р6М5/19.5 Р6М5")</f>
        <v>Свердло 19.0 Р6М5/19.5 Р6М5</v>
      </c>
      <c r="D1158" s="15" t="s">
        <v>6</v>
      </c>
      <c r="E1158" s="15" t="s">
        <v>1647</v>
      </c>
      <c r="F1158" s="91" t="s">
        <v>20</v>
      </c>
      <c r="G1158" s="4"/>
      <c r="H1158" s="4"/>
      <c r="I1158" s="4"/>
    </row>
    <row r="1159" spans="1:9" ht="15">
      <c r="A1159" s="21">
        <f t="shared" si="21"/>
        <v>199</v>
      </c>
      <c r="B1159" s="14" t="s">
        <v>1648</v>
      </c>
      <c r="C1159" s="85" t="str">
        <f ca="1">IFERROR(__xludf.DUMMYFUNCTION("GOOGLETRANSLATE(B1159:B1174,""RU"",""UK"")"),"Свердло 19,75 Р6М5")</f>
        <v>Свердло 19,75 Р6М5</v>
      </c>
      <c r="D1159" s="15" t="s">
        <v>6</v>
      </c>
      <c r="E1159" s="15">
        <v>3</v>
      </c>
      <c r="F1159" s="91" t="s">
        <v>24</v>
      </c>
      <c r="G1159" s="4"/>
      <c r="H1159" s="4"/>
      <c r="I1159" s="4"/>
    </row>
    <row r="1160" spans="1:9" ht="15">
      <c r="A1160" s="21">
        <f t="shared" si="21"/>
        <v>200</v>
      </c>
      <c r="B1160" s="14" t="s">
        <v>1649</v>
      </c>
      <c r="C1160" s="115" t="str">
        <f ca="1">IFERROR(__xludf.DUMMYFUNCTION("GOOGLETRANSLATE(B1160:B1175,""RU"",""UK"")"),"Свердло 27,0 Р6М5/28,0 Р6М5")</f>
        <v>Свердло 27,0 Р6М5/28,0 Р6М5</v>
      </c>
      <c r="D1160" s="15" t="s">
        <v>6</v>
      </c>
      <c r="E1160" s="15" t="s">
        <v>438</v>
      </c>
      <c r="F1160" s="91" t="s">
        <v>16</v>
      </c>
      <c r="G1160" s="4"/>
      <c r="H1160" s="4"/>
      <c r="I1160" s="4"/>
    </row>
    <row r="1161" spans="1:9" ht="15">
      <c r="A1161" s="43"/>
      <c r="B1161" s="29" t="s">
        <v>1650</v>
      </c>
      <c r="C1161" s="123" t="str">
        <f ca="1">IFERROR(__xludf.DUMMYFUNCTION("GOOGLETRANSLATE(B1161:B1176,""RU"",""UK"")"),"14. СВЕРДЛА КОН./ХВ. - Р6М5")</f>
        <v>14. СВЕРДЛА КОН./ХВ. - Р6М5</v>
      </c>
      <c r="D1161" s="29"/>
      <c r="E1161" s="33"/>
      <c r="F1161" s="95"/>
      <c r="G1161" s="4"/>
      <c r="H1161" s="4"/>
      <c r="I1161" s="4"/>
    </row>
    <row r="1162" spans="1:9" ht="15">
      <c r="A1162" s="13">
        <v>1</v>
      </c>
      <c r="B1162" s="16" t="s">
        <v>1651</v>
      </c>
      <c r="C1162" s="47" t="str">
        <f ca="1">IFERROR(__xludf.DUMMYFUNCTION("GOOGLETRANSLATE(B1162:B1177,""RU"",""UK"")"),"Свердло 6,0/6,2")</f>
        <v>Свердло 6,0/6,2</v>
      </c>
      <c r="D1162" s="15" t="s">
        <v>6</v>
      </c>
      <c r="E1162" s="15" t="s">
        <v>1652</v>
      </c>
      <c r="F1162" s="91" t="s">
        <v>338</v>
      </c>
      <c r="G1162" s="4"/>
      <c r="H1162" s="4"/>
      <c r="I1162" s="4"/>
    </row>
    <row r="1163" spans="1:9" ht="15">
      <c r="A1163" s="13">
        <f>A1162+1</f>
        <v>2</v>
      </c>
      <c r="B1163" s="14" t="s">
        <v>1653</v>
      </c>
      <c r="C1163" s="85" t="str">
        <f ca="1">IFERROR(__xludf.DUMMYFUNCTION("GOOGLETRANSLATE(B1163:B1178,""RU"",""UK"")"),"Свердло 6.0х220(150)удл.")</f>
        <v>Свердло 6.0х220(150)удл.</v>
      </c>
      <c r="D1163" s="15" t="s">
        <v>6</v>
      </c>
      <c r="E1163" s="15">
        <v>3</v>
      </c>
      <c r="F1163" s="91" t="s">
        <v>136</v>
      </c>
      <c r="G1163" s="4"/>
      <c r="H1163" s="4"/>
      <c r="I1163" s="4"/>
    </row>
    <row r="1164" spans="1:9" ht="15">
      <c r="A1164" s="21">
        <f t="shared" ref="A1164:A1227" si="22">A1163+1</f>
        <v>3</v>
      </c>
      <c r="B1164" s="19" t="s">
        <v>1654</v>
      </c>
      <c r="C1164" s="85" t="str">
        <f ca="1">IFERROR(__xludf.DUMMYFUNCTION("GOOGLETRANSLATE(B1164:B1179,""RU"",""UK"")"),"Свердло 6,5/6,6/6,7")</f>
        <v>Свердло 6,5/6,6/6,7</v>
      </c>
      <c r="D1164" s="15" t="s">
        <v>6</v>
      </c>
      <c r="E1164" s="15" t="s">
        <v>1655</v>
      </c>
      <c r="F1164" s="91" t="s">
        <v>136</v>
      </c>
      <c r="G1164" s="4"/>
      <c r="H1164" s="4"/>
      <c r="I1164" s="4"/>
    </row>
    <row r="1165" spans="1:9" ht="15">
      <c r="A1165" s="21">
        <f t="shared" si="22"/>
        <v>4</v>
      </c>
      <c r="B1165" s="14" t="s">
        <v>1656</v>
      </c>
      <c r="C1165" s="85" t="str">
        <f ca="1">IFERROR(__xludf.DUMMYFUNCTION("GOOGLETRANSLATE(B1165:B1180,""RU"",""UK"")"),"Свердло 7,0 / 7,2")</f>
        <v>Свердло 7,0 / 7,2</v>
      </c>
      <c r="D1165" s="15" t="s">
        <v>6</v>
      </c>
      <c r="E1165" s="15" t="s">
        <v>1657</v>
      </c>
      <c r="F1165" s="91" t="s">
        <v>136</v>
      </c>
      <c r="G1165" s="4"/>
      <c r="H1165" s="4"/>
      <c r="I1165" s="4"/>
    </row>
    <row r="1166" spans="1:9" ht="15">
      <c r="A1166" s="21">
        <f t="shared" si="22"/>
        <v>5</v>
      </c>
      <c r="B1166" s="14" t="s">
        <v>1658</v>
      </c>
      <c r="C1166" s="85" t="str">
        <f ca="1">IFERROR(__xludf.DUMMYFUNCTION("GOOGLETRANSLATE(B1166:B1181,""RU"",""UK"")"),"Свердло 7,0х230/7,2х240 удл")</f>
        <v>Свердло 7,0х230/7,2х240 удл</v>
      </c>
      <c r="D1166" s="15" t="s">
        <v>6</v>
      </c>
      <c r="E1166" s="15" t="s">
        <v>1659</v>
      </c>
      <c r="F1166" s="91" t="s">
        <v>319</v>
      </c>
      <c r="G1166" s="4"/>
      <c r="H1166" s="4"/>
      <c r="I1166" s="4"/>
    </row>
    <row r="1167" spans="1:9" ht="15">
      <c r="A1167" s="21">
        <f t="shared" si="22"/>
        <v>6</v>
      </c>
      <c r="B1167" s="14" t="s">
        <v>1660</v>
      </c>
      <c r="C1167" s="85" t="str">
        <f ca="1">IFERROR(__xludf.DUMMYFUNCTION("GOOGLETRANSLATE(B1167:B1182,""RU"",""UK"")"),"Свердло 7,5/7,8")</f>
        <v>Свердло 7,5/7,8</v>
      </c>
      <c r="D1167" s="15" t="s">
        <v>6</v>
      </c>
      <c r="E1167" s="15" t="s">
        <v>1661</v>
      </c>
      <c r="F1167" s="91" t="s">
        <v>1194</v>
      </c>
      <c r="G1167" s="4"/>
      <c r="H1167" s="4"/>
      <c r="I1167" s="4"/>
    </row>
    <row r="1168" spans="1:9" ht="15">
      <c r="A1168" s="21">
        <f t="shared" si="22"/>
        <v>7</v>
      </c>
      <c r="B1168" s="14" t="s">
        <v>1662</v>
      </c>
      <c r="C1168" s="85" t="str">
        <f ca="1">IFERROR(__xludf.DUMMYFUNCTION("GOOGLETRANSLATE(B1168:B1183,""RU"",""UK"")"),"Свердло 7.5х230(160)удл / 7,8х240х150удл")</f>
        <v>Свердло 7.5х230(160)удл / 7,8х240х150удл</v>
      </c>
      <c r="D1168" s="15" t="s">
        <v>6</v>
      </c>
      <c r="E1168" s="15" t="s">
        <v>1663</v>
      </c>
      <c r="F1168" s="91" t="s">
        <v>567</v>
      </c>
      <c r="G1168" s="4"/>
      <c r="H1168" s="4"/>
      <c r="I1168" s="4"/>
    </row>
    <row r="1169" spans="1:9" ht="15">
      <c r="A1169" s="21">
        <f t="shared" si="22"/>
        <v>8</v>
      </c>
      <c r="B1169" s="14" t="s">
        <v>1664</v>
      </c>
      <c r="C1169" s="85" t="str">
        <f ca="1">IFERROR(__xludf.DUMMYFUNCTION("GOOGLETRANSLATE(B1169:B1184,""RU"",""UK"")"),"Свердло 8,0")</f>
        <v>Свердло 8,0</v>
      </c>
      <c r="D1169" s="15" t="s">
        <v>6</v>
      </c>
      <c r="E1169" s="15">
        <v>89</v>
      </c>
      <c r="F1169" s="91" t="s">
        <v>346</v>
      </c>
      <c r="G1169" s="4"/>
      <c r="H1169" s="4"/>
      <c r="I1169" s="4"/>
    </row>
    <row r="1170" spans="1:9" ht="15">
      <c r="A1170" s="21">
        <f t="shared" si="22"/>
        <v>9</v>
      </c>
      <c r="B1170" s="14" t="s">
        <v>1665</v>
      </c>
      <c r="C1170" s="85" t="str">
        <f ca="1">IFERROR(__xludf.DUMMYFUNCTION("GOOGLETRANSLATE(B1170:B1185,""RU"",""UK"")"),"Свердло 8,0х240удл.")</f>
        <v>Свердло 8,0х240удл.</v>
      </c>
      <c r="D1170" s="15" t="s">
        <v>6</v>
      </c>
      <c r="E1170" s="15">
        <v>3</v>
      </c>
      <c r="F1170" s="91" t="s">
        <v>119</v>
      </c>
      <c r="G1170" s="4"/>
      <c r="H1170" s="4"/>
      <c r="I1170" s="4"/>
    </row>
    <row r="1171" spans="1:9" ht="15">
      <c r="A1171" s="21">
        <f t="shared" si="22"/>
        <v>10</v>
      </c>
      <c r="B1171" s="19" t="s">
        <v>1666</v>
      </c>
      <c r="C1171" s="85" t="str">
        <f ca="1">IFERROR(__xludf.DUMMYFUNCTION("GOOGLETRANSLATE(B1171:B1186,""RU"",""UK"")"),"Свердло 8,2/8,5/8,8")</f>
        <v>Свердло 8,2/8,5/8,8</v>
      </c>
      <c r="D1171" s="15" t="s">
        <v>6</v>
      </c>
      <c r="E1171" s="15" t="s">
        <v>1667</v>
      </c>
      <c r="F1171" s="91" t="s">
        <v>216</v>
      </c>
      <c r="G1171" s="4"/>
      <c r="H1171" s="4"/>
      <c r="I1171" s="4"/>
    </row>
    <row r="1172" spans="1:9" ht="15">
      <c r="A1172" s="21">
        <f t="shared" si="22"/>
        <v>11</v>
      </c>
      <c r="B1172" s="14" t="s">
        <v>1668</v>
      </c>
      <c r="C1172" s="85" t="str">
        <f ca="1">IFERROR(__xludf.DUMMYFUNCTION("GOOGLETRANSLATE(B1172:B1187,""RU"",""UK"")"),"Свердло 8,5х240удл.")</f>
        <v>Свердло 8,5х240удл.</v>
      </c>
      <c r="D1172" s="15" t="s">
        <v>6</v>
      </c>
      <c r="E1172" s="15">
        <v>0</v>
      </c>
      <c r="F1172" s="91" t="s">
        <v>327</v>
      </c>
      <c r="G1172" s="4"/>
      <c r="H1172" s="4"/>
      <c r="I1172" s="4"/>
    </row>
    <row r="1173" spans="1:9" ht="15">
      <c r="A1173" s="21">
        <f t="shared" si="22"/>
        <v>12</v>
      </c>
      <c r="B1173" s="16" t="s">
        <v>1669</v>
      </c>
      <c r="C1173" s="85" t="str">
        <f ca="1">IFERROR(__xludf.DUMMYFUNCTION("GOOGLETRANSLATE(B1173:B1188,""RU"",""UK"")"),"Свердло 9,0")</f>
        <v>Свердло 9,0</v>
      </c>
      <c r="D1173" s="15" t="s">
        <v>6</v>
      </c>
      <c r="E1173" s="15">
        <v>285</v>
      </c>
      <c r="F1173" s="91" t="s">
        <v>319</v>
      </c>
      <c r="G1173" s="4"/>
      <c r="H1173" s="4"/>
      <c r="I1173" s="4"/>
    </row>
    <row r="1174" spans="1:9" ht="15">
      <c r="A1174" s="21">
        <f t="shared" si="22"/>
        <v>13</v>
      </c>
      <c r="B1174" s="14" t="s">
        <v>1670</v>
      </c>
      <c r="C1174" s="85" t="str">
        <f ca="1">IFERROR(__xludf.DUMMYFUNCTION("GOOGLETRANSLATE(B1174:B1189,""RU"",""UK"")"),"Свердло 9,0х190удл")</f>
        <v>Свердло 9,0х190удл</v>
      </c>
      <c r="D1174" s="15" t="s">
        <v>6</v>
      </c>
      <c r="E1174" s="15">
        <v>36</v>
      </c>
      <c r="F1174" s="91" t="s">
        <v>1559</v>
      </c>
      <c r="G1174" s="4"/>
      <c r="H1174" s="4"/>
      <c r="I1174" s="4"/>
    </row>
    <row r="1175" spans="1:9" ht="15">
      <c r="A1175" s="21">
        <f t="shared" si="22"/>
        <v>14</v>
      </c>
      <c r="B1175" s="16" t="s">
        <v>1671</v>
      </c>
      <c r="C1175" s="85" t="str">
        <f ca="1">IFERROR(__xludf.DUMMYFUNCTION("GOOGLETRANSLATE(B1175:B1190,""RU"",""UK"")"),"Свердло 9,2/9,5/9,8")</f>
        <v>Свердло 9,2/9,5/9,8</v>
      </c>
      <c r="D1175" s="15" t="s">
        <v>6</v>
      </c>
      <c r="E1175" s="15" t="s">
        <v>1672</v>
      </c>
      <c r="F1175" s="91" t="s">
        <v>539</v>
      </c>
      <c r="G1175" s="4"/>
      <c r="H1175" s="4"/>
      <c r="I1175" s="4"/>
    </row>
    <row r="1176" spans="1:9" ht="15">
      <c r="A1176" s="21">
        <f t="shared" si="22"/>
        <v>15</v>
      </c>
      <c r="B1176" s="14" t="s">
        <v>1673</v>
      </c>
      <c r="C1176" s="85" t="str">
        <f ca="1">IFERROR(__xludf.DUMMYFUNCTION("GOOGLETRANSLATE(B1176:B1191,""RU"",""UK"")"),"Свердло 9,8 х100 удл")</f>
        <v>Свердло 9,8 х100 удл</v>
      </c>
      <c r="D1176" s="15" t="s">
        <v>6</v>
      </c>
      <c r="E1176" s="15">
        <v>14</v>
      </c>
      <c r="F1176" s="91" t="s">
        <v>265</v>
      </c>
      <c r="G1176" s="4"/>
      <c r="H1176" s="4"/>
      <c r="I1176" s="4"/>
    </row>
    <row r="1177" spans="1:9" ht="15">
      <c r="A1177" s="21">
        <f t="shared" si="22"/>
        <v>16</v>
      </c>
      <c r="B1177" s="14" t="s">
        <v>1674</v>
      </c>
      <c r="C1177" s="85" t="str">
        <f ca="1">IFERROR(__xludf.DUMMYFUNCTION("GOOGLETRANSLATE(B1177:B1192,""RU"",""UK"")"),"Свердло 10,0/10,2")</f>
        <v>Свердло 10,0/10,2</v>
      </c>
      <c r="D1177" s="15" t="s">
        <v>6</v>
      </c>
      <c r="E1177" s="17" t="s">
        <v>1675</v>
      </c>
      <c r="F1177" s="91" t="s">
        <v>319</v>
      </c>
      <c r="G1177" s="4"/>
      <c r="H1177" s="4"/>
      <c r="I1177" s="4"/>
    </row>
    <row r="1178" spans="1:9" ht="15">
      <c r="A1178" s="21">
        <f t="shared" si="22"/>
        <v>17</v>
      </c>
      <c r="B1178" s="14" t="s">
        <v>1676</v>
      </c>
      <c r="C1178" s="85" t="str">
        <f ca="1">IFERROR(__xludf.DUMMYFUNCTION("GOOGLETRANSLATE(B1178:B1193,""RU"",""UK"")"),"Свердло 10,5/10,8")</f>
        <v>Свердло 10,5/10,8</v>
      </c>
      <c r="D1178" s="15" t="s">
        <v>6</v>
      </c>
      <c r="E1178" s="15" t="s">
        <v>1677</v>
      </c>
      <c r="F1178" s="91" t="s">
        <v>567</v>
      </c>
      <c r="G1178" s="4"/>
      <c r="H1178" s="4"/>
      <c r="I1178" s="4"/>
    </row>
    <row r="1179" spans="1:9" ht="15">
      <c r="A1179" s="21">
        <f t="shared" si="22"/>
        <v>18</v>
      </c>
      <c r="B1179" s="14" t="s">
        <v>1678</v>
      </c>
      <c r="C1179" s="85" t="str">
        <f ca="1">IFERROR(__xludf.DUMMYFUNCTION("GOOGLETRANSLATE(B1179:B1194,""RU"",""UK"")"),"Свердло 10,0х200удл. / 10х220удл.")</f>
        <v>Свердло 10,0х200удл. / 10х220удл.</v>
      </c>
      <c r="D1179" s="15" t="s">
        <v>6</v>
      </c>
      <c r="E1179" s="15" t="s">
        <v>1679</v>
      </c>
      <c r="F1179" s="91" t="s">
        <v>119</v>
      </c>
      <c r="G1179" s="4"/>
      <c r="H1179" s="4"/>
      <c r="I1179" s="4"/>
    </row>
    <row r="1180" spans="1:9" ht="15">
      <c r="A1180" s="21">
        <f t="shared" si="22"/>
        <v>19</v>
      </c>
      <c r="B1180" s="14" t="s">
        <v>1680</v>
      </c>
      <c r="C1180" s="85" t="str">
        <f ca="1">IFERROR(__xludf.DUMMYFUNCTION("GOOGLETRANSLATE(B1180:B1195,""RU"",""UK"")"),"Свердло 10,0 х250удл. / 10.0х280удл.")</f>
        <v>Свердло 10,0 х250удл. / 10.0х280удл.</v>
      </c>
      <c r="D1180" s="15" t="s">
        <v>6</v>
      </c>
      <c r="E1180" s="15" t="s">
        <v>1681</v>
      </c>
      <c r="F1180" s="91" t="s">
        <v>119</v>
      </c>
      <c r="G1180" s="4"/>
      <c r="H1180" s="4"/>
      <c r="I1180" s="4"/>
    </row>
    <row r="1181" spans="1:9" ht="15">
      <c r="A1181" s="21">
        <f t="shared" si="22"/>
        <v>20</v>
      </c>
      <c r="B1181" s="14" t="s">
        <v>1682</v>
      </c>
      <c r="C1181" s="85" t="str">
        <f ca="1">IFERROR(__xludf.DUMMYFUNCTION("GOOGLETRANSLATE(B1181:B1196,""RU"",""UK"")"),"Свердло 10,2 х210удл. / 10.2х250Дл. / 10.2х280Дл.")</f>
        <v>Свердло 10,2 х210удл. / 10.2х250Дл. / 10.2х280Дл.</v>
      </c>
      <c r="D1181" s="15" t="s">
        <v>6</v>
      </c>
      <c r="E1181" s="15" t="s">
        <v>1683</v>
      </c>
      <c r="F1181" s="91" t="s">
        <v>220</v>
      </c>
      <c r="G1181" s="4"/>
      <c r="H1181" s="4"/>
      <c r="I1181" s="4"/>
    </row>
    <row r="1182" spans="1:9" ht="15">
      <c r="A1182" s="21">
        <f t="shared" si="22"/>
        <v>21</v>
      </c>
      <c r="B1182" s="14" t="s">
        <v>1684</v>
      </c>
      <c r="C1182" s="85" t="str">
        <f ca="1">IFERROR(__xludf.DUMMYFUNCTION("GOOGLETRANSLATE(B1182:B1197,""RU"",""UK"")"),"Свердло 10,5 х250 удл. / 10,5 х300 удл.")</f>
        <v>Свердло 10,5 х250 удл. / 10,5 х300 удл.</v>
      </c>
      <c r="D1182" s="15" t="s">
        <v>6</v>
      </c>
      <c r="E1182" s="15" t="s">
        <v>1685</v>
      </c>
      <c r="F1182" s="91" t="s">
        <v>327</v>
      </c>
      <c r="G1182" s="4"/>
      <c r="H1182" s="4"/>
      <c r="I1182" s="4"/>
    </row>
    <row r="1183" spans="1:9" ht="15">
      <c r="A1183" s="21">
        <f t="shared" si="22"/>
        <v>22</v>
      </c>
      <c r="B1183" s="14" t="s">
        <v>1686</v>
      </c>
      <c r="C1183" s="85" t="str">
        <f ca="1">IFERROR(__xludf.DUMMYFUNCTION("GOOGLETRANSLATE(B1183:B1198,""RU"",""UK"")"),"Свердло 10,7 удл. / 10,8 удл.")</f>
        <v>Свердло 10,7 удл. / 10,8 удл.</v>
      </c>
      <c r="D1183" s="15" t="s">
        <v>6</v>
      </c>
      <c r="E1183" s="15" t="s">
        <v>1687</v>
      </c>
      <c r="F1183" s="91" t="s">
        <v>1688</v>
      </c>
      <c r="G1183" s="4"/>
      <c r="H1183" s="4"/>
      <c r="I1183" s="4"/>
    </row>
    <row r="1184" spans="1:9" ht="15">
      <c r="A1184" s="21">
        <f t="shared" si="22"/>
        <v>23</v>
      </c>
      <c r="B1184" s="14" t="s">
        <v>1689</v>
      </c>
      <c r="C1184" s="85" t="str">
        <f ca="1">IFERROR(__xludf.DUMMYFUNCTION("GOOGLETRANSLATE(B1184:B1199,""RU"",""UK"")"),"Свердло 11,0")</f>
        <v>Свердло 11,0</v>
      </c>
      <c r="D1184" s="15" t="s">
        <v>6</v>
      </c>
      <c r="E1184" s="15" t="s">
        <v>1690</v>
      </c>
      <c r="F1184" s="91" t="s">
        <v>567</v>
      </c>
      <c r="G1184" s="4"/>
      <c r="H1184" s="4"/>
      <c r="I1184" s="4"/>
    </row>
    <row r="1185" spans="1:9" ht="15">
      <c r="A1185" s="21">
        <f t="shared" si="22"/>
        <v>24</v>
      </c>
      <c r="B1185" s="14" t="s">
        <v>1691</v>
      </c>
      <c r="C1185" s="85" t="str">
        <f ca="1">IFERROR(__xludf.DUMMYFUNCTION("GOOGLETRANSLATE(B1185:B1200,""RU"",""UK"")"),"Свердло 11,0х210удл. / 11,0 х250удл.")</f>
        <v>Свердло 11,0х210удл. / 11,0 х250удл.</v>
      </c>
      <c r="D1185" s="15" t="s">
        <v>6</v>
      </c>
      <c r="E1185" s="15" t="s">
        <v>1692</v>
      </c>
      <c r="F1185" s="91" t="s">
        <v>327</v>
      </c>
      <c r="G1185" s="4"/>
      <c r="H1185" s="4"/>
      <c r="I1185" s="4"/>
    </row>
    <row r="1186" spans="1:9" ht="15">
      <c r="A1186" s="21">
        <f t="shared" si="22"/>
        <v>25</v>
      </c>
      <c r="B1186" s="14" t="s">
        <v>1693</v>
      </c>
      <c r="C1186" s="85" t="str">
        <f ca="1">IFERROR(__xludf.DUMMYFUNCTION("GOOGLETRANSLATE(B1186:B1201,""RU"",""UK"")"),"Свердло 11,2удл. / 11,5 удл.")</f>
        <v>Свердло 11,2удл. / 11,5 удл.</v>
      </c>
      <c r="D1186" s="15" t="s">
        <v>6</v>
      </c>
      <c r="E1186" s="15" t="s">
        <v>1694</v>
      </c>
      <c r="F1186" s="91" t="s">
        <v>327</v>
      </c>
      <c r="G1186" s="4"/>
      <c r="H1186" s="4"/>
      <c r="I1186" s="4"/>
    </row>
    <row r="1187" spans="1:9" ht="15">
      <c r="A1187" s="21">
        <f t="shared" si="22"/>
        <v>26</v>
      </c>
      <c r="B1187" s="14" t="s">
        <v>1695</v>
      </c>
      <c r="C1187" s="85" t="str">
        <f ca="1">IFERROR(__xludf.DUMMYFUNCTION("GOOGLETRANSLATE(B1187:B1202,""RU"",""UK"")"),"Свердло 11,2/11,5/11,8")</f>
        <v>Свердло 11,2/11,5/11,8</v>
      </c>
      <c r="D1187" s="15" t="s">
        <v>6</v>
      </c>
      <c r="E1187" s="15" t="s">
        <v>1696</v>
      </c>
      <c r="F1187" s="91" t="s">
        <v>351</v>
      </c>
      <c r="G1187" s="4"/>
      <c r="H1187" s="4"/>
      <c r="I1187" s="4"/>
    </row>
    <row r="1188" spans="1:9" ht="15">
      <c r="A1188" s="21">
        <f t="shared" si="22"/>
        <v>27</v>
      </c>
      <c r="B1188" s="14" t="s">
        <v>1697</v>
      </c>
      <c r="C1188" s="85" t="str">
        <f ca="1">IFERROR(__xludf.DUMMYFUNCTION("GOOGLETRANSLATE(B1188:B1203,""RU"",""UK"")"),"Свердло 12,0 / 12.2")</f>
        <v>Свердло 12,0 / 12.2</v>
      </c>
      <c r="D1188" s="15" t="s">
        <v>6</v>
      </c>
      <c r="E1188" s="15" t="s">
        <v>1698</v>
      </c>
      <c r="F1188" s="91" t="s">
        <v>327</v>
      </c>
      <c r="G1188" s="4"/>
      <c r="H1188" s="4"/>
      <c r="I1188" s="4"/>
    </row>
    <row r="1189" spans="1:9" ht="15">
      <c r="A1189" s="21">
        <f t="shared" si="22"/>
        <v>28</v>
      </c>
      <c r="B1189" s="14" t="s">
        <v>1699</v>
      </c>
      <c r="C1189" s="85" t="str">
        <f ca="1">IFERROR(__xludf.DUMMYFUNCTION("GOOGLETRANSLATE(B1189:B1204,""RU"",""UK"")"),"Свердло 12,5 х260 удл.")</f>
        <v>Свердло 12,5 х260 удл.</v>
      </c>
      <c r="D1189" s="15" t="s">
        <v>6</v>
      </c>
      <c r="E1189" s="15">
        <v>12</v>
      </c>
      <c r="F1189" s="91" t="s">
        <v>140</v>
      </c>
      <c r="G1189" s="4"/>
      <c r="H1189" s="4"/>
      <c r="I1189" s="4"/>
    </row>
    <row r="1190" spans="1:9" ht="15">
      <c r="A1190" s="21">
        <f t="shared" si="22"/>
        <v>29</v>
      </c>
      <c r="B1190" s="14" t="s">
        <v>1700</v>
      </c>
      <c r="C1190" s="85" t="str">
        <f ca="1">IFERROR(__xludf.DUMMYFUNCTION("GOOGLETRANSLATE(B1190:B1205,""RU"",""UK"")"),"Свердло 12,5/12,8")</f>
        <v>Свердло 12,5/12,8</v>
      </c>
      <c r="D1190" s="15" t="s">
        <v>6</v>
      </c>
      <c r="E1190" s="15" t="s">
        <v>1701</v>
      </c>
      <c r="F1190" s="91" t="s">
        <v>327</v>
      </c>
      <c r="G1190" s="4"/>
      <c r="H1190" s="4"/>
      <c r="I1190" s="4"/>
    </row>
    <row r="1191" spans="1:9" ht="15">
      <c r="A1191" s="21">
        <f t="shared" si="22"/>
        <v>30</v>
      </c>
      <c r="B1191" s="14" t="s">
        <v>1702</v>
      </c>
      <c r="C1191" s="85" t="str">
        <f ca="1">IFERROR(__xludf.DUMMYFUNCTION("GOOGLETRANSLATE(B1191:B1206,""RU"",""UK"")"),"Свердло 12.7х260")</f>
        <v>Свердло 12.7х260</v>
      </c>
      <c r="D1191" s="15" t="s">
        <v>6</v>
      </c>
      <c r="E1191" s="15">
        <v>2</v>
      </c>
      <c r="F1191" s="91" t="s">
        <v>140</v>
      </c>
      <c r="G1191" s="4"/>
      <c r="H1191" s="4"/>
      <c r="I1191" s="4"/>
    </row>
    <row r="1192" spans="1:9" ht="15">
      <c r="A1192" s="21">
        <f t="shared" si="22"/>
        <v>31</v>
      </c>
      <c r="B1192" s="14" t="s">
        <v>1703</v>
      </c>
      <c r="C1192" s="85" t="str">
        <f ca="1">IFERROR(__xludf.DUMMYFUNCTION("GOOGLETRANSLATE(B1192:B1207,""RU"",""UK"")"),"Свердло 13,0")</f>
        <v>Свердло 13,0</v>
      </c>
      <c r="D1192" s="15" t="s">
        <v>6</v>
      </c>
      <c r="E1192" s="15">
        <v>60</v>
      </c>
      <c r="F1192" s="91" t="s">
        <v>1704</v>
      </c>
      <c r="G1192" s="4"/>
      <c r="H1192" s="4"/>
      <c r="I1192" s="4"/>
    </row>
    <row r="1193" spans="1:9" ht="15">
      <c r="A1193" s="21">
        <f t="shared" si="22"/>
        <v>32</v>
      </c>
      <c r="B1193" s="14" t="s">
        <v>1705</v>
      </c>
      <c r="C1193" s="85" t="str">
        <f ca="1">IFERROR(__xludf.DUMMYFUNCTION("GOOGLETRANSLATE(B1193:B1208,""RU"",""UK"")"),"Свердло 13х230/13х280/13х300удл.")</f>
        <v>Свердло 13х230/13х280/13х300удл.</v>
      </c>
      <c r="D1193" s="15" t="s">
        <v>6</v>
      </c>
      <c r="E1193" s="15" t="s">
        <v>1706</v>
      </c>
      <c r="F1193" s="91" t="s">
        <v>20</v>
      </c>
      <c r="G1193" s="4"/>
      <c r="H1193" s="4"/>
      <c r="I1193" s="4"/>
    </row>
    <row r="1194" spans="1:9" ht="15">
      <c r="A1194" s="21">
        <f t="shared" si="22"/>
        <v>33</v>
      </c>
      <c r="B1194" s="14" t="s">
        <v>1707</v>
      </c>
      <c r="C1194" s="85" t="str">
        <f ca="1">IFERROR(__xludf.DUMMYFUNCTION("GOOGLETRANSLATE(B1194:B1209,""RU"",""UK"")"),"Свердло 13,2 х280удл / 13,8удл")</f>
        <v>Свердло 13,2 х280удл / 13,8удл</v>
      </c>
      <c r="D1194" s="15" t="s">
        <v>6</v>
      </c>
      <c r="E1194" s="15" t="s">
        <v>1708</v>
      </c>
      <c r="F1194" s="91" t="s">
        <v>20</v>
      </c>
      <c r="G1194" s="4"/>
      <c r="H1194" s="4"/>
      <c r="I1194" s="4"/>
    </row>
    <row r="1195" spans="1:9" ht="15">
      <c r="A1195" s="21">
        <f t="shared" si="22"/>
        <v>34</v>
      </c>
      <c r="B1195" s="14" t="s">
        <v>1709</v>
      </c>
      <c r="C1195" s="85" t="str">
        <f ca="1">IFERROR(__xludf.DUMMYFUNCTION("GOOGLETRANSLATE(B1195:B1210,""RU"",""UK"")"),"Свердло 13,2/13,5/13.8")</f>
        <v>Свердло 13,2/13,5/13.8</v>
      </c>
      <c r="D1195" s="15" t="s">
        <v>6</v>
      </c>
      <c r="E1195" s="15" t="s">
        <v>1710</v>
      </c>
      <c r="F1195" s="91" t="s">
        <v>1711</v>
      </c>
      <c r="G1195" s="4"/>
      <c r="H1195" s="4"/>
      <c r="I1195" s="4"/>
    </row>
    <row r="1196" spans="1:9" ht="15">
      <c r="A1196" s="21">
        <f t="shared" si="22"/>
        <v>35</v>
      </c>
      <c r="B1196" s="16" t="s">
        <v>1712</v>
      </c>
      <c r="C1196" s="85" t="str">
        <f ca="1">IFERROR(__xludf.DUMMYFUNCTION("GOOGLETRANSLATE(B1196:B1211,""RU"",""UK"")"),"Свердло 14,0")</f>
        <v>Свердло 14,0</v>
      </c>
      <c r="D1196" s="17" t="s">
        <v>6</v>
      </c>
      <c r="E1196" s="17">
        <v>17</v>
      </c>
      <c r="F1196" s="92" t="s">
        <v>1713</v>
      </c>
      <c r="G1196" s="4"/>
      <c r="H1196" s="4"/>
      <c r="I1196" s="4"/>
    </row>
    <row r="1197" spans="1:9" ht="15">
      <c r="A1197" s="21">
        <f t="shared" si="22"/>
        <v>36</v>
      </c>
      <c r="B1197" s="16" t="s">
        <v>1714</v>
      </c>
      <c r="C1197" s="85" t="str">
        <f ca="1">IFERROR(__xludf.DUMMYFUNCTION("GOOGLETRANSLATE(B1197:B1212,""RU"",""UK"")"),"Свердло 14,0х280удл")</f>
        <v>Свердло 14,0х280удл</v>
      </c>
      <c r="D1197" s="17" t="s">
        <v>6</v>
      </c>
      <c r="E1197" s="17">
        <v>52</v>
      </c>
      <c r="F1197" s="92" t="s">
        <v>24</v>
      </c>
      <c r="G1197" s="4"/>
      <c r="H1197" s="4"/>
      <c r="I1197" s="4"/>
    </row>
    <row r="1198" spans="1:9" ht="15">
      <c r="A1198" s="21">
        <f t="shared" si="22"/>
        <v>37</v>
      </c>
      <c r="B1198" s="14" t="s">
        <v>1715</v>
      </c>
      <c r="C1198" s="85" t="str">
        <f ca="1">IFERROR(__xludf.DUMMYFUNCTION("GOOGLETRANSLATE(B1198:B1213,""RU"",""UK"")"),"Свердло 14,0 х300удл.")</f>
        <v>Свердло 14,0 х300удл.</v>
      </c>
      <c r="D1198" s="15" t="s">
        <v>6</v>
      </c>
      <c r="E1198" s="15">
        <v>64</v>
      </c>
      <c r="F1198" s="91" t="s">
        <v>162</v>
      </c>
      <c r="G1198" s="4"/>
      <c r="H1198" s="4"/>
      <c r="I1198" s="4"/>
    </row>
    <row r="1199" spans="1:9" ht="15">
      <c r="A1199" s="21">
        <f t="shared" si="22"/>
        <v>38</v>
      </c>
      <c r="B1199" s="14" t="s">
        <v>1716</v>
      </c>
      <c r="C1199" s="85" t="str">
        <f ca="1">IFERROR(__xludf.DUMMYFUNCTION("GOOGLETRANSLATE(B1199:B1214,""RU"",""UK"")"),"Свердло 14,0 х320удл.")</f>
        <v>Свердло 14,0 х320удл.</v>
      </c>
      <c r="D1199" s="15" t="s">
        <v>6</v>
      </c>
      <c r="E1199" s="15">
        <v>17</v>
      </c>
      <c r="F1199" s="91" t="s">
        <v>1717</v>
      </c>
      <c r="G1199" s="4"/>
      <c r="H1199" s="4"/>
      <c r="I1199" s="4"/>
    </row>
    <row r="1200" spans="1:9" ht="15">
      <c r="A1200" s="21">
        <f t="shared" si="22"/>
        <v>39</v>
      </c>
      <c r="B1200" s="14" t="s">
        <v>1718</v>
      </c>
      <c r="C1200" s="85" t="str">
        <f ca="1">IFERROR(__xludf.DUMMYFUNCTION("GOOGLETRANSLATE(B1200:B1215,""RU"",""UK"")"),"Свердло 14,25")</f>
        <v>Свердло 14,25</v>
      </c>
      <c r="D1200" s="15" t="s">
        <v>6</v>
      </c>
      <c r="E1200" s="15">
        <v>58</v>
      </c>
      <c r="F1200" s="91" t="s">
        <v>1713</v>
      </c>
      <c r="G1200" s="4"/>
      <c r="H1200" s="4"/>
      <c r="I1200" s="4"/>
    </row>
    <row r="1201" spans="1:9" ht="15">
      <c r="A1201" s="21">
        <f t="shared" si="22"/>
        <v>40</v>
      </c>
      <c r="B1201" s="14" t="s">
        <v>1719</v>
      </c>
      <c r="C1201" s="85" t="str">
        <f ca="1">IFERROR(__xludf.DUMMYFUNCTION("GOOGLETRANSLATE(B1201:B1216,""RU"",""UK"")"),"Свердло 14,25 х300удл.")</f>
        <v>Свердло 14,25 х300удл.</v>
      </c>
      <c r="D1201" s="15" t="s">
        <v>6</v>
      </c>
      <c r="E1201" s="15">
        <v>23</v>
      </c>
      <c r="F1201" s="91" t="s">
        <v>24</v>
      </c>
      <c r="G1201" s="4"/>
      <c r="H1201" s="4"/>
      <c r="I1201" s="4"/>
    </row>
    <row r="1202" spans="1:9" ht="15">
      <c r="A1202" s="21">
        <f t="shared" si="22"/>
        <v>41</v>
      </c>
      <c r="B1202" s="14" t="s">
        <v>1720</v>
      </c>
      <c r="C1202" s="85" t="str">
        <f ca="1">IFERROR(__xludf.DUMMYFUNCTION("GOOGLETRANSLATE(B1202:B1217,""RU"",""UK"")"),"Свердло 14,5")</f>
        <v>Свердло 14,5</v>
      </c>
      <c r="D1202" s="15" t="s">
        <v>6</v>
      </c>
      <c r="E1202" s="15">
        <v>23</v>
      </c>
      <c r="F1202" s="91" t="s">
        <v>1713</v>
      </c>
      <c r="G1202" s="4"/>
      <c r="H1202" s="4"/>
      <c r="I1202" s="4"/>
    </row>
    <row r="1203" spans="1:9" ht="15">
      <c r="A1203" s="21">
        <f t="shared" si="22"/>
        <v>42</v>
      </c>
      <c r="B1203" s="14" t="s">
        <v>1721</v>
      </c>
      <c r="C1203" s="85" t="str">
        <f ca="1">IFERROR(__xludf.DUMMYFUNCTION("GOOGLETRANSLATE(B1203:B1218,""RU"",""UK"")"),"Свердло 14,5 х250удл. / 14,5 х290удл.")</f>
        <v>Свердло 14,5 х250удл. / 14,5 х290удл.</v>
      </c>
      <c r="D1203" s="15" t="s">
        <v>6</v>
      </c>
      <c r="E1203" s="15" t="s">
        <v>1722</v>
      </c>
      <c r="F1203" s="91" t="s">
        <v>24</v>
      </c>
      <c r="G1203" s="4"/>
      <c r="H1203" s="4"/>
      <c r="I1203" s="4"/>
    </row>
    <row r="1204" spans="1:9" ht="15">
      <c r="A1204" s="21">
        <f t="shared" si="22"/>
        <v>43</v>
      </c>
      <c r="B1204" s="14" t="s">
        <v>1723</v>
      </c>
      <c r="C1204" s="85" t="str">
        <f ca="1">IFERROR(__xludf.DUMMYFUNCTION("GOOGLETRANSLATE(B1204:B1219,""RU"",""UK"")"),"Свердло 14,5 х415удл.")</f>
        <v>Свердло 14,5 х415удл.</v>
      </c>
      <c r="D1204" s="15" t="s">
        <v>6</v>
      </c>
      <c r="E1204" s="15">
        <v>2</v>
      </c>
      <c r="F1204" s="91" t="s">
        <v>162</v>
      </c>
      <c r="G1204" s="4"/>
      <c r="H1204" s="4"/>
      <c r="I1204" s="4"/>
    </row>
    <row r="1205" spans="1:9" ht="15">
      <c r="A1205" s="21">
        <f t="shared" si="22"/>
        <v>44</v>
      </c>
      <c r="B1205" s="16" t="s">
        <v>1724</v>
      </c>
      <c r="C1205" s="85" t="str">
        <f ca="1">IFERROR(__xludf.DUMMYFUNCTION("GOOGLETRANSLATE(B1205:B1220,""RU"",""UK"")"),"Свердло 14,75х300")</f>
        <v>Свердло 14,75х300</v>
      </c>
      <c r="D1205" s="15" t="s">
        <v>6</v>
      </c>
      <c r="E1205" s="15">
        <v>39</v>
      </c>
      <c r="F1205" s="91" t="s">
        <v>140</v>
      </c>
      <c r="G1205" s="4"/>
      <c r="H1205" s="4"/>
      <c r="I1205" s="4"/>
    </row>
    <row r="1206" spans="1:9" ht="15">
      <c r="A1206" s="21">
        <f t="shared" si="22"/>
        <v>45</v>
      </c>
      <c r="B1206" s="14" t="s">
        <v>1725</v>
      </c>
      <c r="C1206" s="85" t="str">
        <f ca="1">IFERROR(__xludf.DUMMYFUNCTION("GOOGLETRANSLATE(B1206:B1221,""RU"",""UK"")"),"Свердло 14,75 х400удл.")</f>
        <v>Свердло 14,75 х400удл.</v>
      </c>
      <c r="D1206" s="15" t="s">
        <v>6</v>
      </c>
      <c r="E1206" s="15">
        <v>50</v>
      </c>
      <c r="F1206" s="91" t="s">
        <v>162</v>
      </c>
      <c r="G1206" s="4"/>
      <c r="H1206" s="4"/>
      <c r="I1206" s="4"/>
    </row>
    <row r="1207" spans="1:9" ht="15">
      <c r="A1207" s="21">
        <f t="shared" si="22"/>
        <v>46</v>
      </c>
      <c r="B1207" s="19" t="s">
        <v>1726</v>
      </c>
      <c r="C1207" s="85" t="str">
        <f ca="1">IFERROR(__xludf.DUMMYFUNCTION("GOOGLETRANSLATE(B1207:B1222,""RU"",""UK"")"),"Свердло 15,0мм")</f>
        <v>Свердло 15,0мм</v>
      </c>
      <c r="D1207" s="15" t="s">
        <v>6</v>
      </c>
      <c r="E1207" s="15">
        <v>4</v>
      </c>
      <c r="F1207" s="91" t="s">
        <v>569</v>
      </c>
      <c r="G1207" s="4"/>
      <c r="H1207" s="4"/>
      <c r="I1207" s="4"/>
    </row>
    <row r="1208" spans="1:9" ht="15">
      <c r="A1208" s="21">
        <f t="shared" si="22"/>
        <v>47</v>
      </c>
      <c r="B1208" s="14" t="s">
        <v>1727</v>
      </c>
      <c r="C1208" s="85" t="str">
        <f ca="1">IFERROR(__xludf.DUMMYFUNCTION("GOOGLETRANSLATE(B1208:B1223,""RU"",""UK"")"),"Свердло 15,0х250мм/15х280мм")</f>
        <v>Свердло 15,0х250мм/15х280мм</v>
      </c>
      <c r="D1208" s="15" t="s">
        <v>6</v>
      </c>
      <c r="E1208" s="15" t="s">
        <v>1635</v>
      </c>
      <c r="F1208" s="91" t="s">
        <v>162</v>
      </c>
      <c r="G1208" s="4"/>
      <c r="H1208" s="4"/>
      <c r="I1208" s="4"/>
    </row>
    <row r="1209" spans="1:9" ht="15">
      <c r="A1209" s="21">
        <f t="shared" si="22"/>
        <v>48</v>
      </c>
      <c r="B1209" s="14" t="s">
        <v>1728</v>
      </c>
      <c r="C1209" s="85" t="str">
        <f ca="1">IFERROR(__xludf.DUMMYFUNCTION("GOOGLETRANSLATE(B1209:B1224,""RU"",""UK"")"),"Свердло 15,0х300/15,0х400удл.")</f>
        <v>Свердло 15,0х300/15,0х400удл.</v>
      </c>
      <c r="D1209" s="15" t="s">
        <v>6</v>
      </c>
      <c r="E1209" s="15" t="s">
        <v>1729</v>
      </c>
      <c r="F1209" s="91" t="s">
        <v>106</v>
      </c>
      <c r="G1209" s="4"/>
      <c r="H1209" s="4"/>
      <c r="I1209" s="4"/>
    </row>
    <row r="1210" spans="1:9" ht="15">
      <c r="A1210" s="21">
        <f t="shared" si="22"/>
        <v>49</v>
      </c>
      <c r="B1210" s="14" t="s">
        <v>1730</v>
      </c>
      <c r="C1210" s="85" t="str">
        <f ca="1">IFERROR(__xludf.DUMMYFUNCTION("GOOGLETRANSLATE(B1210:B1225,""RU"",""UK"")"),"Свердло 15,25 х300удл / 15,5х300 удл.")</f>
        <v>Свердло 15,25 х300удл / 15,5х300 удл.</v>
      </c>
      <c r="D1210" s="15" t="s">
        <v>6</v>
      </c>
      <c r="E1210" s="15" t="s">
        <v>1731</v>
      </c>
      <c r="F1210" s="91" t="s">
        <v>106</v>
      </c>
      <c r="G1210" s="4"/>
      <c r="H1210" s="4"/>
      <c r="I1210" s="4"/>
    </row>
    <row r="1211" spans="1:9" ht="15">
      <c r="A1211" s="21">
        <f t="shared" si="22"/>
        <v>50</v>
      </c>
      <c r="B1211" s="14" t="s">
        <v>1732</v>
      </c>
      <c r="C1211" s="85" t="str">
        <f ca="1">IFERROR(__xludf.DUMMYFUNCTION("GOOGLETRANSLATE(B1211:B1226,""RU"",""UK"")"),"Свердло 15,2/15,25/15,5/15.75")</f>
        <v>Свердло 15,2/15,25/15,5/15.75</v>
      </c>
      <c r="D1211" s="15" t="s">
        <v>6</v>
      </c>
      <c r="E1211" s="15" t="s">
        <v>1733</v>
      </c>
      <c r="F1211" s="91" t="s">
        <v>20</v>
      </c>
      <c r="G1211" s="4"/>
      <c r="H1211" s="4"/>
      <c r="I1211" s="4"/>
    </row>
    <row r="1212" spans="1:9" ht="15">
      <c r="A1212" s="21">
        <f t="shared" si="22"/>
        <v>51</v>
      </c>
      <c r="B1212" s="14" t="s">
        <v>1734</v>
      </c>
      <c r="C1212" s="85" t="str">
        <f ca="1">IFERROR(__xludf.DUMMYFUNCTION("GOOGLETRANSLATE(B1212:B1227,""RU"",""UK"")"),"Свердло 15,75 х300")</f>
        <v>Свердло 15,75 х300</v>
      </c>
      <c r="D1212" s="15" t="s">
        <v>6</v>
      </c>
      <c r="E1212" s="15">
        <v>10</v>
      </c>
      <c r="F1212" s="91" t="s">
        <v>106</v>
      </c>
      <c r="G1212" s="4"/>
      <c r="H1212" s="4"/>
      <c r="I1212" s="4"/>
    </row>
    <row r="1213" spans="1:9" ht="15">
      <c r="A1213" s="21">
        <f t="shared" si="22"/>
        <v>52</v>
      </c>
      <c r="B1213" s="19" t="s">
        <v>1735</v>
      </c>
      <c r="C1213" s="85" t="str">
        <f ca="1">IFERROR(__xludf.DUMMYFUNCTION("GOOGLETRANSLATE(B1213:B1228,""RU"",""UK"")"),"Свердло 16,0")</f>
        <v>Свердло 16,0</v>
      </c>
      <c r="D1213" s="15" t="s">
        <v>6</v>
      </c>
      <c r="E1213" s="15">
        <v>0</v>
      </c>
      <c r="F1213" s="91" t="s">
        <v>24</v>
      </c>
      <c r="G1213" s="4"/>
      <c r="H1213" s="4"/>
      <c r="I1213" s="4"/>
    </row>
    <row r="1214" spans="1:9" ht="15">
      <c r="A1214" s="21">
        <f t="shared" si="22"/>
        <v>53</v>
      </c>
      <c r="B1214" s="14" t="s">
        <v>1736</v>
      </c>
      <c r="C1214" s="85" t="str">
        <f ca="1">IFERROR(__xludf.DUMMYFUNCTION("GOOGLETRANSLATE(B1214:B1229,""RU"",""UK"")"),"Свердло 16,0 х300дл")</f>
        <v>Свердло 16,0 х300дл</v>
      </c>
      <c r="D1214" s="15" t="s">
        <v>6</v>
      </c>
      <c r="E1214" s="15">
        <v>101</v>
      </c>
      <c r="F1214" s="91" t="s">
        <v>16</v>
      </c>
      <c r="G1214" s="4"/>
      <c r="H1214" s="4"/>
      <c r="I1214" s="4"/>
    </row>
    <row r="1215" spans="1:9" ht="15">
      <c r="A1215" s="21">
        <f t="shared" si="22"/>
        <v>54</v>
      </c>
      <c r="B1215" s="14" t="s">
        <v>1737</v>
      </c>
      <c r="C1215" s="85" t="str">
        <f ca="1">IFERROR(__xludf.DUMMYFUNCTION("GOOGLETRANSLATE(B1215:B1230,""RU"",""UK"")"),"Свердло 16,0 х600удл.")</f>
        <v>Свердло 16,0 х600удл.</v>
      </c>
      <c r="D1215" s="15" t="s">
        <v>6</v>
      </c>
      <c r="E1215" s="15">
        <v>4</v>
      </c>
      <c r="F1215" s="91" t="s">
        <v>272</v>
      </c>
      <c r="G1215" s="4"/>
      <c r="H1215" s="4"/>
      <c r="I1215" s="4"/>
    </row>
    <row r="1216" spans="1:9" ht="15">
      <c r="A1216" s="21">
        <f t="shared" si="22"/>
        <v>55</v>
      </c>
      <c r="B1216" s="14" t="s">
        <v>1738</v>
      </c>
      <c r="C1216" s="85" t="str">
        <f ca="1">IFERROR(__xludf.DUMMYFUNCTION("GOOGLETRANSLATE(B1216:B1231,""RU"",""UK"")"),"Свердло 16,25/16,5")</f>
        <v>Свердло 16,25/16,5</v>
      </c>
      <c r="D1216" s="15" t="s">
        <v>6</v>
      </c>
      <c r="E1216" s="15" t="s">
        <v>1739</v>
      </c>
      <c r="F1216" s="91" t="s">
        <v>1740</v>
      </c>
      <c r="G1216" s="4"/>
      <c r="H1216" s="4"/>
      <c r="I1216" s="4"/>
    </row>
    <row r="1217" spans="1:9" ht="15">
      <c r="A1217" s="21">
        <f t="shared" si="22"/>
        <v>56</v>
      </c>
      <c r="B1217" s="14" t="s">
        <v>1741</v>
      </c>
      <c r="C1217" s="85" t="str">
        <f ca="1">IFERROR(__xludf.DUMMYFUNCTION("GOOGLETRANSLATE(B1217:B1232,""RU"",""UK"")"),"Свердло 16,5 х300удл. / 16.75х300")</f>
        <v>Свердло 16,5 х300удл. / 16.75х300</v>
      </c>
      <c r="D1217" s="15" t="s">
        <v>6</v>
      </c>
      <c r="E1217" s="15" t="s">
        <v>1742</v>
      </c>
      <c r="F1217" s="91" t="s">
        <v>16</v>
      </c>
      <c r="G1217" s="4"/>
      <c r="H1217" s="4"/>
      <c r="I1217" s="4"/>
    </row>
    <row r="1218" spans="1:9" ht="15">
      <c r="A1218" s="21">
        <f t="shared" si="22"/>
        <v>57</v>
      </c>
      <c r="B1218" s="14" t="s">
        <v>1743</v>
      </c>
      <c r="C1218" s="85" t="str">
        <f ca="1">IFERROR(__xludf.DUMMYFUNCTION("GOOGLETRANSLATE(B1218:B1233,""RU"",""UK"")"),"Свердло 16,75")</f>
        <v>Свердло 16,75</v>
      </c>
      <c r="D1218" s="15" t="s">
        <v>6</v>
      </c>
      <c r="E1218" s="15">
        <v>50</v>
      </c>
      <c r="F1218" s="91" t="s">
        <v>1744</v>
      </c>
      <c r="G1218" s="4"/>
      <c r="H1218" s="4"/>
      <c r="I1218" s="4"/>
    </row>
    <row r="1219" spans="1:9" ht="15">
      <c r="A1219" s="21">
        <f t="shared" si="22"/>
        <v>58</v>
      </c>
      <c r="B1219" s="14" t="s">
        <v>1745</v>
      </c>
      <c r="C1219" s="85" t="str">
        <f ca="1">IFERROR(__xludf.DUMMYFUNCTION("GOOGLETRANSLATE(B1219:B1234,""RU"",""UK"")"),"Свердло 17,0 / 17.25")</f>
        <v>Свердло 17,0 / 17.25</v>
      </c>
      <c r="D1219" s="15" t="s">
        <v>6</v>
      </c>
      <c r="E1219" s="15" t="s">
        <v>1746</v>
      </c>
      <c r="F1219" s="91" t="s">
        <v>162</v>
      </c>
      <c r="G1219" s="4"/>
      <c r="H1219" s="4"/>
      <c r="I1219" s="4"/>
    </row>
    <row r="1220" spans="1:9" ht="15">
      <c r="A1220" s="21">
        <f t="shared" si="22"/>
        <v>59</v>
      </c>
      <c r="B1220" s="14" t="s">
        <v>1747</v>
      </c>
      <c r="C1220" s="85" t="str">
        <f ca="1">IFERROR(__xludf.DUMMYFUNCTION("GOOGLETRANSLATE(B1220:B1235,""RU"",""UK"")"),"Свердло 17,0 х250-320дл.")</f>
        <v>Свердло 17,0 х250-320дл.</v>
      </c>
      <c r="D1220" s="15" t="s">
        <v>6</v>
      </c>
      <c r="E1220" s="15">
        <v>72</v>
      </c>
      <c r="F1220" s="91" t="s">
        <v>16</v>
      </c>
      <c r="G1220" s="4"/>
      <c r="H1220" s="4"/>
      <c r="I1220" s="4"/>
    </row>
    <row r="1221" spans="1:9" ht="15">
      <c r="A1221" s="21">
        <f t="shared" si="22"/>
        <v>60</v>
      </c>
      <c r="B1221" s="14" t="s">
        <v>1748</v>
      </c>
      <c r="C1221" s="85" t="str">
        <f ca="1">IFERROR(__xludf.DUMMYFUNCTION("GOOGLETRANSLATE(B1221:B1236,""RU"",""UK"")"),"Свердло 17,4/17,5")</f>
        <v>Свердло 17,4/17,5</v>
      </c>
      <c r="D1221" s="15" t="s">
        <v>6</v>
      </c>
      <c r="E1221" s="15" t="s">
        <v>1749</v>
      </c>
      <c r="F1221" s="91" t="s">
        <v>162</v>
      </c>
      <c r="G1221" s="4"/>
      <c r="H1221" s="4"/>
      <c r="I1221" s="4"/>
    </row>
    <row r="1222" spans="1:9" ht="15">
      <c r="A1222" s="21">
        <f t="shared" si="22"/>
        <v>61</v>
      </c>
      <c r="B1222" s="14" t="s">
        <v>1750</v>
      </c>
      <c r="C1222" s="85" t="str">
        <f ca="1">IFERROR(__xludf.DUMMYFUNCTION("GOOGLETRANSLATE(B1222:B1237,""RU"",""UK"")"),"Свердло 17,4 х330 (220) дл.")</f>
        <v>Свердло 17,4 х330 (220) дл.</v>
      </c>
      <c r="D1222" s="15" t="s">
        <v>6</v>
      </c>
      <c r="E1222" s="15">
        <v>11</v>
      </c>
      <c r="F1222" s="91" t="s">
        <v>272</v>
      </c>
      <c r="G1222" s="4"/>
      <c r="H1222" s="4"/>
      <c r="I1222" s="4"/>
    </row>
    <row r="1223" spans="1:9" ht="15">
      <c r="A1223" s="21">
        <f t="shared" si="22"/>
        <v>62</v>
      </c>
      <c r="B1223" s="14" t="s">
        <v>1751</v>
      </c>
      <c r="C1223" s="85" t="str">
        <f ca="1">IFERROR(__xludf.DUMMYFUNCTION("GOOGLETRANSLATE(B1223:B1238,""RU"",""UK"")"),"Свердло 17.5х320/17,6х350")</f>
        <v>Свердло 17.5х320/17,6х350</v>
      </c>
      <c r="D1223" s="15" t="s">
        <v>6</v>
      </c>
      <c r="E1223" s="15" t="s">
        <v>1752</v>
      </c>
      <c r="F1223" s="91" t="s">
        <v>272</v>
      </c>
      <c r="G1223" s="4"/>
      <c r="H1223" s="4"/>
      <c r="I1223" s="4"/>
    </row>
    <row r="1224" spans="1:9" ht="15">
      <c r="A1224" s="21">
        <f t="shared" si="22"/>
        <v>63</v>
      </c>
      <c r="B1224" s="14" t="s">
        <v>1753</v>
      </c>
      <c r="C1224" s="85" t="str">
        <f ca="1">IFERROR(__xludf.DUMMYFUNCTION("GOOGLETRANSLATE(B1224:B1239,""RU"",""UK"")"),"Свердло 17,75 х330 (200) дл.")</f>
        <v>Свердло 17,75 х330 (200) дл.</v>
      </c>
      <c r="D1224" s="15" t="s">
        <v>6</v>
      </c>
      <c r="E1224" s="15">
        <v>8</v>
      </c>
      <c r="F1224" s="91" t="s">
        <v>272</v>
      </c>
      <c r="G1224" s="4"/>
      <c r="H1224" s="4"/>
      <c r="I1224" s="4"/>
    </row>
    <row r="1225" spans="1:9" ht="15">
      <c r="A1225" s="21">
        <f t="shared" si="22"/>
        <v>64</v>
      </c>
      <c r="B1225" s="19" t="s">
        <v>1754</v>
      </c>
      <c r="C1225" s="85" t="str">
        <f ca="1">IFERROR(__xludf.DUMMYFUNCTION("GOOGLETRANSLATE(B1225:B1240,""RU"",""UK"")"),"Свердло 18.0")</f>
        <v>Свердло 18.0</v>
      </c>
      <c r="D1225" s="15" t="s">
        <v>6</v>
      </c>
      <c r="E1225" s="15">
        <v>8</v>
      </c>
      <c r="F1225" s="91" t="s">
        <v>22</v>
      </c>
      <c r="G1225" s="4"/>
      <c r="H1225" s="4"/>
      <c r="I1225" s="4"/>
    </row>
    <row r="1226" spans="1:9" ht="15">
      <c r="A1226" s="21">
        <f t="shared" si="22"/>
        <v>65</v>
      </c>
      <c r="B1226" s="14" t="s">
        <v>1755</v>
      </c>
      <c r="C1226" s="85" t="str">
        <f ca="1">IFERROR(__xludf.DUMMYFUNCTION("GOOGLETRANSLATE(B1226:B1241,""RU"",""UK"")"),"Свердло 18.0х300 (170)")</f>
        <v>Свердло 18.0х300 (170)</v>
      </c>
      <c r="D1226" s="15" t="s">
        <v>6</v>
      </c>
      <c r="E1226" s="15">
        <v>1</v>
      </c>
      <c r="F1226" s="91" t="s">
        <v>18</v>
      </c>
      <c r="G1226" s="4"/>
      <c r="H1226" s="4"/>
      <c r="I1226" s="4"/>
    </row>
    <row r="1227" spans="1:9" ht="15">
      <c r="A1227" s="21">
        <f t="shared" si="22"/>
        <v>66</v>
      </c>
      <c r="B1227" s="14" t="s">
        <v>1756</v>
      </c>
      <c r="C1227" s="85" t="str">
        <f ca="1">IFERROR(__xludf.DUMMYFUNCTION("GOOGLETRANSLATE(B1227:B1242,""RU"",""UK"")"),"Свердло 18,0х320 (220) / 18,0х250 (190)")</f>
        <v>Свердло 18,0х320 (220) / 18,0х250 (190)</v>
      </c>
      <c r="D1227" s="15" t="s">
        <v>6</v>
      </c>
      <c r="E1227" s="15" t="s">
        <v>1757</v>
      </c>
      <c r="F1227" s="91" t="s">
        <v>413</v>
      </c>
      <c r="G1227" s="4"/>
      <c r="H1227" s="4"/>
      <c r="I1227" s="4"/>
    </row>
    <row r="1228" spans="1:9" ht="15">
      <c r="A1228" s="21">
        <f t="shared" ref="A1228:A1291" si="23">A1227+1</f>
        <v>67</v>
      </c>
      <c r="B1228" s="14" t="s">
        <v>1758</v>
      </c>
      <c r="C1228" s="85" t="str">
        <f ca="1">IFERROR(__xludf.DUMMYFUNCTION("GOOGLETRANSLATE(B1228:B1243,""RU"",""UK"")"),"Свердло 18,25/18,5")</f>
        <v>Свердло 18,25/18,5</v>
      </c>
      <c r="D1228" s="15" t="s">
        <v>6</v>
      </c>
      <c r="E1228" s="15" t="s">
        <v>1759</v>
      </c>
      <c r="F1228" s="91" t="s">
        <v>22</v>
      </c>
      <c r="G1228" s="4"/>
      <c r="H1228" s="4"/>
      <c r="I1228" s="4"/>
    </row>
    <row r="1229" spans="1:9" ht="15">
      <c r="A1229" s="21">
        <f t="shared" si="23"/>
        <v>68</v>
      </c>
      <c r="B1229" s="14" t="s">
        <v>1760</v>
      </c>
      <c r="C1229" s="85" t="str">
        <f ca="1">IFERROR(__xludf.DUMMYFUNCTION("GOOGLETRANSLATE(B1229:B1244,""RU"",""UK"")"),"Свердло 18,25 х310 (100) / 18,5 х330 удл.")</f>
        <v>Свердло 18,25 х310 (100) / 18,5 х330 удл.</v>
      </c>
      <c r="D1229" s="15" t="s">
        <v>6</v>
      </c>
      <c r="E1229" s="15" t="s">
        <v>1761</v>
      </c>
      <c r="F1229" s="91" t="s">
        <v>18</v>
      </c>
      <c r="G1229" s="4"/>
      <c r="H1229" s="4"/>
      <c r="I1229" s="4"/>
    </row>
    <row r="1230" spans="1:9" ht="15">
      <c r="A1230" s="21">
        <f t="shared" si="23"/>
        <v>69</v>
      </c>
      <c r="B1230" s="14" t="s">
        <v>1762</v>
      </c>
      <c r="C1230" s="85" t="str">
        <f ca="1">IFERROR(__xludf.DUMMYFUNCTION("GOOGLETRANSLATE(B1230:B1245,""RU"",""UK"")"),"Свердло 18,5 х400удл. / 18,5 х450удл.")</f>
        <v>Свердло 18,5 х400удл. / 18,5 х450удл.</v>
      </c>
      <c r="D1230" s="15" t="s">
        <v>6</v>
      </c>
      <c r="E1230" s="15" t="s">
        <v>1763</v>
      </c>
      <c r="F1230" s="91" t="s">
        <v>413</v>
      </c>
      <c r="G1230" s="4"/>
      <c r="H1230" s="4"/>
      <c r="I1230" s="4"/>
    </row>
    <row r="1231" spans="1:9" ht="15">
      <c r="A1231" s="21">
        <f t="shared" si="23"/>
        <v>70</v>
      </c>
      <c r="B1231" s="14" t="s">
        <v>1764</v>
      </c>
      <c r="C1231" s="85" t="str">
        <f ca="1">IFERROR(__xludf.DUMMYFUNCTION("GOOGLETRANSLATE(B1231:B1246,""RU"",""UK"")"),"Свердло 18,75")</f>
        <v>Свердло 18,75</v>
      </c>
      <c r="D1231" s="15" t="s">
        <v>6</v>
      </c>
      <c r="E1231" s="15">
        <v>56</v>
      </c>
      <c r="F1231" s="91" t="s">
        <v>22</v>
      </c>
      <c r="G1231" s="4"/>
      <c r="H1231" s="4"/>
      <c r="I1231" s="4"/>
    </row>
    <row r="1232" spans="1:9" ht="15">
      <c r="A1232" s="21">
        <f t="shared" si="23"/>
        <v>71</v>
      </c>
      <c r="B1232" s="14" t="s">
        <v>1765</v>
      </c>
      <c r="C1232" s="85" t="str">
        <f ca="1">IFERROR(__xludf.DUMMYFUNCTION("GOOGLETRANSLATE(B1232:B1247,""RU"",""UK"")"),"Свердло 19,0/19.25/19,4")</f>
        <v>Свердло 19,0/19.25/19,4</v>
      </c>
      <c r="D1232" s="15" t="s">
        <v>6</v>
      </c>
      <c r="E1232" s="15" t="s">
        <v>1766</v>
      </c>
      <c r="F1232" s="91" t="s">
        <v>22</v>
      </c>
      <c r="G1232" s="4"/>
      <c r="H1232" s="4"/>
      <c r="I1232" s="4"/>
    </row>
    <row r="1233" spans="1:9" ht="15">
      <c r="A1233" s="21">
        <f t="shared" si="23"/>
        <v>72</v>
      </c>
      <c r="B1233" s="14" t="s">
        <v>1767</v>
      </c>
      <c r="C1233" s="85" t="str">
        <f ca="1">IFERROR(__xludf.DUMMYFUNCTION("GOOGLETRANSLATE(B1233:B1248,""RU"",""UK"")"),"Свердло 19х300 удл.")</f>
        <v>Свердло 19х300 удл.</v>
      </c>
      <c r="D1233" s="15" t="s">
        <v>6</v>
      </c>
      <c r="E1233" s="15">
        <v>18</v>
      </c>
      <c r="F1233" s="91" t="s">
        <v>1768</v>
      </c>
      <c r="G1233" s="4"/>
      <c r="H1233" s="4"/>
      <c r="I1233" s="4"/>
    </row>
    <row r="1234" spans="1:9" ht="15">
      <c r="A1234" s="21">
        <f t="shared" si="23"/>
        <v>73</v>
      </c>
      <c r="B1234" s="14" t="s">
        <v>1769</v>
      </c>
      <c r="C1234" s="85" t="str">
        <f ca="1">IFERROR(__xludf.DUMMYFUNCTION("GOOGLETRANSLATE(B1234:B1249,""RU"",""UK"")"),"Свердло 19,5 / 19,75")</f>
        <v>Свердло 19,5 / 19,75</v>
      </c>
      <c r="D1234" s="15" t="s">
        <v>6</v>
      </c>
      <c r="E1234" s="15" t="s">
        <v>1770</v>
      </c>
      <c r="F1234" s="91" t="s">
        <v>1771</v>
      </c>
      <c r="G1234" s="4"/>
      <c r="H1234" s="4"/>
      <c r="I1234" s="4"/>
    </row>
    <row r="1235" spans="1:9" ht="15">
      <c r="A1235" s="21">
        <f t="shared" si="23"/>
        <v>74</v>
      </c>
      <c r="B1235" s="14" t="s">
        <v>1772</v>
      </c>
      <c r="C1235" s="85" t="str">
        <f ca="1">IFERROR(__xludf.DUMMYFUNCTION("GOOGLETRANSLATE(B1235:B1250,""RU"",""UK"")"),"Свердло 19,75 х340 (220) удл.")</f>
        <v>Свердло 19,75 х340 (220) удл.</v>
      </c>
      <c r="D1235" s="15" t="s">
        <v>6</v>
      </c>
      <c r="E1235" s="15">
        <v>1</v>
      </c>
      <c r="F1235" s="91" t="s">
        <v>413</v>
      </c>
      <c r="G1235" s="4"/>
      <c r="H1235" s="4"/>
      <c r="I1235" s="4"/>
    </row>
    <row r="1236" spans="1:9" ht="15">
      <c r="A1236" s="21">
        <f t="shared" si="23"/>
        <v>75</v>
      </c>
      <c r="B1236" s="14" t="s">
        <v>1773</v>
      </c>
      <c r="C1236" s="85" t="str">
        <f ca="1">IFERROR(__xludf.DUMMYFUNCTION("GOOGLETRANSLATE(B1236:B1251,""RU"",""UK"")"),"Свердло 20,0 / 20,25")</f>
        <v>Свердло 20,0 / 20,25</v>
      </c>
      <c r="D1236" s="15" t="s">
        <v>6</v>
      </c>
      <c r="E1236" s="15" t="s">
        <v>942</v>
      </c>
      <c r="F1236" s="91" t="s">
        <v>413</v>
      </c>
      <c r="G1236" s="4"/>
      <c r="H1236" s="4"/>
      <c r="I1236" s="4"/>
    </row>
    <row r="1237" spans="1:9" ht="15">
      <c r="A1237" s="21">
        <f t="shared" si="23"/>
        <v>76</v>
      </c>
      <c r="B1237" s="14" t="s">
        <v>1774</v>
      </c>
      <c r="C1237" s="85" t="str">
        <f ca="1">IFERROR(__xludf.DUMMYFUNCTION("GOOGLETRANSLATE(B1237:B1252,""RU"",""UK"")"),"Свердло 20,0х300-350удл")</f>
        <v>Свердло 20,0х300-350удл</v>
      </c>
      <c r="D1237" s="15" t="s">
        <v>6</v>
      </c>
      <c r="E1237" s="15">
        <v>173</v>
      </c>
      <c r="F1237" s="91" t="s">
        <v>36</v>
      </c>
      <c r="G1237" s="4"/>
      <c r="H1237" s="4"/>
      <c r="I1237" s="4"/>
    </row>
    <row r="1238" spans="1:9" ht="15">
      <c r="A1238" s="21">
        <f t="shared" si="23"/>
        <v>77</v>
      </c>
      <c r="B1238" s="14" t="s">
        <v>1775</v>
      </c>
      <c r="C1238" s="85" t="str">
        <f ca="1">IFERROR(__xludf.DUMMYFUNCTION("GOOGLETRANSLATE(B1238:B1253,""RU"",""UK"")"),"Свердло 20,0х650 (130)удл")</f>
        <v>Свердло 20,0х650 (130)удл</v>
      </c>
      <c r="D1238" s="15" t="s">
        <v>6</v>
      </c>
      <c r="E1238" s="15">
        <v>1</v>
      </c>
      <c r="F1238" s="91" t="s">
        <v>27</v>
      </c>
      <c r="G1238" s="4"/>
      <c r="H1238" s="4"/>
      <c r="I1238" s="4"/>
    </row>
    <row r="1239" spans="1:9" ht="15">
      <c r="A1239" s="21">
        <f t="shared" si="23"/>
        <v>78</v>
      </c>
      <c r="B1239" s="14" t="s">
        <v>1776</v>
      </c>
      <c r="C1239" s="85" t="str">
        <f ca="1">IFERROR(__xludf.DUMMYFUNCTION("GOOGLETRANSLATE(B1239:B1254,""RU"",""UK"")"),"Свердло 20,25х320(220)удл")</f>
        <v>Свердло 20,25х320(220)удл</v>
      </c>
      <c r="D1239" s="15" t="s">
        <v>6</v>
      </c>
      <c r="E1239" s="15">
        <v>5</v>
      </c>
      <c r="F1239" s="91" t="s">
        <v>36</v>
      </c>
      <c r="G1239" s="4"/>
      <c r="H1239" s="4"/>
      <c r="I1239" s="4"/>
    </row>
    <row r="1240" spans="1:9" ht="15">
      <c r="A1240" s="21">
        <f t="shared" si="23"/>
        <v>79</v>
      </c>
      <c r="B1240" s="14" t="s">
        <v>1777</v>
      </c>
      <c r="C1240" s="85" t="str">
        <f ca="1">IFERROR(__xludf.DUMMYFUNCTION("GOOGLETRANSLATE(B1240:B1255,""RU"",""UK"")"),"Свердло 20,5х300/20,5х350удл")</f>
        <v>Свердло 20,5х300/20,5х350удл</v>
      </c>
      <c r="D1240" s="15" t="s">
        <v>6</v>
      </c>
      <c r="E1240" s="15" t="s">
        <v>1778</v>
      </c>
      <c r="F1240" s="91" t="s">
        <v>36</v>
      </c>
      <c r="G1240" s="4"/>
      <c r="H1240" s="4"/>
      <c r="I1240" s="4"/>
    </row>
    <row r="1241" spans="1:9" ht="15">
      <c r="A1241" s="21">
        <f t="shared" si="23"/>
        <v>80</v>
      </c>
      <c r="B1241" s="14" t="s">
        <v>1779</v>
      </c>
      <c r="C1241" s="85" t="str">
        <f ca="1">IFERROR(__xludf.DUMMYFUNCTION("GOOGLETRANSLATE(B1241:B1256,""RU"",""UK"")"),"Свердло 20,5 / 20.75")</f>
        <v>Свердло 20,5 / 20.75</v>
      </c>
      <c r="D1241" s="15" t="s">
        <v>6</v>
      </c>
      <c r="E1241" s="15" t="s">
        <v>1780</v>
      </c>
      <c r="F1241" s="91" t="s">
        <v>413</v>
      </c>
      <c r="G1241" s="4"/>
      <c r="H1241" s="4"/>
      <c r="I1241" s="4"/>
    </row>
    <row r="1242" spans="1:9" ht="15">
      <c r="A1242" s="21">
        <f t="shared" si="23"/>
        <v>81</v>
      </c>
      <c r="B1242" s="14" t="s">
        <v>1781</v>
      </c>
      <c r="C1242" s="85" t="str">
        <f ca="1">IFERROR(__xludf.DUMMYFUNCTION("GOOGLETRANSLATE(B1242:B1257,""RU"",""UK"")"),"Свердло 20,75 х330удл")</f>
        <v>Свердло 20,75 х330удл</v>
      </c>
      <c r="D1242" s="15" t="s">
        <v>6</v>
      </c>
      <c r="E1242" s="15">
        <v>1</v>
      </c>
      <c r="F1242" s="91" t="s">
        <v>36</v>
      </c>
      <c r="G1242" s="4"/>
      <c r="H1242" s="4"/>
      <c r="I1242" s="4"/>
    </row>
    <row r="1243" spans="1:9" ht="15">
      <c r="A1243" s="21">
        <f t="shared" si="23"/>
        <v>82</v>
      </c>
      <c r="B1243" s="14" t="s">
        <v>1782</v>
      </c>
      <c r="C1243" s="85" t="str">
        <f ca="1">IFERROR(__xludf.DUMMYFUNCTION("GOOGLETRANSLATE(B1243:B1258,""RU"",""UK"")"),"Свердло 20,8/20,9")</f>
        <v>Свердло 20,8/20,9</v>
      </c>
      <c r="D1243" s="15" t="s">
        <v>6</v>
      </c>
      <c r="E1243" s="15" t="s">
        <v>1783</v>
      </c>
      <c r="F1243" s="91" t="s">
        <v>413</v>
      </c>
      <c r="G1243" s="4"/>
      <c r="H1243" s="4"/>
      <c r="I1243" s="4"/>
    </row>
    <row r="1244" spans="1:9" ht="15">
      <c r="A1244" s="21">
        <f t="shared" si="23"/>
        <v>83</v>
      </c>
      <c r="B1244" s="14" t="s">
        <v>1784</v>
      </c>
      <c r="C1244" s="85" t="str">
        <f ca="1">IFERROR(__xludf.DUMMYFUNCTION("GOOGLETRANSLATE(B1244:B1259,""RU"",""UK"")"),"Свердло 21,0 / 21.25")</f>
        <v>Свердло 21,0 / 21.25</v>
      </c>
      <c r="D1244" s="15" t="s">
        <v>6</v>
      </c>
      <c r="E1244" s="15" t="s">
        <v>1785</v>
      </c>
      <c r="F1244" s="91" t="s">
        <v>413</v>
      </c>
      <c r="G1244" s="4"/>
      <c r="H1244" s="4"/>
      <c r="I1244" s="4"/>
    </row>
    <row r="1245" spans="1:9" ht="15">
      <c r="A1245" s="21">
        <f t="shared" si="23"/>
        <v>84</v>
      </c>
      <c r="B1245" s="14" t="s">
        <v>1786</v>
      </c>
      <c r="C1245" s="85" t="str">
        <f ca="1">IFERROR(__xludf.DUMMYFUNCTION("GOOGLETRANSLATE(B1245:B1260,""RU"",""UK"")"),"Свердло 21.0х320удл. / 21,0х400(300)")</f>
        <v>Свердло 21.0х320удл. / 21,0х400(300)</v>
      </c>
      <c r="D1245" s="15" t="s">
        <v>6</v>
      </c>
      <c r="E1245" s="15" t="s">
        <v>1787</v>
      </c>
      <c r="F1245" s="91" t="s">
        <v>36</v>
      </c>
      <c r="G1245" s="4"/>
      <c r="H1245" s="4"/>
      <c r="I1245" s="4"/>
    </row>
    <row r="1246" spans="1:9" ht="15">
      <c r="A1246" s="21">
        <f t="shared" si="23"/>
        <v>85</v>
      </c>
      <c r="B1246" s="14" t="s">
        <v>1788</v>
      </c>
      <c r="C1246" s="85" t="str">
        <f ca="1">IFERROR(__xludf.DUMMYFUNCTION("GOOGLETRANSLATE(B1246:B1261,""RU"",""UK"")"),"Свердло ступінчасте 21.0х18х40 к/хв удл")</f>
        <v>Свердло ступінчасте 21.0х18х40 к/хв удл</v>
      </c>
      <c r="D1246" s="15" t="s">
        <v>6</v>
      </c>
      <c r="E1246" s="15">
        <v>1</v>
      </c>
      <c r="F1246" s="91" t="s">
        <v>413</v>
      </c>
      <c r="G1246" s="4"/>
      <c r="H1246" s="4"/>
      <c r="I1246" s="4"/>
    </row>
    <row r="1247" spans="1:9" ht="15">
      <c r="A1247" s="21">
        <f t="shared" si="23"/>
        <v>86</v>
      </c>
      <c r="B1247" s="14" t="s">
        <v>1789</v>
      </c>
      <c r="C1247" s="85" t="str">
        <f ca="1">IFERROR(__xludf.DUMMYFUNCTION("GOOGLETRANSLATE(B1247:B1262,""RU"",""UK"")"),"Свердло 21,25х330(230)")</f>
        <v>Свердло 21,25х330(230)</v>
      </c>
      <c r="D1247" s="15" t="s">
        <v>6</v>
      </c>
      <c r="E1247" s="15">
        <v>2</v>
      </c>
      <c r="F1247" s="91" t="s">
        <v>36</v>
      </c>
      <c r="G1247" s="4"/>
      <c r="H1247" s="4"/>
      <c r="I1247" s="4"/>
    </row>
    <row r="1248" spans="1:9" ht="15">
      <c r="A1248" s="21">
        <f t="shared" si="23"/>
        <v>87</v>
      </c>
      <c r="B1248" s="14" t="s">
        <v>1790</v>
      </c>
      <c r="C1248" s="85" t="str">
        <f ca="1">IFERROR(__xludf.DUMMYFUNCTION("GOOGLETRANSLATE(B1248:B1263,""RU"",""UK"")"),"Свердло 21.5")</f>
        <v>Свердло 21.5</v>
      </c>
      <c r="D1248" s="15" t="s">
        <v>6</v>
      </c>
      <c r="E1248" s="15">
        <v>22</v>
      </c>
      <c r="F1248" s="91" t="s">
        <v>53</v>
      </c>
      <c r="G1248" s="4"/>
      <c r="H1248" s="4"/>
      <c r="I1248" s="4"/>
    </row>
    <row r="1249" spans="1:9" ht="15">
      <c r="A1249" s="21">
        <f t="shared" si="23"/>
        <v>88</v>
      </c>
      <c r="B1249" s="14" t="s">
        <v>1791</v>
      </c>
      <c r="C1249" s="85" t="str">
        <f ca="1">IFERROR(__xludf.DUMMYFUNCTION("GOOGLETRANSLATE(B1249:B1264,""RU"",""UK"")"),"Свердло 21.5х290дл.")</f>
        <v>Свердло 21.5х290дл.</v>
      </c>
      <c r="D1249" s="15" t="s">
        <v>6</v>
      </c>
      <c r="E1249" s="15">
        <v>2</v>
      </c>
      <c r="F1249" s="91" t="s">
        <v>36</v>
      </c>
      <c r="G1249" s="4"/>
      <c r="H1249" s="4"/>
      <c r="I1249" s="4"/>
    </row>
    <row r="1250" spans="1:9" ht="15">
      <c r="A1250" s="21">
        <f t="shared" si="23"/>
        <v>89</v>
      </c>
      <c r="B1250" s="14" t="s">
        <v>1792</v>
      </c>
      <c r="C1250" s="85" t="str">
        <f ca="1">IFERROR(__xludf.DUMMYFUNCTION("GOOGLETRANSLATE(B1250:B1265,""RU"",""UK"")"),"Свердло 21.5х490(260)удл. / 21,5 х350 (220) удл")</f>
        <v>Свердло 21.5х490(260)удл. / 21,5 х350 (220) удл</v>
      </c>
      <c r="D1250" s="15" t="s">
        <v>6</v>
      </c>
      <c r="E1250" s="15" t="s">
        <v>1793</v>
      </c>
      <c r="F1250" s="91" t="s">
        <v>27</v>
      </c>
      <c r="G1250" s="4"/>
      <c r="H1250" s="4"/>
      <c r="I1250" s="4"/>
    </row>
    <row r="1251" spans="1:9" ht="15">
      <c r="A1251" s="21">
        <f t="shared" si="23"/>
        <v>90</v>
      </c>
      <c r="B1251" s="14" t="s">
        <v>1794</v>
      </c>
      <c r="C1251" s="85" t="str">
        <f ca="1">IFERROR(__xludf.DUMMYFUNCTION("GOOGLETRANSLATE(B1251:B1266,""RU"",""UK"")"),"Свердло 21.5х730(220)удл.")</f>
        <v>Свердло 21.5х730(220)удл.</v>
      </c>
      <c r="D1251" s="15" t="s">
        <v>6</v>
      </c>
      <c r="E1251" s="15">
        <v>1</v>
      </c>
      <c r="F1251" s="91" t="s">
        <v>78</v>
      </c>
      <c r="G1251" s="4"/>
      <c r="H1251" s="4"/>
      <c r="I1251" s="4"/>
    </row>
    <row r="1252" spans="1:9" ht="15">
      <c r="A1252" s="21">
        <f t="shared" si="23"/>
        <v>91</v>
      </c>
      <c r="B1252" s="19" t="s">
        <v>1795</v>
      </c>
      <c r="C1252" s="85" t="str">
        <f ca="1">IFERROR(__xludf.DUMMYFUNCTION("GOOGLETRANSLATE(B1252:B1267,""RU"",""UK"")"),"Свердло 22.0")</f>
        <v>Свердло 22.0</v>
      </c>
      <c r="D1252" s="15" t="s">
        <v>6</v>
      </c>
      <c r="E1252" s="15">
        <v>13</v>
      </c>
      <c r="F1252" s="91" t="s">
        <v>53</v>
      </c>
      <c r="G1252" s="4"/>
      <c r="H1252" s="4"/>
      <c r="I1252" s="4"/>
    </row>
    <row r="1253" spans="1:9" ht="15">
      <c r="A1253" s="21">
        <f t="shared" si="23"/>
        <v>92</v>
      </c>
      <c r="B1253" s="16" t="s">
        <v>1796</v>
      </c>
      <c r="C1253" s="85" t="str">
        <f ca="1">IFERROR(__xludf.DUMMYFUNCTION("GOOGLETRANSLATE(B1253:B1268,""RU"",""UK"")"),"Свердло 22.0х420(260)удл")</f>
        <v>Свердло 22.0х420(260)удл</v>
      </c>
      <c r="D1253" s="15" t="s">
        <v>6</v>
      </c>
      <c r="E1253" s="15">
        <v>1</v>
      </c>
      <c r="F1253" s="91" t="s">
        <v>27</v>
      </c>
      <c r="G1253" s="4"/>
      <c r="H1253" s="4"/>
      <c r="I1253" s="4"/>
    </row>
    <row r="1254" spans="1:9" ht="15">
      <c r="A1254" s="21">
        <f t="shared" si="23"/>
        <v>93</v>
      </c>
      <c r="B1254" s="14" t="s">
        <v>1797</v>
      </c>
      <c r="C1254" s="85" t="str">
        <f ca="1">IFERROR(__xludf.DUMMYFUNCTION("GOOGLETRANSLATE(B1254:B1269,""RU"",""UK"")"),"Свердло 22.25/22,5/22,75")</f>
        <v>Свердло 22.25/22,5/22,75</v>
      </c>
      <c r="D1254" s="15" t="s">
        <v>6</v>
      </c>
      <c r="E1254" s="15" t="s">
        <v>1798</v>
      </c>
      <c r="F1254" s="91" t="s">
        <v>53</v>
      </c>
      <c r="G1254" s="4"/>
      <c r="H1254" s="4"/>
      <c r="I1254" s="4"/>
    </row>
    <row r="1255" spans="1:9" ht="15">
      <c r="A1255" s="21">
        <f t="shared" si="23"/>
        <v>94</v>
      </c>
      <c r="B1255" s="14" t="s">
        <v>1799</v>
      </c>
      <c r="C1255" s="85" t="str">
        <f ca="1">IFERROR(__xludf.DUMMYFUNCTION("GOOGLETRANSLATE(B1255:B1270,""RU"",""UK"")"),"Свердло 23,0 / 23,25")</f>
        <v>Свердло 23,0 / 23,25</v>
      </c>
      <c r="D1255" s="15" t="s">
        <v>6</v>
      </c>
      <c r="E1255" s="15" t="s">
        <v>1800</v>
      </c>
      <c r="F1255" s="91" t="s">
        <v>53</v>
      </c>
      <c r="G1255" s="4"/>
      <c r="H1255" s="4"/>
      <c r="I1255" s="4"/>
    </row>
    <row r="1256" spans="1:9" ht="15">
      <c r="A1256" s="21">
        <f t="shared" si="23"/>
        <v>95</v>
      </c>
      <c r="B1256" s="14" t="s">
        <v>1801</v>
      </c>
      <c r="C1256" s="85" t="str">
        <f ca="1">IFERROR(__xludf.DUMMYFUNCTION("GOOGLETRANSLATE(B1256:B1271,""RU"",""UK"")"),"Свердло 23.0х330(230)удл / 23.0х340(240)удл")</f>
        <v>Свердло 23.0х330(230)удл / 23.0х340(240)удл</v>
      </c>
      <c r="D1256" s="15" t="s">
        <v>6</v>
      </c>
      <c r="E1256" s="15" t="s">
        <v>1802</v>
      </c>
      <c r="F1256" s="91" t="s">
        <v>27</v>
      </c>
      <c r="G1256" s="4"/>
      <c r="H1256" s="4"/>
      <c r="I1256" s="4"/>
    </row>
    <row r="1257" spans="1:9" ht="15">
      <c r="A1257" s="21">
        <f t="shared" si="23"/>
        <v>96</v>
      </c>
      <c r="B1257" s="14" t="s">
        <v>1803</v>
      </c>
      <c r="C1257" s="85" t="str">
        <f ca="1">IFERROR(__xludf.DUMMYFUNCTION("GOOGLETRANSLATE(B1257:B1272,""RU"",""UK"")"),"Свердло 23.0х400(170)удл")</f>
        <v>Свердло 23.0х400(170)удл</v>
      </c>
      <c r="D1257" s="15" t="s">
        <v>6</v>
      </c>
      <c r="E1257" s="15">
        <v>4</v>
      </c>
      <c r="F1257" s="91" t="s">
        <v>78</v>
      </c>
      <c r="G1257" s="4"/>
      <c r="H1257" s="4"/>
      <c r="I1257" s="4"/>
    </row>
    <row r="1258" spans="1:9" ht="15">
      <c r="A1258" s="21">
        <f t="shared" si="23"/>
        <v>97</v>
      </c>
      <c r="B1258" s="14" t="s">
        <v>1804</v>
      </c>
      <c r="C1258" s="85" t="str">
        <f ca="1">IFERROR(__xludf.DUMMYFUNCTION("GOOGLETRANSLATE(B1258:B1273,""RU"",""UK"")"),"Свердло 23,5 / 23,75")</f>
        <v>Свердло 23,5 / 23,75</v>
      </c>
      <c r="D1258" s="15" t="s">
        <v>6</v>
      </c>
      <c r="E1258" s="15" t="s">
        <v>1805</v>
      </c>
      <c r="F1258" s="91" t="s">
        <v>53</v>
      </c>
      <c r="G1258" s="4"/>
      <c r="H1258" s="4"/>
      <c r="I1258" s="4"/>
    </row>
    <row r="1259" spans="1:9" ht="15">
      <c r="A1259" s="21">
        <f t="shared" si="23"/>
        <v>98</v>
      </c>
      <c r="B1259" s="14" t="s">
        <v>1806</v>
      </c>
      <c r="C1259" s="85" t="str">
        <f ca="1">IFERROR(__xludf.DUMMYFUNCTION("GOOGLETRANSLATE(B1259:B1274,""RU"",""UK"")"),"Свердло 23,9 / 24,0")</f>
        <v>Свердло 23,9 / 24,0</v>
      </c>
      <c r="D1259" s="15" t="s">
        <v>6</v>
      </c>
      <c r="E1259" s="15" t="s">
        <v>1807</v>
      </c>
      <c r="F1259" s="91" t="s">
        <v>53</v>
      </c>
      <c r="G1259" s="4"/>
      <c r="H1259" s="4"/>
      <c r="I1259" s="4"/>
    </row>
    <row r="1260" spans="1:9" ht="15">
      <c r="A1260" s="21">
        <f t="shared" si="23"/>
        <v>99</v>
      </c>
      <c r="B1260" s="14" t="s">
        <v>1808</v>
      </c>
      <c r="C1260" s="85" t="str">
        <f ca="1">IFERROR(__xludf.DUMMYFUNCTION("GOOGLETRANSLATE(B1260:B1275,""RU"",""UK"")"),"Свердло 24х280/24,0х320(200)удл. / 24,0 х360-400удл.")</f>
        <v>Свердло 24х280/24,0х320(200)удл. / 24,0 х360-400удл.</v>
      </c>
      <c r="D1260" s="15" t="s">
        <v>6</v>
      </c>
      <c r="E1260" s="15" t="s">
        <v>1809</v>
      </c>
      <c r="F1260" s="91" t="s">
        <v>78</v>
      </c>
      <c r="G1260" s="4"/>
      <c r="H1260" s="4"/>
      <c r="I1260" s="4"/>
    </row>
    <row r="1261" spans="1:9" ht="15">
      <c r="A1261" s="21">
        <f t="shared" si="23"/>
        <v>100</v>
      </c>
      <c r="B1261" s="14" t="s">
        <v>1810</v>
      </c>
      <c r="C1261" s="85" t="str">
        <f ca="1">IFERROR(__xludf.DUMMYFUNCTION("GOOGLETRANSLATE(B1261:B1276,""RU"",""UK"")"),"Свердло 24.25х340-360удл.")</f>
        <v>Свердло 24.25х340-360удл.</v>
      </c>
      <c r="D1261" s="15" t="s">
        <v>6</v>
      </c>
      <c r="E1261" s="15">
        <v>6</v>
      </c>
      <c r="F1261" s="91" t="s">
        <v>78</v>
      </c>
      <c r="G1261" s="4"/>
      <c r="H1261" s="4"/>
      <c r="I1261" s="4"/>
    </row>
    <row r="1262" spans="1:9" ht="15">
      <c r="A1262" s="21">
        <f t="shared" si="23"/>
        <v>101</v>
      </c>
      <c r="B1262" s="14" t="s">
        <v>1811</v>
      </c>
      <c r="C1262" s="85" t="str">
        <f ca="1">IFERROR(__xludf.DUMMYFUNCTION("GOOGLETRANSLATE(B1262:B1277,""RU"",""UK"")"),"Свердло 24,25/24,5/24,75")</f>
        <v>Свердло 24,25/24,5/24,75</v>
      </c>
      <c r="D1262" s="15" t="s">
        <v>6</v>
      </c>
      <c r="E1262" s="15" t="s">
        <v>1812</v>
      </c>
      <c r="F1262" s="91" t="s">
        <v>1813</v>
      </c>
      <c r="G1262" s="4"/>
      <c r="H1262" s="4"/>
      <c r="I1262" s="4"/>
    </row>
    <row r="1263" spans="1:9" ht="15">
      <c r="A1263" s="21">
        <f t="shared" si="23"/>
        <v>102</v>
      </c>
      <c r="B1263" s="14" t="s">
        <v>1814</v>
      </c>
      <c r="C1263" s="85" t="str">
        <f ca="1">IFERROR(__xludf.DUMMYFUNCTION("GOOGLETRANSLATE(B1263:B1278,""RU"",""UK"")"),"Свердло 24,5х300/24,5х350удл.")</f>
        <v>Свердло 24,5х300/24,5х350удл.</v>
      </c>
      <c r="D1263" s="15" t="s">
        <v>6</v>
      </c>
      <c r="E1263" s="15" t="s">
        <v>942</v>
      </c>
      <c r="F1263" s="91" t="s">
        <v>78</v>
      </c>
      <c r="G1263" s="4"/>
      <c r="H1263" s="4"/>
      <c r="I1263" s="4"/>
    </row>
    <row r="1264" spans="1:9" ht="15">
      <c r="A1264" s="21">
        <f t="shared" si="23"/>
        <v>103</v>
      </c>
      <c r="B1264" s="14" t="s">
        <v>1815</v>
      </c>
      <c r="C1264" s="85" t="str">
        <f ca="1">IFERROR(__xludf.DUMMYFUNCTION("GOOGLETRANSLATE(B1264:B1279,""RU"",""UK"")"),"Свердло 25,0")</f>
        <v>Свердло 25,0</v>
      </c>
      <c r="D1264" s="15" t="s">
        <v>6</v>
      </c>
      <c r="E1264" s="15">
        <v>6</v>
      </c>
      <c r="F1264" s="91" t="s">
        <v>1813</v>
      </c>
      <c r="G1264" s="4"/>
      <c r="H1264" s="4"/>
      <c r="I1264" s="4"/>
    </row>
    <row r="1265" spans="1:9" ht="15">
      <c r="A1265" s="21">
        <f t="shared" si="23"/>
        <v>104</v>
      </c>
      <c r="B1265" s="14" t="s">
        <v>1816</v>
      </c>
      <c r="C1265" s="85" t="str">
        <f ca="1">IFERROR(__xludf.DUMMYFUNCTION("GOOGLETRANSLATE(B1265:B1280,""RU"",""UK"")"),"Свердло 25,0удл. / 25х380 (200)")</f>
        <v>Свердло 25,0удл. / 25х380 (200)</v>
      </c>
      <c r="D1265" s="15" t="s">
        <v>6</v>
      </c>
      <c r="E1265" s="15" t="s">
        <v>1817</v>
      </c>
      <c r="F1265" s="91" t="s">
        <v>36</v>
      </c>
      <c r="G1265" s="4"/>
      <c r="H1265" s="4"/>
      <c r="I1265" s="4"/>
    </row>
    <row r="1266" spans="1:9" ht="15">
      <c r="A1266" s="21">
        <f t="shared" si="23"/>
        <v>105</v>
      </c>
      <c r="B1266" s="14" t="s">
        <v>1818</v>
      </c>
      <c r="C1266" s="85" t="str">
        <f ca="1">IFERROR(__xludf.DUMMYFUNCTION("GOOGLETRANSLATE(B1266:B1281,""RU"",""UK"")"),"Свердло 25,25")</f>
        <v>Свердло 25,25</v>
      </c>
      <c r="D1266" s="15" t="s">
        <v>6</v>
      </c>
      <c r="E1266" s="15">
        <v>33</v>
      </c>
      <c r="F1266" s="91" t="s">
        <v>1813</v>
      </c>
      <c r="G1266" s="4"/>
      <c r="H1266" s="4"/>
      <c r="I1266" s="4"/>
    </row>
    <row r="1267" spans="1:9" ht="15">
      <c r="A1267" s="21">
        <f t="shared" si="23"/>
        <v>106</v>
      </c>
      <c r="B1267" s="14" t="s">
        <v>1819</v>
      </c>
      <c r="C1267" s="85" t="str">
        <f ca="1">IFERROR(__xludf.DUMMYFUNCTION("GOOGLETRANSLATE(B1267:B1282,""RU"",""UK"")"),"Свердло 25,5/25,75")</f>
        <v>Свердло 25,5/25,75</v>
      </c>
      <c r="D1267" s="15" t="s">
        <v>6</v>
      </c>
      <c r="E1267" s="15" t="s">
        <v>1820</v>
      </c>
      <c r="F1267" s="91" t="s">
        <v>1813</v>
      </c>
      <c r="G1267" s="4"/>
      <c r="H1267" s="4"/>
      <c r="I1267" s="4"/>
    </row>
    <row r="1268" spans="1:9" ht="15">
      <c r="A1268" s="21">
        <f t="shared" si="23"/>
        <v>107</v>
      </c>
      <c r="B1268" s="14" t="s">
        <v>1821</v>
      </c>
      <c r="C1268" s="85" t="str">
        <f ca="1">IFERROR(__xludf.DUMMYFUNCTION("GOOGLETRANSLATE(B1268:B1283,""RU"",""UK"")"),"Свердло 26,0")</f>
        <v>Свердло 26,0</v>
      </c>
      <c r="D1268" s="15" t="s">
        <v>6</v>
      </c>
      <c r="E1268" s="15">
        <v>113</v>
      </c>
      <c r="F1268" s="91" t="s">
        <v>1813</v>
      </c>
      <c r="G1268" s="4"/>
      <c r="H1268" s="4"/>
      <c r="I1268" s="4"/>
    </row>
    <row r="1269" spans="1:9" ht="15">
      <c r="A1269" s="21">
        <f t="shared" si="23"/>
        <v>108</v>
      </c>
      <c r="B1269" s="14" t="s">
        <v>1822</v>
      </c>
      <c r="C1269" s="85" t="str">
        <f ca="1">IFERROR(__xludf.DUMMYFUNCTION("GOOGLETRANSLATE(B1269:B1284,""RU"",""UK"")"),"Свердло 26,0 х300удл. / 26,0 х380удл.")</f>
        <v>Свердло 26,0 х300удл. / 26,0 х380удл.</v>
      </c>
      <c r="D1269" s="15" t="s">
        <v>6</v>
      </c>
      <c r="E1269" s="15" t="s">
        <v>1422</v>
      </c>
      <c r="F1269" s="91" t="s">
        <v>78</v>
      </c>
      <c r="G1269" s="4"/>
      <c r="H1269" s="4"/>
      <c r="I1269" s="4"/>
    </row>
    <row r="1270" spans="1:9" ht="15">
      <c r="A1270" s="21">
        <f t="shared" si="23"/>
        <v>109</v>
      </c>
      <c r="B1270" s="14" t="s">
        <v>1823</v>
      </c>
      <c r="C1270" s="85" t="str">
        <f ca="1">IFERROR(__xludf.DUMMYFUNCTION("GOOGLETRANSLATE(B1270:B1285,""RU"",""UK"")"),"Свердло 26,25/26,5/26.75")</f>
        <v>Свердло 26,25/26,5/26.75</v>
      </c>
      <c r="D1270" s="15" t="s">
        <v>6</v>
      </c>
      <c r="E1270" s="15" t="s">
        <v>1824</v>
      </c>
      <c r="F1270" s="91" t="s">
        <v>1813</v>
      </c>
      <c r="G1270" s="4"/>
      <c r="H1270" s="4"/>
      <c r="I1270" s="4"/>
    </row>
    <row r="1271" spans="1:9" ht="15">
      <c r="A1271" s="21">
        <f t="shared" si="23"/>
        <v>110</v>
      </c>
      <c r="B1271" s="14" t="s">
        <v>1825</v>
      </c>
      <c r="C1271" s="85" t="str">
        <f ca="1">IFERROR(__xludf.DUMMYFUNCTION("GOOGLETRANSLATE(B1271:B1286,""RU"",""UK"")"),"Свердло 27.0")</f>
        <v>Свердло 27.0</v>
      </c>
      <c r="D1271" s="15" t="s">
        <v>6</v>
      </c>
      <c r="E1271" s="15">
        <v>49</v>
      </c>
      <c r="F1271" s="91" t="s">
        <v>1813</v>
      </c>
      <c r="G1271" s="4"/>
      <c r="H1271" s="4"/>
      <c r="I1271" s="4"/>
    </row>
    <row r="1272" spans="1:9" ht="15">
      <c r="A1272" s="21">
        <f t="shared" si="23"/>
        <v>111</v>
      </c>
      <c r="B1272" s="14" t="s">
        <v>1826</v>
      </c>
      <c r="C1272" s="85" t="str">
        <f ca="1">IFERROR(__xludf.DUMMYFUNCTION("GOOGLETRANSLATE(B1272:B1287,""RU"",""UK"")"),"Свердло 27,0х380(250) удл")</f>
        <v>Свердло 27,0х380(250) удл</v>
      </c>
      <c r="D1272" s="15" t="s">
        <v>6</v>
      </c>
      <c r="E1272" s="15">
        <v>8</v>
      </c>
      <c r="F1272" s="91" t="s">
        <v>78</v>
      </c>
      <c r="G1272" s="4"/>
      <c r="H1272" s="4"/>
      <c r="I1272" s="4"/>
    </row>
    <row r="1273" spans="1:9" ht="15">
      <c r="A1273" s="21">
        <f t="shared" si="23"/>
        <v>112</v>
      </c>
      <c r="B1273" s="14" t="s">
        <v>1827</v>
      </c>
      <c r="C1273" s="85" t="str">
        <f ca="1">IFERROR(__xludf.DUMMYFUNCTION("GOOGLETRANSLATE(B1273:B1288,""RU"",""UK"")"),"Свердло 27,25/27,5")</f>
        <v>Свердло 27,25/27,5</v>
      </c>
      <c r="D1273" s="15" t="s">
        <v>6</v>
      </c>
      <c r="E1273" s="59"/>
      <c r="F1273" s="91" t="s">
        <v>1813</v>
      </c>
      <c r="G1273" s="4"/>
      <c r="H1273" s="4"/>
      <c r="I1273" s="4"/>
    </row>
    <row r="1274" spans="1:9" ht="15">
      <c r="A1274" s="21">
        <f t="shared" si="23"/>
        <v>113</v>
      </c>
      <c r="B1274" s="14" t="s">
        <v>1828</v>
      </c>
      <c r="C1274" s="85" t="str">
        <f ca="1">IFERROR(__xludf.DUMMYFUNCTION("GOOGLETRANSLATE(B1274:B1289,""RU"",""UK"")"),"Свердло 27,75")</f>
        <v>Свердло 27,75</v>
      </c>
      <c r="D1274" s="15" t="s">
        <v>6</v>
      </c>
      <c r="E1274" s="15">
        <v>10</v>
      </c>
      <c r="F1274" s="91" t="s">
        <v>1813</v>
      </c>
      <c r="G1274" s="4"/>
      <c r="H1274" s="4"/>
      <c r="I1274" s="4"/>
    </row>
    <row r="1275" spans="1:9" ht="15">
      <c r="A1275" s="21">
        <f t="shared" si="23"/>
        <v>114</v>
      </c>
      <c r="B1275" s="14" t="s">
        <v>1829</v>
      </c>
      <c r="C1275" s="85" t="str">
        <f ca="1">IFERROR(__xludf.DUMMYFUNCTION("GOOGLETRANSLATE(B1275:B1290,""RU"",""UK"")"),"Свердло 28,0")</f>
        <v>Свердло 28,0</v>
      </c>
      <c r="D1275" s="15" t="s">
        <v>6</v>
      </c>
      <c r="E1275" s="15">
        <v>49</v>
      </c>
      <c r="F1275" s="91" t="s">
        <v>36</v>
      </c>
      <c r="G1275" s="4"/>
      <c r="H1275" s="4"/>
      <c r="I1275" s="4"/>
    </row>
    <row r="1276" spans="1:9" ht="15">
      <c r="A1276" s="21">
        <f t="shared" si="23"/>
        <v>115</v>
      </c>
      <c r="B1276" s="14" t="s">
        <v>1830</v>
      </c>
      <c r="C1276" s="85" t="str">
        <f ca="1">IFERROR(__xludf.DUMMYFUNCTION("GOOGLETRANSLATE(B1276:B1291,""RU"",""UK"")"),"Свердло 28,0х340(200) довжина / 28х380 довжина / 28,25х350 довжина")</f>
        <v>Свердло 28,0х340(200) довжина / 28х380 довжина / 28,25х350 довжина</v>
      </c>
      <c r="D1276" s="15" t="s">
        <v>6</v>
      </c>
      <c r="E1276" s="15" t="s">
        <v>1831</v>
      </c>
      <c r="F1276" s="91" t="s">
        <v>78</v>
      </c>
      <c r="G1276" s="4"/>
      <c r="H1276" s="4"/>
      <c r="I1276" s="4"/>
    </row>
    <row r="1277" spans="1:9" ht="15">
      <c r="A1277" s="21">
        <f t="shared" si="23"/>
        <v>116</v>
      </c>
      <c r="B1277" s="14" t="s">
        <v>1832</v>
      </c>
      <c r="C1277" s="85" t="str">
        <f ca="1">IFERROR(__xludf.DUMMYFUNCTION("GOOGLETRANSLATE(B1277:B1292,""RU"",""UK"")"),"Свердло 28,1/28,25/28,3")</f>
        <v>Свердло 28,1/28,25/28,3</v>
      </c>
      <c r="D1277" s="15" t="s">
        <v>6</v>
      </c>
      <c r="E1277" s="15" t="s">
        <v>1833</v>
      </c>
      <c r="F1277" s="91" t="s">
        <v>36</v>
      </c>
      <c r="G1277" s="4"/>
      <c r="H1277" s="4"/>
      <c r="I1277" s="4"/>
    </row>
    <row r="1278" spans="1:9" ht="15">
      <c r="A1278" s="21">
        <f t="shared" si="23"/>
        <v>117</v>
      </c>
      <c r="B1278" s="14" t="s">
        <v>1834</v>
      </c>
      <c r="C1278" s="85" t="str">
        <f ca="1">IFERROR(__xludf.DUMMYFUNCTION("GOOGLETRANSLATE(B1278:B1293,""RU"",""UK"")"),"Свердло 28,5 / 28,75")</f>
        <v>Свердло 28,5 / 28,75</v>
      </c>
      <c r="D1278" s="15" t="s">
        <v>6</v>
      </c>
      <c r="E1278" s="15" t="s">
        <v>1835</v>
      </c>
      <c r="F1278" s="91" t="s">
        <v>36</v>
      </c>
      <c r="G1278" s="4"/>
      <c r="H1278" s="4"/>
      <c r="I1278" s="4"/>
    </row>
    <row r="1279" spans="1:9" ht="15">
      <c r="A1279" s="21">
        <f t="shared" si="23"/>
        <v>118</v>
      </c>
      <c r="B1279" s="14" t="s">
        <v>1836</v>
      </c>
      <c r="C1279" s="85" t="str">
        <f ca="1">IFERROR(__xludf.DUMMYFUNCTION("GOOGLETRANSLATE(B1279:B1294,""RU"",""UK"")"),"Свердло 29,0")</f>
        <v>Свердло 29,0</v>
      </c>
      <c r="D1279" s="15" t="s">
        <v>6</v>
      </c>
      <c r="E1279" s="15">
        <v>94</v>
      </c>
      <c r="F1279" s="91" t="s">
        <v>36</v>
      </c>
      <c r="G1279" s="4"/>
      <c r="H1279" s="4"/>
      <c r="I1279" s="4"/>
    </row>
    <row r="1280" spans="1:9" ht="15">
      <c r="A1280" s="21">
        <f t="shared" si="23"/>
        <v>119</v>
      </c>
      <c r="B1280" s="14" t="s">
        <v>1837</v>
      </c>
      <c r="C1280" s="85" t="str">
        <f ca="1">IFERROR(__xludf.DUMMYFUNCTION("GOOGLETRANSLATE(B1280:B1295,""RU"",""UK"")"),"Свердло 29,0 х400удл.")</f>
        <v>Свердло 29,0 х400удл.</v>
      </c>
      <c r="D1280" s="15" t="s">
        <v>6</v>
      </c>
      <c r="E1280" s="15">
        <v>1</v>
      </c>
      <c r="F1280" s="91" t="s">
        <v>842</v>
      </c>
      <c r="G1280" s="4"/>
      <c r="H1280" s="4"/>
      <c r="I1280" s="4"/>
    </row>
    <row r="1281" spans="1:9" ht="15">
      <c r="A1281" s="21">
        <f t="shared" si="23"/>
        <v>120</v>
      </c>
      <c r="B1281" s="14" t="s">
        <v>1838</v>
      </c>
      <c r="C1281" s="85" t="str">
        <f ca="1">IFERROR(__xludf.DUMMYFUNCTION("GOOGLETRANSLATE(B1281:B1296,""RU"",""UK"")"),"Свердло 29,25 / 29.5")</f>
        <v>Свердло 29,25 / 29.5</v>
      </c>
      <c r="D1281" s="15" t="s">
        <v>6</v>
      </c>
      <c r="E1281" s="15" t="s">
        <v>324</v>
      </c>
      <c r="F1281" s="91" t="s">
        <v>36</v>
      </c>
      <c r="G1281" s="4"/>
      <c r="H1281" s="4"/>
      <c r="I1281" s="4"/>
    </row>
    <row r="1282" spans="1:9" ht="15">
      <c r="A1282" s="21">
        <f t="shared" si="23"/>
        <v>121</v>
      </c>
      <c r="B1282" s="14" t="s">
        <v>1839</v>
      </c>
      <c r="C1282" s="85" t="str">
        <f ca="1">IFERROR(__xludf.DUMMYFUNCTION("GOOGLETRANSLATE(B1282:B1297,""RU"",""UK"")"),"Свердло 30,0")</f>
        <v>Свердло 30,0</v>
      </c>
      <c r="D1282" s="15" t="s">
        <v>6</v>
      </c>
      <c r="E1282" s="15">
        <v>45</v>
      </c>
      <c r="F1282" s="91" t="s">
        <v>27</v>
      </c>
      <c r="G1282" s="4"/>
      <c r="H1282" s="4"/>
      <c r="I1282" s="4"/>
    </row>
    <row r="1283" spans="1:9" ht="15">
      <c r="A1283" s="21">
        <f t="shared" si="23"/>
        <v>122</v>
      </c>
      <c r="B1283" s="14" t="s">
        <v>1840</v>
      </c>
      <c r="C1283" s="85" t="str">
        <f ca="1">IFERROR(__xludf.DUMMYFUNCTION("GOOGLETRANSLATE(B1283:B1298,""RU"",""UK"")"),"Свердло 30,0х350удл. / 30,0 х400 (250) удл.")</f>
        <v>Свердло 30,0х350удл. / 30,0 х400 (250) удл.</v>
      </c>
      <c r="D1283" s="15" t="s">
        <v>6</v>
      </c>
      <c r="E1283" s="15" t="s">
        <v>1640</v>
      </c>
      <c r="F1283" s="91" t="s">
        <v>842</v>
      </c>
      <c r="G1283" s="4"/>
      <c r="H1283" s="4"/>
      <c r="I1283" s="4"/>
    </row>
    <row r="1284" spans="1:9" ht="15">
      <c r="A1284" s="21">
        <f t="shared" si="23"/>
        <v>123</v>
      </c>
      <c r="B1284" s="19" t="s">
        <v>1841</v>
      </c>
      <c r="C1284" s="85" t="str">
        <f ca="1">IFERROR(__xludf.DUMMYFUNCTION("GOOGLETRANSLATE(B1284:B1299,""RU"",""UK"")"),"Свердло 30,25/30,5/30,75")</f>
        <v>Свердло 30,25/30,5/30,75</v>
      </c>
      <c r="D1284" s="15" t="s">
        <v>6</v>
      </c>
      <c r="E1284" s="15" t="s">
        <v>1842</v>
      </c>
      <c r="F1284" s="91" t="s">
        <v>27</v>
      </c>
      <c r="G1284" s="4"/>
      <c r="H1284" s="4"/>
      <c r="I1284" s="4"/>
    </row>
    <row r="1285" spans="1:9" ht="15">
      <c r="A1285" s="21">
        <f t="shared" si="23"/>
        <v>124</v>
      </c>
      <c r="B1285" s="14" t="s">
        <v>1843</v>
      </c>
      <c r="C1285" s="85" t="str">
        <f ca="1">IFERROR(__xludf.DUMMYFUNCTION("GOOGLETRANSLATE(B1285:B1300,""RU"",""UK"")"),"Свердло 31,0")</f>
        <v>Свердло 31,0</v>
      </c>
      <c r="D1285" s="15" t="s">
        <v>6</v>
      </c>
      <c r="E1285" s="15">
        <v>22</v>
      </c>
      <c r="F1285" s="91" t="s">
        <v>27</v>
      </c>
      <c r="G1285" s="4"/>
      <c r="H1285" s="4"/>
      <c r="I1285" s="4"/>
    </row>
    <row r="1286" spans="1:9" ht="15">
      <c r="A1286" s="21">
        <f t="shared" si="23"/>
        <v>125</v>
      </c>
      <c r="B1286" s="14" t="s">
        <v>1844</v>
      </c>
      <c r="C1286" s="85" t="str">
        <f ca="1">IFERROR(__xludf.DUMMYFUNCTION("GOOGLETRANSLATE(B1286:B1301,""RU"",""UK"")"),"Свердло 31,25/31,5")</f>
        <v>Свердло 31,25/31,5</v>
      </c>
      <c r="D1286" s="15" t="s">
        <v>6</v>
      </c>
      <c r="E1286" s="15" t="s">
        <v>1845</v>
      </c>
      <c r="F1286" s="91" t="s">
        <v>78</v>
      </c>
      <c r="G1286" s="4"/>
      <c r="H1286" s="4"/>
      <c r="I1286" s="4"/>
    </row>
    <row r="1287" spans="1:9" ht="15">
      <c r="A1287" s="21">
        <f t="shared" si="23"/>
        <v>126</v>
      </c>
      <c r="B1287" s="14" t="s">
        <v>1846</v>
      </c>
      <c r="C1287" s="85" t="str">
        <f ca="1">IFERROR(__xludf.DUMMYFUNCTION("GOOGLETRANSLATE(B1287:B1302,""RU"",""UK"")"),"Свердло 32,0")</f>
        <v>Свердло 32,0</v>
      </c>
      <c r="D1287" s="15" t="s">
        <v>6</v>
      </c>
      <c r="E1287" s="15">
        <v>8</v>
      </c>
      <c r="F1287" s="91" t="s">
        <v>842</v>
      </c>
      <c r="G1287" s="4"/>
      <c r="H1287" s="4"/>
      <c r="I1287" s="4"/>
    </row>
    <row r="1288" spans="1:9" ht="15">
      <c r="A1288" s="21">
        <f t="shared" si="23"/>
        <v>127</v>
      </c>
      <c r="B1288" s="14" t="s">
        <v>1847</v>
      </c>
      <c r="C1288" s="85" t="str">
        <f ca="1">IFERROR(__xludf.DUMMYFUNCTION("GOOGLETRANSLATE(B1288:B1303,""RU"",""UK"")"),"Свердло 32.5х400")</f>
        <v>Свердло 32.5х400</v>
      </c>
      <c r="D1288" s="15" t="s">
        <v>6</v>
      </c>
      <c r="E1288" s="15">
        <v>2</v>
      </c>
      <c r="F1288" s="91" t="s">
        <v>33</v>
      </c>
      <c r="G1288" s="4"/>
      <c r="H1288" s="4"/>
      <c r="I1288" s="4"/>
    </row>
    <row r="1289" spans="1:9" ht="15">
      <c r="A1289" s="21">
        <f t="shared" si="23"/>
        <v>128</v>
      </c>
      <c r="B1289" s="14" t="s">
        <v>1848</v>
      </c>
      <c r="C1289" s="85" t="str">
        <f ca="1">IFERROR(__xludf.DUMMYFUNCTION("GOOGLETRANSLATE(B1289:B1304,""RU"",""UK"")"),"Свердло 32,25/32,5")</f>
        <v>Свердло 32,25/32,5</v>
      </c>
      <c r="D1289" s="15" t="s">
        <v>6</v>
      </c>
      <c r="E1289" s="15" t="s">
        <v>1849</v>
      </c>
      <c r="F1289" s="91" t="s">
        <v>842</v>
      </c>
      <c r="G1289" s="4"/>
      <c r="H1289" s="4"/>
      <c r="I1289" s="4"/>
    </row>
    <row r="1290" spans="1:9" ht="15">
      <c r="A1290" s="21">
        <f t="shared" si="23"/>
        <v>129</v>
      </c>
      <c r="B1290" s="14" t="s">
        <v>1850</v>
      </c>
      <c r="C1290" s="85" t="str">
        <f ca="1">IFERROR(__xludf.DUMMYFUNCTION("GOOGLETRANSLATE(B1290:B1305,""RU"",""UK"")"),"Свердло 33,0")</f>
        <v>Свердло 33,0</v>
      </c>
      <c r="D1290" s="15" t="s">
        <v>6</v>
      </c>
      <c r="E1290" s="15">
        <v>35</v>
      </c>
      <c r="F1290" s="91" t="s">
        <v>842</v>
      </c>
      <c r="G1290" s="4"/>
      <c r="H1290" s="4"/>
      <c r="I1290" s="4"/>
    </row>
    <row r="1291" spans="1:9" ht="15">
      <c r="A1291" s="21">
        <f t="shared" si="23"/>
        <v>130</v>
      </c>
      <c r="B1291" s="14" t="s">
        <v>1851</v>
      </c>
      <c r="C1291" s="85" t="str">
        <f ca="1">IFERROR(__xludf.DUMMYFUNCTION("GOOGLETRANSLATE(B1291:B1306,""RU"",""UK"")"),"Свердло 33,25/33,5")</f>
        <v>Свердло 33,25/33,5</v>
      </c>
      <c r="D1291" s="15" t="s">
        <v>6</v>
      </c>
      <c r="E1291" s="15" t="s">
        <v>1852</v>
      </c>
      <c r="F1291" s="91" t="s">
        <v>138</v>
      </c>
      <c r="G1291" s="4"/>
      <c r="H1291" s="4"/>
      <c r="I1291" s="4"/>
    </row>
    <row r="1292" spans="1:9" ht="15">
      <c r="A1292" s="21">
        <f t="shared" ref="A1292:A1338" si="24">A1291+1</f>
        <v>131</v>
      </c>
      <c r="B1292" s="14" t="s">
        <v>1853</v>
      </c>
      <c r="C1292" s="85" t="str">
        <f ca="1">IFERROR(__xludf.DUMMYFUNCTION("GOOGLETRANSLATE(B1292:B1307,""RU"",""UK"")"),"Свердло 33,5 х330удл.")</f>
        <v>Свердло 33,5 х330удл.</v>
      </c>
      <c r="D1292" s="15" t="s">
        <v>6</v>
      </c>
      <c r="E1292" s="15">
        <v>16</v>
      </c>
      <c r="F1292" s="91" t="s">
        <v>33</v>
      </c>
      <c r="G1292" s="4"/>
      <c r="H1292" s="4"/>
      <c r="I1292" s="4"/>
    </row>
    <row r="1293" spans="1:9" ht="15">
      <c r="A1293" s="21">
        <f t="shared" si="24"/>
        <v>132</v>
      </c>
      <c r="B1293" s="14" t="s">
        <v>1854</v>
      </c>
      <c r="C1293" s="85" t="str">
        <f ca="1">IFERROR(__xludf.DUMMYFUNCTION("GOOGLETRANSLATE(B1293:B1308,""RU"",""UK"")"),"Свердло 34,0 / 34,5")</f>
        <v>Свердло 34,0 / 34,5</v>
      </c>
      <c r="D1293" s="15" t="s">
        <v>6</v>
      </c>
      <c r="E1293" s="15" t="s">
        <v>1855</v>
      </c>
      <c r="F1293" s="91" t="s">
        <v>138</v>
      </c>
      <c r="G1293" s="4"/>
      <c r="H1293" s="4"/>
      <c r="I1293" s="4"/>
    </row>
    <row r="1294" spans="1:9" ht="15">
      <c r="A1294" s="21">
        <f t="shared" si="24"/>
        <v>133</v>
      </c>
      <c r="B1294" s="14" t="s">
        <v>1856</v>
      </c>
      <c r="C1294" s="85" t="str">
        <f ca="1">IFERROR(__xludf.DUMMYFUNCTION("GOOGLETRANSLATE(B1294:B1309,""RU"",""UK"")"),"Свердло 35,0")</f>
        <v>Свердло 35,0</v>
      </c>
      <c r="D1294" s="15" t="s">
        <v>6</v>
      </c>
      <c r="E1294" s="15">
        <v>4</v>
      </c>
      <c r="F1294" s="91" t="s">
        <v>663</v>
      </c>
      <c r="G1294" s="4"/>
      <c r="H1294" s="4"/>
      <c r="I1294" s="4"/>
    </row>
    <row r="1295" spans="1:9" ht="15">
      <c r="A1295" s="21">
        <f t="shared" si="24"/>
        <v>134</v>
      </c>
      <c r="B1295" s="14" t="s">
        <v>1857</v>
      </c>
      <c r="C1295" s="85" t="str">
        <f ca="1">IFERROR(__xludf.DUMMYFUNCTION("GOOGLETRANSLATE(B1295:B1310,""RU"",""UK"")"),"Свердло 35,5/35,75")</f>
        <v>Свердло 35,5/35,75</v>
      </c>
      <c r="D1295" s="15" t="s">
        <v>6</v>
      </c>
      <c r="E1295" s="15" t="s">
        <v>1858</v>
      </c>
      <c r="F1295" s="91" t="s">
        <v>663</v>
      </c>
      <c r="G1295" s="4"/>
      <c r="H1295" s="4"/>
      <c r="I1295" s="4"/>
    </row>
    <row r="1296" spans="1:9" ht="15">
      <c r="A1296" s="21">
        <f t="shared" si="24"/>
        <v>135</v>
      </c>
      <c r="B1296" s="14" t="s">
        <v>1859</v>
      </c>
      <c r="C1296" s="85" t="str">
        <f ca="1">IFERROR(__xludf.DUMMYFUNCTION("GOOGLETRANSLATE(B1296:B1311,""RU"",""UK"")"),"Свердло 35,75х400")</f>
        <v>Свердло 35,75х400</v>
      </c>
      <c r="D1296" s="15" t="s">
        <v>6</v>
      </c>
      <c r="E1296" s="15">
        <v>2</v>
      </c>
      <c r="F1296" s="91" t="s">
        <v>100</v>
      </c>
      <c r="G1296" s="4"/>
      <c r="H1296" s="4"/>
      <c r="I1296" s="4"/>
    </row>
    <row r="1297" spans="1:9" ht="15">
      <c r="A1297" s="21">
        <f t="shared" si="24"/>
        <v>136</v>
      </c>
      <c r="B1297" s="14" t="s">
        <v>1860</v>
      </c>
      <c r="C1297" s="85" t="str">
        <f ca="1">IFERROR(__xludf.DUMMYFUNCTION("GOOGLETRANSLATE(B1297:B1312,""RU"",""UK"")"),"Свердло 36,0 / 36,5")</f>
        <v>Свердло 36,0 / 36,5</v>
      </c>
      <c r="D1297" s="15" t="s">
        <v>6</v>
      </c>
      <c r="E1297" s="15" t="s">
        <v>1861</v>
      </c>
      <c r="F1297" s="91" t="s">
        <v>851</v>
      </c>
      <c r="G1297" s="4"/>
      <c r="H1297" s="4"/>
      <c r="I1297" s="4"/>
    </row>
    <row r="1298" spans="1:9" ht="15">
      <c r="A1298" s="21">
        <f t="shared" si="24"/>
        <v>137</v>
      </c>
      <c r="B1298" s="14" t="s">
        <v>1862</v>
      </c>
      <c r="C1298" s="85" t="str">
        <f ca="1">IFERROR(__xludf.DUMMYFUNCTION("GOOGLETRANSLATE(B1298:B1313,""RU"",""UK"")"),"Свердло 36,0х400/36,5х400удл.")</f>
        <v>Свердло 36,0х400/36,5х400удл.</v>
      </c>
      <c r="D1298" s="15" t="s">
        <v>6</v>
      </c>
      <c r="E1298" s="15" t="s">
        <v>1863</v>
      </c>
      <c r="F1298" s="91" t="s">
        <v>283</v>
      </c>
      <c r="G1298" s="4"/>
      <c r="H1298" s="4"/>
      <c r="I1298" s="4"/>
    </row>
    <row r="1299" spans="1:9" ht="15">
      <c r="A1299" s="21">
        <f t="shared" si="24"/>
        <v>138</v>
      </c>
      <c r="B1299" s="14" t="s">
        <v>1864</v>
      </c>
      <c r="C1299" s="85" t="str">
        <f ca="1">IFERROR(__xludf.DUMMYFUNCTION("GOOGLETRANSLATE(B1299:B1314,""RU"",""UK"")"),"Свердло 37,0 / 37,5")</f>
        <v>Свердло 37,0 / 37,5</v>
      </c>
      <c r="D1299" s="15" t="s">
        <v>6</v>
      </c>
      <c r="E1299" s="15" t="s">
        <v>1865</v>
      </c>
      <c r="F1299" s="91" t="s">
        <v>851</v>
      </c>
      <c r="G1299" s="4"/>
      <c r="H1299" s="4"/>
      <c r="I1299" s="4"/>
    </row>
    <row r="1300" spans="1:9" ht="15">
      <c r="A1300" s="21">
        <f t="shared" si="24"/>
        <v>139</v>
      </c>
      <c r="B1300" s="14" t="s">
        <v>1866</v>
      </c>
      <c r="C1300" s="85" t="str">
        <f ca="1">IFERROR(__xludf.DUMMYFUNCTION("GOOGLETRANSLATE(B1300:B1315,""RU"",""UK"")"),"Свердло 37,5 х400удл.")</f>
        <v>Свердло 37,5 х400удл.</v>
      </c>
      <c r="D1300" s="15" t="s">
        <v>6</v>
      </c>
      <c r="E1300" s="15">
        <v>2</v>
      </c>
      <c r="F1300" s="91" t="s">
        <v>283</v>
      </c>
      <c r="G1300" s="4"/>
      <c r="H1300" s="4"/>
      <c r="I1300" s="4"/>
    </row>
    <row r="1301" spans="1:9" ht="15">
      <c r="A1301" s="21">
        <f t="shared" si="24"/>
        <v>140</v>
      </c>
      <c r="B1301" s="19" t="s">
        <v>1867</v>
      </c>
      <c r="C1301" s="85" t="str">
        <f ca="1">IFERROR(__xludf.DUMMYFUNCTION("GOOGLETRANSLATE(B1301:B1316,""RU"",""UK"")"),"Свердло 38,0 / 38,5")</f>
        <v>Свердло 38,0 / 38,5</v>
      </c>
      <c r="D1301" s="15" t="s">
        <v>6</v>
      </c>
      <c r="E1301" s="15" t="s">
        <v>1868</v>
      </c>
      <c r="F1301" s="91" t="s">
        <v>851</v>
      </c>
      <c r="G1301" s="4"/>
      <c r="H1301" s="4"/>
      <c r="I1301" s="4"/>
    </row>
    <row r="1302" spans="1:9" ht="15">
      <c r="A1302" s="21">
        <f t="shared" si="24"/>
        <v>141</v>
      </c>
      <c r="B1302" s="14" t="s">
        <v>1869</v>
      </c>
      <c r="C1302" s="85" t="str">
        <f ca="1">IFERROR(__xludf.DUMMYFUNCTION("GOOGLETRANSLATE(B1302:B1317,""RU"",""UK"")"),"Свердло 38,0 удл / 38,0 х400 (200) удл.")</f>
        <v>Свердло 38,0 удл / 38,0 х400 (200) удл.</v>
      </c>
      <c r="D1302" s="15" t="s">
        <v>6</v>
      </c>
      <c r="E1302" s="15" t="s">
        <v>725</v>
      </c>
      <c r="F1302" s="91" t="s">
        <v>102</v>
      </c>
      <c r="G1302" s="4"/>
      <c r="H1302" s="4"/>
      <c r="I1302" s="4"/>
    </row>
    <row r="1303" spans="1:9" ht="15">
      <c r="A1303" s="21">
        <f t="shared" si="24"/>
        <v>142</v>
      </c>
      <c r="B1303" s="14" t="s">
        <v>1870</v>
      </c>
      <c r="C1303" s="85" t="str">
        <f ca="1">IFERROR(__xludf.DUMMYFUNCTION("GOOGLETRANSLATE(B1303:B1318,""RU"",""UK"")"),"Свердло 39,0/39,25/39,5")</f>
        <v>Свердло 39,0/39,25/39,5</v>
      </c>
      <c r="D1303" s="15" t="s">
        <v>6</v>
      </c>
      <c r="E1303" s="15" t="s">
        <v>1871</v>
      </c>
      <c r="F1303" s="91" t="s">
        <v>33</v>
      </c>
      <c r="G1303" s="4"/>
      <c r="H1303" s="4"/>
      <c r="I1303" s="4"/>
    </row>
    <row r="1304" spans="1:9" ht="15">
      <c r="A1304" s="21">
        <f t="shared" si="24"/>
        <v>143</v>
      </c>
      <c r="B1304" s="14" t="s">
        <v>1872</v>
      </c>
      <c r="C1304" s="85" t="str">
        <f ca="1">IFERROR(__xludf.DUMMYFUNCTION("GOOGLETRANSLATE(B1304:B1319,""RU"",""UK"")"),"Свердло 40,0/40,5")</f>
        <v>Свердло 40,0/40,5</v>
      </c>
      <c r="D1304" s="15" t="s">
        <v>6</v>
      </c>
      <c r="E1304" s="15" t="s">
        <v>1873</v>
      </c>
      <c r="F1304" s="91" t="s">
        <v>1874</v>
      </c>
      <c r="G1304" s="4"/>
      <c r="H1304" s="4"/>
      <c r="I1304" s="4"/>
    </row>
    <row r="1305" spans="1:9" ht="15">
      <c r="A1305" s="21">
        <f t="shared" si="24"/>
        <v>144</v>
      </c>
      <c r="B1305" s="16" t="s">
        <v>1875</v>
      </c>
      <c r="C1305" s="85" t="str">
        <f ca="1">IFERROR(__xludf.DUMMYFUNCTION("GOOGLETRANSLATE(B1305:B1320,""RU"",""UK"")"),"Свердло 40х400 (200) / 40х400 (280)")</f>
        <v>Свердло 40х400 (200) / 40х400 (280)</v>
      </c>
      <c r="D1305" s="15" t="s">
        <v>6</v>
      </c>
      <c r="E1305" s="15" t="s">
        <v>774</v>
      </c>
      <c r="F1305" s="91" t="s">
        <v>1113</v>
      </c>
      <c r="G1305" s="4"/>
      <c r="H1305" s="4"/>
      <c r="I1305" s="4"/>
    </row>
    <row r="1306" spans="1:9" ht="15">
      <c r="A1306" s="21">
        <f t="shared" si="24"/>
        <v>145</v>
      </c>
      <c r="B1306" s="14" t="s">
        <v>1876</v>
      </c>
      <c r="C1306" s="85" t="str">
        <f ca="1">IFERROR(__xludf.DUMMYFUNCTION("GOOGLETRANSLATE(B1306:B1321,""RU"",""UK"")"),"Свердло 41,0 / 41,25")</f>
        <v>Свердло 41,0 / 41,25</v>
      </c>
      <c r="D1306" s="15" t="s">
        <v>6</v>
      </c>
      <c r="E1306" s="15" t="s">
        <v>1877</v>
      </c>
      <c r="F1306" s="91" t="s">
        <v>102</v>
      </c>
      <c r="G1306" s="4"/>
      <c r="H1306" s="4"/>
      <c r="I1306" s="4"/>
    </row>
    <row r="1307" spans="1:9" ht="15">
      <c r="A1307" s="21">
        <f t="shared" si="24"/>
        <v>146</v>
      </c>
      <c r="B1307" s="14" t="s">
        <v>1878</v>
      </c>
      <c r="C1307" s="85" t="str">
        <f ca="1">IFERROR(__xludf.DUMMYFUNCTION("GOOGLETRANSLATE(B1307:B1322,""RU"",""UK"")"),"Свердло 41,5 / 42,0")</f>
        <v>Свердло 41,5 / 42,0</v>
      </c>
      <c r="D1307" s="15" t="s">
        <v>6</v>
      </c>
      <c r="E1307" s="15" t="s">
        <v>1879</v>
      </c>
      <c r="F1307" s="91" t="s">
        <v>143</v>
      </c>
      <c r="G1307" s="4"/>
      <c r="H1307" s="4"/>
      <c r="I1307" s="4"/>
    </row>
    <row r="1308" spans="1:9" ht="15">
      <c r="A1308" s="21">
        <f t="shared" si="24"/>
        <v>147</v>
      </c>
      <c r="B1308" s="14" t="s">
        <v>1880</v>
      </c>
      <c r="C1308" s="85" t="str">
        <f ca="1">IFERROR(__xludf.DUMMYFUNCTION("GOOGLETRANSLATE(B1308:B1323,""RU"",""UK"")"),"Свердло 42х450/43х400")</f>
        <v>Свердло 42х450/43х400</v>
      </c>
      <c r="D1308" s="15" t="s">
        <v>6</v>
      </c>
      <c r="E1308" s="15" t="s">
        <v>1881</v>
      </c>
      <c r="F1308" s="91" t="s">
        <v>1088</v>
      </c>
      <c r="G1308" s="4"/>
      <c r="H1308" s="4"/>
      <c r="I1308" s="4"/>
    </row>
    <row r="1309" spans="1:9" ht="15">
      <c r="A1309" s="21">
        <f t="shared" si="24"/>
        <v>148</v>
      </c>
      <c r="B1309" s="14" t="s">
        <v>1882</v>
      </c>
      <c r="C1309" s="85" t="str">
        <f ca="1">IFERROR(__xludf.DUMMYFUNCTION("GOOGLETRANSLATE(B1309:B1324,""RU"",""UK"")"),"Свердло 42,5/43,0")</f>
        <v>Свердло 42,5/43,0</v>
      </c>
      <c r="D1309" s="15" t="s">
        <v>6</v>
      </c>
      <c r="E1309" s="15" t="s">
        <v>1883</v>
      </c>
      <c r="F1309" s="91" t="s">
        <v>1086</v>
      </c>
      <c r="G1309" s="4"/>
      <c r="H1309" s="4"/>
      <c r="I1309" s="4"/>
    </row>
    <row r="1310" spans="1:9" ht="15">
      <c r="A1310" s="21">
        <f t="shared" si="24"/>
        <v>149</v>
      </c>
      <c r="B1310" s="14" t="s">
        <v>1884</v>
      </c>
      <c r="C1310" s="85" t="str">
        <f ca="1">IFERROR(__xludf.DUMMYFUNCTION("GOOGLETRANSLATE(B1310:B1325,""RU"",""UK"")"),"Свердло 43,5/44,0")</f>
        <v>Свердло 43,5/44,0</v>
      </c>
      <c r="D1310" s="15" t="s">
        <v>6</v>
      </c>
      <c r="E1310" s="15" t="s">
        <v>1885</v>
      </c>
      <c r="F1310" s="91" t="s">
        <v>111</v>
      </c>
      <c r="G1310" s="4"/>
      <c r="H1310" s="4"/>
      <c r="I1310" s="4"/>
    </row>
    <row r="1311" spans="1:9" ht="15">
      <c r="A1311" s="21">
        <f t="shared" si="24"/>
        <v>150</v>
      </c>
      <c r="B1311" s="14" t="s">
        <v>1886</v>
      </c>
      <c r="C1311" s="85" t="str">
        <f ca="1">IFERROR(__xludf.DUMMYFUNCTION("GOOGLETRANSLATE(B1311:B1326,""RU"",""UK"")"),"Свердло 44,5удл")</f>
        <v>Свердло 44,5удл</v>
      </c>
      <c r="D1311" s="15" t="s">
        <v>6</v>
      </c>
      <c r="E1311" s="15">
        <v>1</v>
      </c>
      <c r="F1311" s="91" t="s">
        <v>71</v>
      </c>
      <c r="G1311" s="4"/>
      <c r="H1311" s="4"/>
      <c r="I1311" s="4"/>
    </row>
    <row r="1312" spans="1:9" ht="15">
      <c r="A1312" s="21">
        <f t="shared" si="24"/>
        <v>151</v>
      </c>
      <c r="B1312" s="16" t="s">
        <v>1887</v>
      </c>
      <c r="C1312" s="85" t="str">
        <f ca="1">IFERROR(__xludf.DUMMYFUNCTION("GOOGLETRANSLATE(B1312:B1327,""RU"",""UK"")"),"Свердло 44,5/45,0")</f>
        <v>Свердло 44,5/45,0</v>
      </c>
      <c r="D1312" s="15" t="s">
        <v>6</v>
      </c>
      <c r="E1312" s="15" t="s">
        <v>749</v>
      </c>
      <c r="F1312" s="91" t="s">
        <v>80</v>
      </c>
      <c r="G1312" s="4"/>
      <c r="H1312" s="4"/>
      <c r="I1312" s="4"/>
    </row>
    <row r="1313" spans="1:9" ht="15">
      <c r="A1313" s="21">
        <f t="shared" si="24"/>
        <v>152</v>
      </c>
      <c r="B1313" s="14" t="s">
        <v>1888</v>
      </c>
      <c r="C1313" s="85" t="str">
        <f ca="1">IFERROR(__xludf.DUMMYFUNCTION("GOOGLETRANSLATE(B1313:B1328,""RU"",""UK"")"),"Свердло 45,0х400(220-240)удл / 45,0х440(250)удл")</f>
        <v>Свердло 45,0х400(220-240)удл / 45,0х440(250)удл</v>
      </c>
      <c r="D1313" s="15" t="s">
        <v>6</v>
      </c>
      <c r="E1313" s="15" t="s">
        <v>902</v>
      </c>
      <c r="F1313" s="91" t="s">
        <v>71</v>
      </c>
      <c r="G1313" s="4"/>
      <c r="H1313" s="4"/>
      <c r="I1313" s="4"/>
    </row>
    <row r="1314" spans="1:9" ht="15">
      <c r="A1314" s="21">
        <f t="shared" si="24"/>
        <v>153</v>
      </c>
      <c r="B1314" s="14" t="s">
        <v>1889</v>
      </c>
      <c r="C1314" s="85" t="str">
        <f ca="1">IFERROR(__xludf.DUMMYFUNCTION("GOOGLETRANSLATE(B1314:B1329,""RU"",""UK"")"),"Свердло 45,5")</f>
        <v>Свердло 45,5</v>
      </c>
      <c r="D1314" s="15" t="s">
        <v>6</v>
      </c>
      <c r="E1314" s="15">
        <v>2</v>
      </c>
      <c r="F1314" s="91" t="s">
        <v>80</v>
      </c>
      <c r="G1314" s="4"/>
      <c r="H1314" s="4"/>
      <c r="I1314" s="4"/>
    </row>
    <row r="1315" spans="1:9" ht="15">
      <c r="A1315" s="21">
        <f t="shared" si="24"/>
        <v>154</v>
      </c>
      <c r="B1315" s="14" t="s">
        <v>1890</v>
      </c>
      <c r="C1315" s="85" t="str">
        <f ca="1">IFERROR(__xludf.DUMMYFUNCTION("GOOGLETRANSLATE(B1315:B1330,""RU"",""UK"")"),"Свердло 46,0 / 47,5")</f>
        <v>Свердло 46,0 / 47,5</v>
      </c>
      <c r="D1315" s="15" t="s">
        <v>6</v>
      </c>
      <c r="E1315" s="15" t="s">
        <v>700</v>
      </c>
      <c r="F1315" s="91" t="s">
        <v>80</v>
      </c>
      <c r="G1315" s="4"/>
      <c r="H1315" s="4"/>
      <c r="I1315" s="4"/>
    </row>
    <row r="1316" spans="1:9" ht="15">
      <c r="A1316" s="21">
        <f t="shared" si="24"/>
        <v>155</v>
      </c>
      <c r="B1316" s="14" t="s">
        <v>1891</v>
      </c>
      <c r="C1316" s="85" t="str">
        <f ca="1">IFERROR(__xludf.DUMMYFUNCTION("GOOGLETRANSLATE(B1316:B1331,""RU"",""UK"")"),"Свердло 47,0 (уживані) / 48,0 (вживані)")</f>
        <v>Свердло 47,0 (уживані) / 48,0 (вживані)</v>
      </c>
      <c r="D1316" s="15" t="s">
        <v>6</v>
      </c>
      <c r="E1316" s="15" t="s">
        <v>749</v>
      </c>
      <c r="F1316" s="91" t="s">
        <v>100</v>
      </c>
      <c r="G1316" s="4"/>
      <c r="H1316" s="4"/>
      <c r="I1316" s="4"/>
    </row>
    <row r="1317" spans="1:9" ht="15">
      <c r="A1317" s="21">
        <f t="shared" si="24"/>
        <v>156</v>
      </c>
      <c r="B1317" s="14" t="s">
        <v>1892</v>
      </c>
      <c r="C1317" s="85" t="str">
        <f ca="1">IFERROR(__xludf.DUMMYFUNCTION("GOOGLETRANSLATE(B1317:B1332,""RU"",""UK"")"),"Свердло 48,0 / 49,0")</f>
        <v>Свердло 48,0 / 49,0</v>
      </c>
      <c r="D1317" s="15" t="s">
        <v>6</v>
      </c>
      <c r="E1317" s="15" t="s">
        <v>1893</v>
      </c>
      <c r="F1317" s="91" t="s">
        <v>1091</v>
      </c>
      <c r="G1317" s="4"/>
      <c r="H1317" s="4"/>
      <c r="I1317" s="4"/>
    </row>
    <row r="1318" spans="1:9" ht="15">
      <c r="A1318" s="21">
        <f t="shared" si="24"/>
        <v>157</v>
      </c>
      <c r="B1318" s="14" t="s">
        <v>1894</v>
      </c>
      <c r="C1318" s="85" t="str">
        <f ca="1">IFERROR(__xludf.DUMMYFUNCTION("GOOGLETRANSLATE(B1318:B1333,""RU"",""UK"")"),"Свердло 50.0 КМ4")</f>
        <v>Свердло 50.0 КМ4</v>
      </c>
      <c r="D1318" s="15" t="s">
        <v>6</v>
      </c>
      <c r="E1318" s="15">
        <v>5</v>
      </c>
      <c r="F1318" s="91" t="s">
        <v>71</v>
      </c>
      <c r="G1318" s="4"/>
      <c r="H1318" s="4"/>
      <c r="I1318" s="4"/>
    </row>
    <row r="1319" spans="1:9" ht="15">
      <c r="A1319" s="21">
        <f t="shared" si="24"/>
        <v>158</v>
      </c>
      <c r="B1319" s="14" t="s">
        <v>1895</v>
      </c>
      <c r="C1319" s="85" t="str">
        <f ca="1">IFERROR(__xludf.DUMMYFUNCTION("GOOGLETRANSLATE(B1319:B1334,""RU"",""UK"")"),"Свердло 50.0 легке б/в/без заточення")</f>
        <v>Свердло 50.0 легке б/в/без заточення</v>
      </c>
      <c r="D1319" s="15" t="s">
        <v>6</v>
      </c>
      <c r="E1319" s="15" t="s">
        <v>749</v>
      </c>
      <c r="F1319" s="91" t="s">
        <v>102</v>
      </c>
      <c r="G1319" s="4"/>
      <c r="H1319" s="4"/>
      <c r="I1319" s="4"/>
    </row>
    <row r="1320" spans="1:9" ht="15">
      <c r="A1320" s="21">
        <f t="shared" si="24"/>
        <v>159</v>
      </c>
      <c r="B1320" s="14" t="s">
        <v>1896</v>
      </c>
      <c r="C1320" s="85" t="str">
        <f ca="1">IFERROR(__xludf.DUMMYFUNCTION("GOOGLETRANSLATE(B1320:B1335,""RU"",""UK"")"),"Свердло 50,0х400 (220)")</f>
        <v>Свердло 50,0х400 (220)</v>
      </c>
      <c r="D1320" s="15" t="s">
        <v>6</v>
      </c>
      <c r="E1320" s="15">
        <v>4</v>
      </c>
      <c r="F1320" s="91" t="s">
        <v>1897</v>
      </c>
      <c r="G1320" s="4"/>
      <c r="H1320" s="4"/>
      <c r="I1320" s="4"/>
    </row>
    <row r="1321" spans="1:9" ht="15">
      <c r="A1321" s="21">
        <f t="shared" si="24"/>
        <v>160</v>
      </c>
      <c r="B1321" s="14" t="s">
        <v>1898</v>
      </c>
      <c r="C1321" s="85" t="str">
        <f ca="1">IFERROR(__xludf.DUMMYFUNCTION("GOOGLETRANSLATE(B1321:B1336,""RU"",""UK"")"),"Свердло 50,5/51.0")</f>
        <v>Свердло 50,5/51.0</v>
      </c>
      <c r="D1321" s="15" t="s">
        <v>6</v>
      </c>
      <c r="E1321" s="15" t="s">
        <v>1166</v>
      </c>
      <c r="F1321" s="91" t="s">
        <v>71</v>
      </c>
      <c r="G1321" s="4"/>
      <c r="H1321" s="4"/>
      <c r="I1321" s="4"/>
    </row>
    <row r="1322" spans="1:9" ht="15">
      <c r="A1322" s="21">
        <f t="shared" si="24"/>
        <v>161</v>
      </c>
      <c r="B1322" s="14" t="s">
        <v>1899</v>
      </c>
      <c r="C1322" s="85" t="str">
        <f ca="1">IFERROR(__xludf.DUMMYFUNCTION("GOOGLETRANSLATE(B1322:B1337,""RU"",""UK"")"),"Свердло 52,0/53,0/53.5")</f>
        <v>Свердло 52,0/53,0/53.5</v>
      </c>
      <c r="D1322" s="15" t="s">
        <v>6</v>
      </c>
      <c r="E1322" s="15" t="s">
        <v>1900</v>
      </c>
      <c r="F1322" s="91" t="s">
        <v>1901</v>
      </c>
      <c r="G1322" s="4"/>
      <c r="H1322" s="4"/>
      <c r="I1322" s="4"/>
    </row>
    <row r="1323" spans="1:9" ht="15">
      <c r="A1323" s="21">
        <f t="shared" si="24"/>
        <v>162</v>
      </c>
      <c r="B1323" s="14" t="s">
        <v>1902</v>
      </c>
      <c r="C1323" s="85" t="str">
        <f ca="1">IFERROR(__xludf.DUMMYFUNCTION("GOOGLETRANSLATE(B1323:B1338,""RU"",""UK"")"),"Свердло 52,0 х400дл. / 53,0 х650 (300) удл.")</f>
        <v>Свердло 52,0 х400дл. / 53,0 х650 (300) удл.</v>
      </c>
      <c r="D1323" s="15" t="s">
        <v>6</v>
      </c>
      <c r="E1323" s="15" t="s">
        <v>825</v>
      </c>
      <c r="F1323" s="91" t="s">
        <v>75</v>
      </c>
      <c r="G1323" s="4"/>
      <c r="H1323" s="4"/>
      <c r="I1323" s="4"/>
    </row>
    <row r="1324" spans="1:9" ht="15">
      <c r="A1324" s="21">
        <f t="shared" si="24"/>
        <v>163</v>
      </c>
      <c r="B1324" s="14" t="s">
        <v>1903</v>
      </c>
      <c r="C1324" s="85" t="str">
        <f ca="1">IFERROR(__xludf.DUMMYFUNCTION("GOOGLETRANSLATE(B1324:B1339,""RU"",""UK"")"),"Свердло 54,0 / 55,0")</f>
        <v>Свердло 54,0 / 55,0</v>
      </c>
      <c r="D1324" s="15" t="s">
        <v>6</v>
      </c>
      <c r="E1324" s="15" t="s">
        <v>1904</v>
      </c>
      <c r="F1324" s="91" t="s">
        <v>75</v>
      </c>
      <c r="G1324" s="4"/>
      <c r="H1324" s="4"/>
      <c r="I1324" s="4"/>
    </row>
    <row r="1325" spans="1:9" ht="15">
      <c r="A1325" s="21">
        <f t="shared" si="24"/>
        <v>164</v>
      </c>
      <c r="B1325" s="14" t="s">
        <v>1905</v>
      </c>
      <c r="C1325" s="85" t="str">
        <f ca="1">IFERROR(__xludf.DUMMYFUNCTION("GOOGLETRANSLATE(B1325:B1340,""RU"",""UK"")"),"Свердло 54х500/55х500дл.")</f>
        <v>Свердло 54х500/55х500дл.</v>
      </c>
      <c r="D1325" s="15" t="s">
        <v>6</v>
      </c>
      <c r="E1325" s="15" t="s">
        <v>1348</v>
      </c>
      <c r="F1325" s="91" t="s">
        <v>73</v>
      </c>
      <c r="G1325" s="4"/>
      <c r="H1325" s="4"/>
      <c r="I1325" s="4"/>
    </row>
    <row r="1326" spans="1:9" ht="15">
      <c r="A1326" s="21">
        <f t="shared" si="24"/>
        <v>165</v>
      </c>
      <c r="B1326" s="19" t="s">
        <v>1906</v>
      </c>
      <c r="C1326" s="85" t="str">
        <f ca="1">IFERROR(__xludf.DUMMYFUNCTION("GOOGLETRANSLATE(B1326:B1341,""RU"",""UK"")"),"Свердло 56.0/57,0/58.0")</f>
        <v>Свердло 56.0/57,0/58.0</v>
      </c>
      <c r="D1326" s="15" t="s">
        <v>6</v>
      </c>
      <c r="E1326" s="15" t="s">
        <v>1907</v>
      </c>
      <c r="F1326" s="91" t="s">
        <v>1908</v>
      </c>
      <c r="G1326" s="4"/>
      <c r="H1326" s="4"/>
      <c r="I1326" s="4"/>
    </row>
    <row r="1327" spans="1:9" ht="15">
      <c r="A1327" s="21">
        <f t="shared" si="24"/>
        <v>166</v>
      </c>
      <c r="B1327" s="14" t="s">
        <v>1909</v>
      </c>
      <c r="C1327" s="85" t="str">
        <f ca="1">IFERROR(__xludf.DUMMYFUNCTION("GOOGLETRANSLATE(B1327:B1342,""RU"",""UK"")"),"Свердло 60,0 КМ5/60,0 ступінчасте, переточене")</f>
        <v>Свердло 60,0 КМ5/60,0 ступінчасте, переточене</v>
      </c>
      <c r="D1327" s="15" t="s">
        <v>6</v>
      </c>
      <c r="E1327" s="15" t="s">
        <v>793</v>
      </c>
      <c r="F1327" s="91" t="s">
        <v>1910</v>
      </c>
      <c r="G1327" s="4"/>
      <c r="H1327" s="4"/>
      <c r="I1327" s="4"/>
    </row>
    <row r="1328" spans="1:9" ht="15">
      <c r="A1328" s="21">
        <f t="shared" si="24"/>
        <v>167</v>
      </c>
      <c r="B1328" s="14" t="s">
        <v>1911</v>
      </c>
      <c r="C1328" s="85" t="str">
        <f ca="1">IFERROR(__xludf.DUMMYFUNCTION("GOOGLETRANSLATE(B1328:B1343,""RU"",""UK"")"),"Свердло 60,0х470(270) КМ5")</f>
        <v>Свердло 60,0х470(270) КМ5</v>
      </c>
      <c r="D1328" s="15" t="s">
        <v>6</v>
      </c>
      <c r="E1328" s="15">
        <v>1</v>
      </c>
      <c r="F1328" s="91" t="s">
        <v>84</v>
      </c>
      <c r="G1328" s="4"/>
      <c r="H1328" s="4"/>
      <c r="I1328" s="4"/>
    </row>
    <row r="1329" spans="1:9" ht="15">
      <c r="A1329" s="21">
        <f t="shared" si="24"/>
        <v>168</v>
      </c>
      <c r="B1329" s="19" t="s">
        <v>1912</v>
      </c>
      <c r="C1329" s="85" t="str">
        <f ca="1">IFERROR(__xludf.DUMMYFUNCTION("GOOGLETRANSLATE(B1329:B1344,""RU"",""UK"")"),"Свердло 62,0")</f>
        <v>Свердло 62,0</v>
      </c>
      <c r="D1329" s="15" t="s">
        <v>6</v>
      </c>
      <c r="E1329" s="15">
        <v>0</v>
      </c>
      <c r="F1329" s="91" t="s">
        <v>12</v>
      </c>
      <c r="G1329" s="4"/>
      <c r="H1329" s="4"/>
      <c r="I1329" s="4"/>
    </row>
    <row r="1330" spans="1:9" ht="15">
      <c r="A1330" s="21">
        <f t="shared" si="24"/>
        <v>169</v>
      </c>
      <c r="B1330" s="14" t="s">
        <v>1913</v>
      </c>
      <c r="C1330" s="85" t="str">
        <f ca="1">IFERROR(__xludf.DUMMYFUNCTION("GOOGLETRANSLATE(B1330:B1345,""RU"",""UK"")"),"Свердло 65,0")</f>
        <v>Свердло 65,0</v>
      </c>
      <c r="D1330" s="15" t="s">
        <v>6</v>
      </c>
      <c r="E1330" s="15">
        <v>2</v>
      </c>
      <c r="F1330" s="91" t="s">
        <v>14</v>
      </c>
      <c r="G1330" s="4"/>
      <c r="H1330" s="4"/>
      <c r="I1330" s="4"/>
    </row>
    <row r="1331" spans="1:9" ht="15">
      <c r="A1331" s="21">
        <f t="shared" si="24"/>
        <v>170</v>
      </c>
      <c r="B1331" s="14" t="s">
        <v>1914</v>
      </c>
      <c r="C1331" s="85" t="str">
        <f ca="1">IFERROR(__xludf.DUMMYFUNCTION("GOOGLETRANSLATE(B1331:B1346,""RU"",""UK"")"),"Кільцеве свердло 66,0")</f>
        <v>Кільцеве свердло 66,0</v>
      </c>
      <c r="D1331" s="15" t="s">
        <v>6</v>
      </c>
      <c r="E1331" s="15">
        <v>1</v>
      </c>
      <c r="F1331" s="91" t="s">
        <v>119</v>
      </c>
      <c r="G1331" s="4"/>
      <c r="H1331" s="4"/>
      <c r="I1331" s="4"/>
    </row>
    <row r="1332" spans="1:9" ht="15">
      <c r="A1332" s="21">
        <f t="shared" si="24"/>
        <v>171</v>
      </c>
      <c r="B1332" s="14" t="s">
        <v>1915</v>
      </c>
      <c r="C1332" s="85" t="str">
        <f ca="1">IFERROR(__xludf.DUMMYFUNCTION("GOOGLETRANSLATE(B1332:B1347,""RU"",""UK"")"),"Свердло 68.0")</f>
        <v>Свердло 68.0</v>
      </c>
      <c r="D1332" s="15" t="s">
        <v>6</v>
      </c>
      <c r="E1332" s="15">
        <v>2</v>
      </c>
      <c r="F1332" s="91" t="s">
        <v>50</v>
      </c>
      <c r="G1332" s="4"/>
      <c r="H1332" s="4"/>
      <c r="I1332" s="4"/>
    </row>
    <row r="1333" spans="1:9" ht="15">
      <c r="A1333" s="21">
        <f t="shared" si="24"/>
        <v>172</v>
      </c>
      <c r="B1333" s="19" t="s">
        <v>1916</v>
      </c>
      <c r="C1333" s="85" t="str">
        <f ca="1">IFERROR(__xludf.DUMMYFUNCTION("GOOGLETRANSLATE(B1333:B1348,""RU"",""UK"")"),"Свердло 70,0")</f>
        <v>Свердло 70,0</v>
      </c>
      <c r="D1333" s="15" t="s">
        <v>6</v>
      </c>
      <c r="E1333" s="15">
        <v>0</v>
      </c>
      <c r="F1333" s="91" t="s">
        <v>1917</v>
      </c>
      <c r="G1333" s="4"/>
      <c r="H1333" s="4"/>
      <c r="I1333" s="4"/>
    </row>
    <row r="1334" spans="1:9" ht="15">
      <c r="A1334" s="21">
        <f t="shared" si="24"/>
        <v>173</v>
      </c>
      <c r="B1334" s="19" t="s">
        <v>1918</v>
      </c>
      <c r="C1334" s="85" t="str">
        <f ca="1">IFERROR(__xludf.DUMMYFUNCTION("GOOGLETRANSLATE(B1334:B1349,""RU"",""UK"")"),"Свердло 72,0")</f>
        <v>Свердло 72,0</v>
      </c>
      <c r="D1334" s="15" t="s">
        <v>6</v>
      </c>
      <c r="E1334" s="15">
        <v>0</v>
      </c>
      <c r="F1334" s="91" t="s">
        <v>61</v>
      </c>
      <c r="G1334" s="4"/>
      <c r="H1334" s="4"/>
      <c r="I1334" s="4"/>
    </row>
    <row r="1335" spans="1:9" ht="15">
      <c r="A1335" s="21">
        <f t="shared" si="24"/>
        <v>174</v>
      </c>
      <c r="B1335" s="14" t="s">
        <v>1919</v>
      </c>
      <c r="C1335" s="85" t="str">
        <f ca="1">IFERROR(__xludf.DUMMYFUNCTION("GOOGLETRANSLATE(B1335:B1350,""RU"",""UK"")"),"Свердло 72,0 КМ5 б.у")</f>
        <v>Свердло 72,0 КМ5 б.у</v>
      </c>
      <c r="D1335" s="15" t="s">
        <v>6</v>
      </c>
      <c r="E1335" s="15">
        <v>1</v>
      </c>
      <c r="F1335" s="91" t="s">
        <v>12</v>
      </c>
      <c r="G1335" s="4"/>
      <c r="H1335" s="4"/>
      <c r="I1335" s="4"/>
    </row>
    <row r="1336" spans="1:9" ht="15">
      <c r="A1336" s="21">
        <f t="shared" si="24"/>
        <v>175</v>
      </c>
      <c r="B1336" s="14" t="s">
        <v>1920</v>
      </c>
      <c r="C1336" s="85" t="str">
        <f ca="1">IFERROR(__xludf.DUMMYFUNCTION("GOOGLETRANSLATE(B1336:B1351,""RU"",""UK"")"),"Свердло 78,0 КМ6 Р6М5К5")</f>
        <v>Свердло 78,0 КМ6 Р6М5К5</v>
      </c>
      <c r="D1336" s="15" t="s">
        <v>6</v>
      </c>
      <c r="E1336" s="15">
        <v>2</v>
      </c>
      <c r="F1336" s="91" t="s">
        <v>59</v>
      </c>
      <c r="G1336" s="4"/>
      <c r="H1336" s="4"/>
      <c r="I1336" s="4"/>
    </row>
    <row r="1337" spans="1:9" ht="15">
      <c r="A1337" s="21">
        <f t="shared" si="24"/>
        <v>176</v>
      </c>
      <c r="B1337" s="14" t="s">
        <v>1921</v>
      </c>
      <c r="C1337" s="85" t="str">
        <f ca="1">IFERROR(__xludf.DUMMYFUNCTION("GOOGLETRANSLATE(B1337:B1352,""RU"",""UK"")"),"Перо до свердла 76мм")</f>
        <v>Перо до свердла 76мм</v>
      </c>
      <c r="D1337" s="15" t="s">
        <v>6</v>
      </c>
      <c r="E1337" s="15">
        <v>1</v>
      </c>
      <c r="F1337" s="91" t="s">
        <v>272</v>
      </c>
      <c r="G1337" s="4"/>
      <c r="H1337" s="4"/>
      <c r="I1337" s="4"/>
    </row>
    <row r="1338" spans="1:9" ht="15">
      <c r="A1338" s="21">
        <f t="shared" si="24"/>
        <v>177</v>
      </c>
      <c r="B1338" s="14" t="s">
        <v>1922</v>
      </c>
      <c r="C1338" s="85" t="str">
        <f ca="1">IFERROR(__xludf.DUMMYFUNCTION("GOOGLETRANSLATE(B1338:B1353,""RU"",""UK"")"),"Свердло-зенкер комбінірів. D75xd28хL580(400)мм КМ5+зап.2шт (70 та 75мм)")</f>
        <v>Свердло-зенкер комбінірів. D75xd28хL580(400)мм КМ5+зап.2шт (70 та 75мм)</v>
      </c>
      <c r="D1338" s="15" t="s">
        <v>6</v>
      </c>
      <c r="E1338" s="15">
        <v>3</v>
      </c>
      <c r="F1338" s="91" t="s">
        <v>10</v>
      </c>
      <c r="G1338" s="4"/>
      <c r="H1338" s="4"/>
      <c r="I1338" s="4"/>
    </row>
    <row r="1339" spans="1:9" ht="15">
      <c r="A1339" s="43"/>
      <c r="B1339" s="29" t="s">
        <v>1923</v>
      </c>
      <c r="C1339" s="110" t="str">
        <f ca="1">IFERROR(__xludf.DUMMYFUNCTION("GOOGLETRANSLATE(B1339:B1354,""RU"",""UK"")"),"15. С В Е Р Д Л А  П І Д В И Щ Е Н Н О Ї  Т В Е Р Д О С Т І - ВК6М, ВК8, Р9, Р12, Р18")</f>
        <v>15. С В Е Р Д Л А  П І Д В И Щ Е Н Н О Ї  Т В Е Р Д О С Т І - ВК6М, ВК8, Р9, Р12, Р18</v>
      </c>
      <c r="D1339" s="29"/>
      <c r="E1339" s="29"/>
      <c r="F1339" s="100"/>
      <c r="G1339" s="4"/>
      <c r="H1339" s="4"/>
      <c r="I1339" s="4"/>
    </row>
    <row r="1340" spans="1:9" ht="15">
      <c r="A1340" s="13">
        <v>1</v>
      </c>
      <c r="B1340" s="14" t="s">
        <v>1924</v>
      </c>
      <c r="C1340" s="85" t="str">
        <f ca="1">IFERROR(__xludf.DUMMYFUNCTION("GOOGLETRANSLATE(B1340:B1355,""RU"",""UK"")"),"Свердло монолітне 0,6/0,75/0,8 ВК6-М")</f>
        <v>Свердло монолітне 0,6/0,75/0,8 ВК6-М</v>
      </c>
      <c r="D1340" s="15" t="s">
        <v>6</v>
      </c>
      <c r="E1340" s="15" t="s">
        <v>1925</v>
      </c>
      <c r="F1340" s="91" t="s">
        <v>132</v>
      </c>
      <c r="G1340" s="4"/>
      <c r="H1340" s="4"/>
      <c r="I1340" s="4"/>
    </row>
    <row r="1341" spans="1:9" ht="15">
      <c r="A1341" s="13">
        <f>A1340+1</f>
        <v>2</v>
      </c>
      <c r="B1341" s="14" t="s">
        <v>1926</v>
      </c>
      <c r="C1341" s="85" t="str">
        <f ca="1">IFERROR(__xludf.DUMMYFUNCTION("GOOGLETRANSLATE(B1341:B1356,""RU"",""UK"")"),"Свердло монолітне 0,9/0,95/1,0 ВК6-М")</f>
        <v>Свердло монолітне 0,9/0,95/1,0 ВК6-М</v>
      </c>
      <c r="D1341" s="15" t="s">
        <v>6</v>
      </c>
      <c r="E1341" s="15" t="s">
        <v>1927</v>
      </c>
      <c r="F1341" s="91" t="s">
        <v>1236</v>
      </c>
      <c r="G1341" s="4"/>
      <c r="H1341" s="4"/>
      <c r="I1341" s="4"/>
    </row>
    <row r="1342" spans="1:9" ht="15">
      <c r="A1342" s="21">
        <f t="shared" ref="A1342:A1405" si="25">A1341+1</f>
        <v>3</v>
      </c>
      <c r="B1342" s="14" t="s">
        <v>1928</v>
      </c>
      <c r="C1342" s="85" t="str">
        <f ca="1">IFERROR(__xludf.DUMMYFUNCTION("GOOGLETRANSLATE(B1342:B1357,""RU"",""UK"")"),"Свердло монолітне 1,1/1,2 ВК6-М")</f>
        <v>Свердло монолітне 1,1/1,2 ВК6-М</v>
      </c>
      <c r="D1342" s="15" t="s">
        <v>6</v>
      </c>
      <c r="E1342" s="15" t="s">
        <v>1929</v>
      </c>
      <c r="F1342" s="91" t="s">
        <v>1930</v>
      </c>
      <c r="G1342" s="4"/>
      <c r="H1342" s="4"/>
      <c r="I1342" s="4"/>
    </row>
    <row r="1343" spans="1:9" ht="15">
      <c r="A1343" s="21">
        <f t="shared" si="25"/>
        <v>4</v>
      </c>
      <c r="B1343" s="14" t="s">
        <v>1931</v>
      </c>
      <c r="C1343" s="85" t="str">
        <f ca="1">IFERROR(__xludf.DUMMYFUNCTION("GOOGLETRANSLATE(B1343:B1358,""RU"",""UK"")"),"Свердло монолітне 1,3/1,4 ВК6-М")</f>
        <v>Свердло монолітне 1,3/1,4 ВК6-М</v>
      </c>
      <c r="D1343" s="15" t="s">
        <v>6</v>
      </c>
      <c r="E1343" s="15" t="s">
        <v>1932</v>
      </c>
      <c r="F1343" s="91" t="s">
        <v>1933</v>
      </c>
      <c r="G1343" s="4"/>
      <c r="H1343" s="4"/>
      <c r="I1343" s="4"/>
    </row>
    <row r="1344" spans="1:9" ht="15">
      <c r="A1344" s="21">
        <f t="shared" si="25"/>
        <v>5</v>
      </c>
      <c r="B1344" s="14" t="s">
        <v>1934</v>
      </c>
      <c r="C1344" s="85" t="str">
        <f ca="1">IFERROR(__xludf.DUMMYFUNCTION("GOOGLETRANSLATE(B1344:B1359,""RU"",""UK"")"),"Свердло монолітне 1,5/1,6 ВК6-М")</f>
        <v>Свердло монолітне 1,5/1,6 ВК6-М</v>
      </c>
      <c r="D1344" s="15" t="s">
        <v>6</v>
      </c>
      <c r="E1344" s="15" t="s">
        <v>1935</v>
      </c>
      <c r="F1344" s="91" t="s">
        <v>1936</v>
      </c>
      <c r="G1344" s="4"/>
      <c r="H1344" s="4"/>
      <c r="I1344" s="4"/>
    </row>
    <row r="1345" spans="1:9" ht="15">
      <c r="A1345" s="21">
        <f t="shared" si="25"/>
        <v>6</v>
      </c>
      <c r="B1345" s="14" t="s">
        <v>1937</v>
      </c>
      <c r="C1345" s="85" t="str">
        <f ca="1">IFERROR(__xludf.DUMMYFUNCTION("GOOGLETRANSLATE(B1345:B1360,""RU"",""UK"")"),"Свердло монолітне 1,7/1,9 ВК6-М")</f>
        <v>Свердло монолітне 1,7/1,9 ВК6-М</v>
      </c>
      <c r="D1345" s="15" t="s">
        <v>6</v>
      </c>
      <c r="E1345" s="15" t="s">
        <v>1938</v>
      </c>
      <c r="F1345" s="91" t="s">
        <v>1401</v>
      </c>
      <c r="G1345" s="4"/>
      <c r="H1345" s="4"/>
      <c r="I1345" s="4"/>
    </row>
    <row r="1346" spans="1:9" ht="15">
      <c r="A1346" s="21">
        <f t="shared" si="25"/>
        <v>7</v>
      </c>
      <c r="B1346" s="14" t="s">
        <v>1939</v>
      </c>
      <c r="C1346" s="85" t="str">
        <f ca="1">IFERROR(__xludf.DUMMYFUNCTION("GOOGLETRANSLATE(B1346:B1361,""RU"",""UK"")"),"Свердло 1,9 Р18")</f>
        <v>Свердло 1,9 Р18</v>
      </c>
      <c r="D1346" s="15" t="s">
        <v>6</v>
      </c>
      <c r="E1346" s="15">
        <v>95</v>
      </c>
      <c r="F1346" s="91" t="s">
        <v>361</v>
      </c>
      <c r="G1346" s="4"/>
      <c r="H1346" s="4"/>
      <c r="I1346" s="4"/>
    </row>
    <row r="1347" spans="1:9" ht="15">
      <c r="A1347" s="21">
        <f t="shared" si="25"/>
        <v>8</v>
      </c>
      <c r="B1347" s="14" t="s">
        <v>1940</v>
      </c>
      <c r="C1347" s="85" t="str">
        <f ca="1">IFERROR(__xludf.DUMMYFUNCTION("GOOGLETRANSLATE(B1347:B1362,""RU"",""UK"")"),"Свердло монолітне 2,0ВК6-М Кл.")</f>
        <v>Свердло монолітне 2,0ВК6-М Кл.</v>
      </c>
      <c r="D1347" s="15" t="s">
        <v>6</v>
      </c>
      <c r="E1347" s="15">
        <v>30</v>
      </c>
      <c r="F1347" s="91" t="s">
        <v>134</v>
      </c>
      <c r="G1347" s="4"/>
      <c r="H1347" s="4"/>
      <c r="I1347" s="4"/>
    </row>
    <row r="1348" spans="1:9" ht="15">
      <c r="A1348" s="21">
        <f t="shared" si="25"/>
        <v>9</v>
      </c>
      <c r="B1348" s="14" t="s">
        <v>1941</v>
      </c>
      <c r="C1348" s="85" t="str">
        <f ca="1">IFERROR(__xludf.DUMMYFUNCTION("GOOGLETRANSLATE(B1348:B1363,""RU"",""UK"")"),"Свердло 2.9 Р18 удл.")</f>
        <v>Свердло 2.9 Р18 удл.</v>
      </c>
      <c r="D1348" s="15" t="s">
        <v>6</v>
      </c>
      <c r="E1348" s="15">
        <v>15</v>
      </c>
      <c r="F1348" s="91" t="s">
        <v>134</v>
      </c>
      <c r="G1348" s="4"/>
      <c r="H1348" s="4"/>
      <c r="I1348" s="4"/>
    </row>
    <row r="1349" spans="1:9" ht="15">
      <c r="A1349" s="21">
        <f t="shared" si="25"/>
        <v>10</v>
      </c>
      <c r="B1349" s="14" t="s">
        <v>1942</v>
      </c>
      <c r="C1349" s="85" t="str">
        <f ca="1">IFERROR(__xludf.DUMMYFUNCTION("GOOGLETRANSLATE(B1349:B1364,""RU"",""UK"")"),"Свердло монолітне 3,0 ВК6-М")</f>
        <v>Свердло монолітне 3,0 ВК6-М</v>
      </c>
      <c r="D1349" s="15" t="s">
        <v>6</v>
      </c>
      <c r="E1349" s="15">
        <v>34</v>
      </c>
      <c r="F1349" s="91" t="s">
        <v>253</v>
      </c>
      <c r="G1349" s="4"/>
      <c r="H1349" s="4"/>
      <c r="I1349" s="4"/>
    </row>
    <row r="1350" spans="1:9" ht="15">
      <c r="A1350" s="21">
        <f t="shared" si="25"/>
        <v>11</v>
      </c>
      <c r="B1350" s="45" t="s">
        <v>1943</v>
      </c>
      <c r="C1350" s="85" t="str">
        <f ca="1">IFERROR(__xludf.DUMMYFUNCTION("GOOGLETRANSLATE(B1350:B1365,""RU"",""UK"")"),"Свердло 3,0 Р18 удл (150храб.40мм)")</f>
        <v>Свердло 3,0 Р18 удл (150храб.40мм)</v>
      </c>
      <c r="D1350" s="60" t="s">
        <v>6</v>
      </c>
      <c r="E1350" s="60">
        <v>5</v>
      </c>
      <c r="F1350" s="103" t="s">
        <v>366</v>
      </c>
      <c r="G1350" s="4"/>
      <c r="H1350" s="4"/>
      <c r="I1350" s="4"/>
    </row>
    <row r="1351" spans="1:9" ht="15">
      <c r="A1351" s="21">
        <f t="shared" si="25"/>
        <v>12</v>
      </c>
      <c r="B1351" s="45" t="s">
        <v>1944</v>
      </c>
      <c r="C1351" s="85" t="str">
        <f ca="1">IFERROR(__xludf.DUMMYFUNCTION("GOOGLETRANSLATE(B1351:B1366,""RU"",""UK"")"),"Свердло 3,0Р18/3,2Р18/3,3Р18")</f>
        <v>Свердло 3,0Р18/3,2Р18/3,3Р18</v>
      </c>
      <c r="D1351" s="60" t="s">
        <v>6</v>
      </c>
      <c r="E1351" s="60" t="s">
        <v>1945</v>
      </c>
      <c r="F1351" s="103" t="s">
        <v>290</v>
      </c>
      <c r="G1351" s="4"/>
      <c r="H1351" s="4"/>
      <c r="I1351" s="4"/>
    </row>
    <row r="1352" spans="1:9" ht="15">
      <c r="A1352" s="21">
        <f t="shared" si="25"/>
        <v>13</v>
      </c>
      <c r="B1352" s="45" t="s">
        <v>1946</v>
      </c>
      <c r="C1352" s="85" t="str">
        <f ca="1">IFERROR(__xludf.DUMMYFUNCTION("GOOGLETRANSLATE(B1352:B1367,""RU"",""UK"")"),"Свердло 3,3 (100/60) Р18")</f>
        <v>Свердло 3,3 (100/60) Р18</v>
      </c>
      <c r="D1352" s="60" t="s">
        <v>6</v>
      </c>
      <c r="E1352" s="60">
        <v>9</v>
      </c>
      <c r="F1352" s="103" t="s">
        <v>292</v>
      </c>
      <c r="G1352" s="4"/>
      <c r="H1352" s="4"/>
      <c r="I1352" s="4"/>
    </row>
    <row r="1353" spans="1:9" ht="15">
      <c r="A1353" s="21">
        <f t="shared" si="25"/>
        <v>14</v>
      </c>
      <c r="B1353" s="45" t="s">
        <v>1947</v>
      </c>
      <c r="C1353" s="85" t="str">
        <f ca="1">IFERROR(__xludf.DUMMYFUNCTION("GOOGLETRANSLATE(B1353:B1368,""RU"",""UK"")"),"Свердло 3,5 Р18")</f>
        <v>Свердло 3,5 Р18</v>
      </c>
      <c r="D1353" s="60" t="s">
        <v>6</v>
      </c>
      <c r="E1353" s="60">
        <v>13</v>
      </c>
      <c r="F1353" s="103" t="s">
        <v>292</v>
      </c>
      <c r="G1353" s="4"/>
      <c r="H1353" s="4"/>
      <c r="I1353" s="4"/>
    </row>
    <row r="1354" spans="1:9" ht="15">
      <c r="A1354" s="21">
        <f t="shared" si="25"/>
        <v>15</v>
      </c>
      <c r="B1354" s="45" t="s">
        <v>1948</v>
      </c>
      <c r="C1354" s="85" t="str">
        <f ca="1">IFERROR(__xludf.DUMMYFUNCTION("GOOGLETRANSLATE(B1354:B1369,""RU"",""UK"")"),"Свердло 4,0 Р18")</f>
        <v>Свердло 4,0 Р18</v>
      </c>
      <c r="D1354" s="60" t="s">
        <v>6</v>
      </c>
      <c r="E1354" s="60">
        <v>36</v>
      </c>
      <c r="F1354" s="103" t="s">
        <v>366</v>
      </c>
      <c r="G1354" s="4"/>
      <c r="H1354" s="4"/>
      <c r="I1354" s="4"/>
    </row>
    <row r="1355" spans="1:9" ht="15">
      <c r="A1355" s="21">
        <f t="shared" si="25"/>
        <v>16</v>
      </c>
      <c r="B1355" s="45" t="s">
        <v>1949</v>
      </c>
      <c r="C1355" s="85" t="str">
        <f ca="1">IFERROR(__xludf.DUMMYFUNCTION("GOOGLETRANSLATE(B1355:B1370,""RU"",""UK"")"),"Свердло 4,2 Р18")</f>
        <v>Свердло 4,2 Р18</v>
      </c>
      <c r="D1355" s="60" t="s">
        <v>6</v>
      </c>
      <c r="E1355" s="60">
        <v>25</v>
      </c>
      <c r="F1355" s="103" t="s">
        <v>1950</v>
      </c>
      <c r="G1355" s="4"/>
      <c r="H1355" s="4"/>
      <c r="I1355" s="4"/>
    </row>
    <row r="1356" spans="1:9" ht="15">
      <c r="A1356" s="21">
        <f t="shared" si="25"/>
        <v>17</v>
      </c>
      <c r="B1356" s="14" t="s">
        <v>1951</v>
      </c>
      <c r="C1356" s="85" t="str">
        <f ca="1">IFERROR(__xludf.DUMMYFUNCTION("GOOGLETRANSLATE(B1356:B1371,""RU"",""UK"")"),"Свердло монолітне 4,3 ВК8 (раб. 15мм)")</f>
        <v>Свердло монолітне 4,3 ВК8 (раб. 15мм)</v>
      </c>
      <c r="D1356" s="15" t="s">
        <v>6</v>
      </c>
      <c r="E1356" s="15">
        <v>5</v>
      </c>
      <c r="F1356" s="91" t="s">
        <v>255</v>
      </c>
      <c r="G1356" s="4"/>
      <c r="H1356" s="4"/>
      <c r="I1356" s="4"/>
    </row>
    <row r="1357" spans="1:9" ht="15">
      <c r="A1357" s="21">
        <f t="shared" si="25"/>
        <v>18</v>
      </c>
      <c r="B1357" s="45" t="s">
        <v>1952</v>
      </c>
      <c r="C1357" s="85" t="str">
        <f ca="1">IFERROR(__xludf.DUMMYFUNCTION("GOOGLETRANSLATE(B1357:B1372,""RU"",""UK"")"),"Свердло 4,5 Р18")</f>
        <v>Свердло 4,5 Р18</v>
      </c>
      <c r="D1357" s="60" t="s">
        <v>6</v>
      </c>
      <c r="E1357" s="60">
        <v>24</v>
      </c>
      <c r="F1357" s="103" t="s">
        <v>366</v>
      </c>
      <c r="G1357" s="4"/>
      <c r="H1357" s="4"/>
      <c r="I1357" s="4"/>
    </row>
    <row r="1358" spans="1:9" ht="15">
      <c r="A1358" s="21">
        <f t="shared" si="25"/>
        <v>19</v>
      </c>
      <c r="B1358" s="14" t="s">
        <v>1953</v>
      </c>
      <c r="C1358" s="85" t="str">
        <f ca="1">IFERROR(__xludf.DUMMYFUNCTION("GOOGLETRANSLATE(B1358:B1373,""RU"",""UK"")"),"Свердло 4.6 Р18 лев.")</f>
        <v>Свердло 4.6 Р18 лев.</v>
      </c>
      <c r="D1358" s="15" t="s">
        <v>6</v>
      </c>
      <c r="E1358" s="15">
        <v>4</v>
      </c>
      <c r="F1358" s="91" t="s">
        <v>1077</v>
      </c>
      <c r="G1358" s="4"/>
      <c r="H1358" s="4"/>
      <c r="I1358" s="4"/>
    </row>
    <row r="1359" spans="1:9" ht="15">
      <c r="A1359" s="21">
        <f t="shared" si="25"/>
        <v>20</v>
      </c>
      <c r="B1359" s="14" t="s">
        <v>1954</v>
      </c>
      <c r="C1359" s="85" t="str">
        <f ca="1">IFERROR(__xludf.DUMMYFUNCTION("GOOGLETRANSLATE(B1359:B1374,""RU"",""UK"")"),"Свердло 4.8 Р18")</f>
        <v>Свердло 4.8 Р18</v>
      </c>
      <c r="D1359" s="15" t="s">
        <v>6</v>
      </c>
      <c r="E1359" s="15">
        <v>11</v>
      </c>
      <c r="F1359" s="91" t="s">
        <v>1077</v>
      </c>
      <c r="G1359" s="4"/>
      <c r="H1359" s="4"/>
      <c r="I1359" s="4"/>
    </row>
    <row r="1360" spans="1:9" ht="15">
      <c r="A1360" s="21">
        <f t="shared" si="25"/>
        <v>21</v>
      </c>
      <c r="B1360" s="14" t="s">
        <v>1955</v>
      </c>
      <c r="C1360" s="85" t="str">
        <f ca="1">IFERROR(__xludf.DUMMYFUNCTION("GOOGLETRANSLATE(B1360:B1375,""RU"",""UK"")"),"Свердло коніч. 5,0х60 (1:50) Р18")</f>
        <v>Свердло коніч. 5,0х60 (1:50) Р18</v>
      </c>
      <c r="D1360" s="15" t="s">
        <v>6</v>
      </c>
      <c r="E1360" s="15">
        <v>5</v>
      </c>
      <c r="F1360" s="91" t="s">
        <v>255</v>
      </c>
      <c r="G1360" s="4"/>
      <c r="H1360" s="4"/>
      <c r="I1360" s="4"/>
    </row>
    <row r="1361" spans="1:9" ht="15">
      <c r="A1361" s="21">
        <f t="shared" si="25"/>
        <v>22</v>
      </c>
      <c r="B1361" s="45" t="s">
        <v>1956</v>
      </c>
      <c r="C1361" s="85" t="str">
        <f ca="1">IFERROR(__xludf.DUMMYFUNCTION("GOOGLETRANSLATE(B1361:B1376,""RU"",""UK"")"),"Свердло 5,0 Р18")</f>
        <v>Свердло 5,0 Р18</v>
      </c>
      <c r="D1361" s="60" t="s">
        <v>6</v>
      </c>
      <c r="E1361" s="60">
        <v>1</v>
      </c>
      <c r="F1361" s="103" t="s">
        <v>253</v>
      </c>
      <c r="G1361" s="4"/>
      <c r="H1361" s="4"/>
      <c r="I1361" s="4"/>
    </row>
    <row r="1362" spans="1:9" ht="15">
      <c r="A1362" s="21">
        <f t="shared" si="25"/>
        <v>23</v>
      </c>
      <c r="B1362" s="45" t="s">
        <v>1957</v>
      </c>
      <c r="C1362" s="85" t="str">
        <f ca="1">IFERROR(__xludf.DUMMYFUNCTION("GOOGLETRANSLATE(B1362:B1377,""RU"",""UK"")"),"Свердло 5,2 Р18")</f>
        <v>Свердло 5,2 Р18</v>
      </c>
      <c r="D1362" s="60" t="s">
        <v>6</v>
      </c>
      <c r="E1362" s="60">
        <v>2</v>
      </c>
      <c r="F1362" s="103" t="s">
        <v>253</v>
      </c>
      <c r="G1362" s="4"/>
      <c r="H1362" s="4"/>
      <c r="I1362" s="4"/>
    </row>
    <row r="1363" spans="1:9" ht="15">
      <c r="A1363" s="21">
        <f t="shared" si="25"/>
        <v>24</v>
      </c>
      <c r="B1363" s="16" t="s">
        <v>1958</v>
      </c>
      <c r="C1363" s="85" t="str">
        <f ca="1">IFERROR(__xludf.DUMMYFUNCTION("GOOGLETRANSLATE(B1363:B1378,""RU"",""UK"")"),"Свердло 5,5 Р18")</f>
        <v>Свердло 5,5 Р18</v>
      </c>
      <c r="D1363" s="17" t="s">
        <v>6</v>
      </c>
      <c r="E1363" s="17">
        <v>1</v>
      </c>
      <c r="F1363" s="92" t="s">
        <v>201</v>
      </c>
      <c r="G1363" s="4"/>
      <c r="H1363" s="4"/>
      <c r="I1363" s="4"/>
    </row>
    <row r="1364" spans="1:9" ht="15">
      <c r="A1364" s="21">
        <f t="shared" si="25"/>
        <v>25</v>
      </c>
      <c r="B1364" s="56" t="s">
        <v>1959</v>
      </c>
      <c r="C1364" s="85" t="str">
        <f ca="1">IFERROR(__xludf.DUMMYFUNCTION("GOOGLETRANSLATE(B1364:B1379,""RU"",""UK"")"),"Свердло 6,0 Р18")</f>
        <v>Свердло 6,0 Р18</v>
      </c>
      <c r="D1364" s="60" t="s">
        <v>6</v>
      </c>
      <c r="E1364" s="60">
        <v>18</v>
      </c>
      <c r="F1364" s="103" t="s">
        <v>596</v>
      </c>
      <c r="G1364" s="4"/>
      <c r="H1364" s="4"/>
      <c r="I1364" s="4"/>
    </row>
    <row r="1365" spans="1:9" ht="15">
      <c r="A1365" s="21">
        <f t="shared" si="25"/>
        <v>26</v>
      </c>
      <c r="B1365" s="14" t="s">
        <v>1960</v>
      </c>
      <c r="C1365" s="85" t="str">
        <f ca="1">IFERROR(__xludf.DUMMYFUNCTION("GOOGLETRANSLATE(B1365:B1380,""RU"",""UK"")"),"Свердло 6.2 Р18 лев.")</f>
        <v>Свердло 6.2 Р18 лев.</v>
      </c>
      <c r="D1365" s="15" t="s">
        <v>6</v>
      </c>
      <c r="E1365" s="15">
        <v>9</v>
      </c>
      <c r="F1365" s="91" t="s">
        <v>304</v>
      </c>
      <c r="G1365" s="4"/>
      <c r="H1365" s="4"/>
      <c r="I1365" s="4"/>
    </row>
    <row r="1366" spans="1:9" ht="15">
      <c r="A1366" s="21">
        <f t="shared" si="25"/>
        <v>27</v>
      </c>
      <c r="B1366" s="14" t="s">
        <v>1961</v>
      </c>
      <c r="C1366" s="85" t="str">
        <f ca="1">IFERROR(__xludf.DUMMYFUNCTION("GOOGLETRANSLATE(B1366:B1381,""RU"",""UK"")"),"Свердло 6,3Р18/6,5Р6М5К5")</f>
        <v>Свердло 6,3Р18/6,5Р6М5К5</v>
      </c>
      <c r="D1366" s="15" t="s">
        <v>6</v>
      </c>
      <c r="E1366" s="15" t="s">
        <v>749</v>
      </c>
      <c r="F1366" s="91" t="s">
        <v>253</v>
      </c>
      <c r="G1366" s="4"/>
      <c r="H1366" s="4"/>
      <c r="I1366" s="4"/>
    </row>
    <row r="1367" spans="1:9" ht="15">
      <c r="A1367" s="21">
        <f t="shared" si="25"/>
        <v>28</v>
      </c>
      <c r="B1367" s="16" t="s">
        <v>1962</v>
      </c>
      <c r="C1367" s="85" t="str">
        <f ca="1">IFERROR(__xludf.DUMMYFUNCTION("GOOGLETRANSLATE(B1367:B1382,""RU"",""UK"")"),"Свердло 6,5 к/хв Р18")</f>
        <v>Свердло 6,5 к/хв Р18</v>
      </c>
      <c r="D1367" s="15" t="s">
        <v>6</v>
      </c>
      <c r="E1367" s="15">
        <v>22</v>
      </c>
      <c r="F1367" s="91" t="s">
        <v>185</v>
      </c>
      <c r="G1367" s="4"/>
      <c r="H1367" s="4"/>
      <c r="I1367" s="4"/>
    </row>
    <row r="1368" spans="1:9" ht="15">
      <c r="A1368" s="21">
        <f t="shared" si="25"/>
        <v>29</v>
      </c>
      <c r="B1368" s="14" t="s">
        <v>1963</v>
      </c>
      <c r="C1368" s="85" t="str">
        <f ca="1">IFERROR(__xludf.DUMMYFUNCTION("GOOGLETRANSLATE(B1368:B1383,""RU"",""UK"")"),"Свердло 6,5х150ц/хв Р18")</f>
        <v>Свердло 6,5х150ц/хв Р18</v>
      </c>
      <c r="D1368" s="15" t="s">
        <v>6</v>
      </c>
      <c r="E1368" s="15">
        <v>154</v>
      </c>
      <c r="F1368" s="91" t="s">
        <v>212</v>
      </c>
      <c r="G1368" s="4"/>
      <c r="H1368" s="4"/>
      <c r="I1368" s="4"/>
    </row>
    <row r="1369" spans="1:9" ht="15">
      <c r="A1369" s="21">
        <f t="shared" si="25"/>
        <v>30</v>
      </c>
      <c r="B1369" s="14" t="s">
        <v>1964</v>
      </c>
      <c r="C1369" s="85" t="str">
        <f ca="1">IFERROR(__xludf.DUMMYFUNCTION("GOOGLETRANSLATE(B1369:B1384,""RU"",""UK"")"),"Свердло 6,7х300ц/хв Р18")</f>
        <v>Свердло 6,7х300ц/хв Р18</v>
      </c>
      <c r="D1369" s="15" t="s">
        <v>6</v>
      </c>
      <c r="E1369" s="15">
        <v>1</v>
      </c>
      <c r="F1369" s="91" t="s">
        <v>212</v>
      </c>
      <c r="G1369" s="4"/>
      <c r="H1369" s="4"/>
      <c r="I1369" s="4"/>
    </row>
    <row r="1370" spans="1:9" ht="15">
      <c r="A1370" s="21">
        <f t="shared" si="25"/>
        <v>31</v>
      </c>
      <c r="B1370" s="14" t="s">
        <v>1965</v>
      </c>
      <c r="C1370" s="85" t="str">
        <f ca="1">IFERROR(__xludf.DUMMYFUNCTION("GOOGLETRANSLATE(B1370:B1385,""RU"",""UK"")"),"Свердло 6,9ц/хв Р12")</f>
        <v>Свердло 6,9ц/хв Р12</v>
      </c>
      <c r="D1370" s="15" t="s">
        <v>6</v>
      </c>
      <c r="E1370" s="15">
        <v>1</v>
      </c>
      <c r="F1370" s="91" t="s">
        <v>183</v>
      </c>
      <c r="G1370" s="4"/>
      <c r="H1370" s="4"/>
      <c r="I1370" s="4"/>
    </row>
    <row r="1371" spans="1:9" ht="15">
      <c r="A1371" s="21">
        <f t="shared" si="25"/>
        <v>32</v>
      </c>
      <c r="B1371" s="45" t="s">
        <v>1966</v>
      </c>
      <c r="C1371" s="85" t="str">
        <f ca="1">IFERROR(__xludf.DUMMYFUNCTION("GOOGLETRANSLATE(B1371:B1386,""RU"",""UK"")"),"Свердло 7,0 Р18К5")</f>
        <v>Свердло 7,0 Р18К5</v>
      </c>
      <c r="D1371" s="60" t="s">
        <v>6</v>
      </c>
      <c r="E1371" s="60">
        <v>8</v>
      </c>
      <c r="F1371" s="103" t="s">
        <v>1967</v>
      </c>
      <c r="G1371" s="4"/>
      <c r="H1371" s="4"/>
      <c r="I1371" s="4"/>
    </row>
    <row r="1372" spans="1:9" ht="15">
      <c r="A1372" s="21">
        <f t="shared" si="25"/>
        <v>33</v>
      </c>
      <c r="B1372" s="16" t="s">
        <v>1968</v>
      </c>
      <c r="C1372" s="85" t="str">
        <f ca="1">IFERROR(__xludf.DUMMYFUNCTION("GOOGLETRANSLATE(B1372:B1387,""RU"",""UK"")"),"Свердло 7,0 к/хв Р9")</f>
        <v>Свердло 7,0 к/хв Р9</v>
      </c>
      <c r="D1372" s="15" t="s">
        <v>6</v>
      </c>
      <c r="E1372" s="15">
        <v>10</v>
      </c>
      <c r="F1372" s="91" t="s">
        <v>1518</v>
      </c>
      <c r="G1372" s="4"/>
      <c r="H1372" s="4"/>
      <c r="I1372" s="4"/>
    </row>
    <row r="1373" spans="1:9" ht="15">
      <c r="A1373" s="21">
        <f t="shared" si="25"/>
        <v>34</v>
      </c>
      <c r="B1373" s="14" t="s">
        <v>1969</v>
      </c>
      <c r="C1373" s="85" t="str">
        <f ca="1">IFERROR(__xludf.DUMMYFUNCTION("GOOGLETRANSLATE(B1373:B1388,""RU"",""UK"")"),"Свердло 7,1 ц/хв Р18 / 7,2 ц/хв Р12 ц/хв")</f>
        <v>Свердло 7,1 ц/хв Р18 / 7,2 ц/хв Р12 ц/хв</v>
      </c>
      <c r="D1373" s="15" t="s">
        <v>6</v>
      </c>
      <c r="E1373" s="15" t="s">
        <v>1970</v>
      </c>
      <c r="F1373" s="91" t="s">
        <v>183</v>
      </c>
      <c r="G1373" s="4"/>
      <c r="H1373" s="4"/>
      <c r="I1373" s="4"/>
    </row>
    <row r="1374" spans="1:9" ht="15">
      <c r="A1374" s="21">
        <f t="shared" si="25"/>
        <v>35</v>
      </c>
      <c r="B1374" s="14" t="s">
        <v>1971</v>
      </c>
      <c r="C1374" s="85" t="str">
        <f ca="1">IFERROR(__xludf.DUMMYFUNCTION("GOOGLETRANSLATE(B1374:B1389,""RU"",""UK"")"),"Свердло 7,3 ц/хв Р18")</f>
        <v>Свердло 7,3 ц/хв Р18</v>
      </c>
      <c r="D1374" s="15" t="s">
        <v>6</v>
      </c>
      <c r="E1374" s="15">
        <v>9</v>
      </c>
      <c r="F1374" s="91" t="s">
        <v>183</v>
      </c>
      <c r="G1374" s="4"/>
      <c r="H1374" s="4"/>
      <c r="I1374" s="4"/>
    </row>
    <row r="1375" spans="1:9" ht="15">
      <c r="A1375" s="21">
        <f t="shared" si="25"/>
        <v>36</v>
      </c>
      <c r="B1375" s="14" t="s">
        <v>1972</v>
      </c>
      <c r="C1375" s="85" t="str">
        <f ca="1">IFERROR(__xludf.DUMMYFUNCTION("GOOGLETRANSLATE(B1375:B1390,""RU"",""UK"")"),"Свердло 7,3 ц/хв Р18 лев.")</f>
        <v>Свердло 7,3 ц/хв Р18 лев.</v>
      </c>
      <c r="D1375" s="15" t="s">
        <v>6</v>
      </c>
      <c r="E1375" s="15">
        <v>210</v>
      </c>
      <c r="F1375" s="91" t="s">
        <v>183</v>
      </c>
      <c r="G1375" s="4"/>
      <c r="H1375" s="4"/>
      <c r="I1375" s="4"/>
    </row>
    <row r="1376" spans="1:9" ht="15">
      <c r="A1376" s="21">
        <f t="shared" si="25"/>
        <v>37</v>
      </c>
      <c r="B1376" s="14" t="s">
        <v>1973</v>
      </c>
      <c r="C1376" s="85" t="str">
        <f ca="1">IFERROR(__xludf.DUMMYFUNCTION("GOOGLETRANSLATE(B1376:B1391,""RU"",""UK"")"),"Свердло 7,6 ц/хв ВК8")</f>
        <v>Свердло 7,6 ц/хв ВК8</v>
      </c>
      <c r="D1376" s="15" t="s">
        <v>6</v>
      </c>
      <c r="E1376" s="15">
        <v>4</v>
      </c>
      <c r="F1376" s="91" t="s">
        <v>564</v>
      </c>
      <c r="G1376" s="4"/>
      <c r="H1376" s="4"/>
      <c r="I1376" s="4"/>
    </row>
    <row r="1377" spans="1:9" ht="15">
      <c r="A1377" s="21">
        <f t="shared" si="25"/>
        <v>38</v>
      </c>
      <c r="B1377" s="14" t="s">
        <v>1974</v>
      </c>
      <c r="C1377" s="85" t="str">
        <f ca="1">IFERROR(__xludf.DUMMYFUNCTION("GOOGLETRANSLATE(B1377:B1392,""RU"",""UK"")"),"Свердло 7,7 ц/хв Р18")</f>
        <v>Свердло 7,7 ц/хв Р18</v>
      </c>
      <c r="D1377" s="15" t="s">
        <v>6</v>
      </c>
      <c r="E1377" s="15">
        <v>37</v>
      </c>
      <c r="F1377" s="91" t="s">
        <v>371</v>
      </c>
      <c r="G1377" s="4"/>
      <c r="H1377" s="4"/>
      <c r="I1377" s="4"/>
    </row>
    <row r="1378" spans="1:9" ht="15">
      <c r="A1378" s="21">
        <f t="shared" si="25"/>
        <v>39</v>
      </c>
      <c r="B1378" s="14" t="s">
        <v>1975</v>
      </c>
      <c r="C1378" s="85" t="str">
        <f ca="1">IFERROR(__xludf.DUMMYFUNCTION("GOOGLETRANSLATE(B1378:B1393,""RU"",""UK"")"),"Свердло 7,7х150ц/хв Р18")</f>
        <v>Свердло 7,7х150ц/хв Р18</v>
      </c>
      <c r="D1378" s="15" t="s">
        <v>6</v>
      </c>
      <c r="E1378" s="15">
        <v>2</v>
      </c>
      <c r="F1378" s="91" t="s">
        <v>564</v>
      </c>
      <c r="G1378" s="4"/>
      <c r="H1378" s="4"/>
      <c r="I1378" s="4"/>
    </row>
    <row r="1379" spans="1:9" ht="15">
      <c r="A1379" s="21">
        <f t="shared" si="25"/>
        <v>40</v>
      </c>
      <c r="B1379" s="14" t="s">
        <v>1976</v>
      </c>
      <c r="C1379" s="85" t="str">
        <f ca="1">IFERROR(__xludf.DUMMYFUNCTION("GOOGLETRANSLATE(B1379:B1394,""RU"",""UK"")"),"Свердло 7,8 Р18ц/хв лев. / 7,9 Р18ц/хв лев.")</f>
        <v>Свердло 7,8 Р18ц/хв лев. / 7,9 Р18ц/хв лев.</v>
      </c>
      <c r="D1379" s="15" t="s">
        <v>6</v>
      </c>
      <c r="E1379" s="15" t="s">
        <v>1977</v>
      </c>
      <c r="F1379" s="91" t="s">
        <v>104</v>
      </c>
      <c r="G1379" s="4"/>
      <c r="H1379" s="4"/>
      <c r="I1379" s="4"/>
    </row>
    <row r="1380" spans="1:9" ht="15">
      <c r="A1380" s="21">
        <f t="shared" si="25"/>
        <v>41</v>
      </c>
      <c r="B1380" s="14" t="s">
        <v>1978</v>
      </c>
      <c r="C1380" s="85" t="str">
        <f ca="1">IFERROR(__xludf.DUMMYFUNCTION("GOOGLETRANSLATE(B1380:B1395,""RU"",""UK"")"),"Свердло 8,1х160(110) ц/хв Р18")</f>
        <v>Свердло 8,1х160(110) ц/хв Р18</v>
      </c>
      <c r="D1380" s="15" t="s">
        <v>6</v>
      </c>
      <c r="E1380" s="15">
        <v>7</v>
      </c>
      <c r="F1380" s="91" t="s">
        <v>564</v>
      </c>
      <c r="G1380" s="4"/>
      <c r="H1380" s="4"/>
      <c r="I1380" s="4"/>
    </row>
    <row r="1381" spans="1:9" ht="15">
      <c r="A1381" s="21">
        <f t="shared" si="25"/>
        <v>42</v>
      </c>
      <c r="B1381" s="16" t="s">
        <v>1979</v>
      </c>
      <c r="C1381" s="85" t="str">
        <f ca="1">IFERROR(__xludf.DUMMYFUNCTION("GOOGLETRANSLATE(B1381:B1396,""RU"",""UK"")"),"Свердло 8,4 к/хв Р18")</f>
        <v>Свердло 8,4 к/хв Р18</v>
      </c>
      <c r="D1381" s="15" t="s">
        <v>6</v>
      </c>
      <c r="E1381" s="15">
        <v>1</v>
      </c>
      <c r="F1381" s="91" t="s">
        <v>319</v>
      </c>
      <c r="G1381" s="4"/>
      <c r="H1381" s="4"/>
      <c r="I1381" s="4"/>
    </row>
    <row r="1382" spans="1:9" ht="15">
      <c r="A1382" s="21">
        <f t="shared" si="25"/>
        <v>43</v>
      </c>
      <c r="B1382" s="45" t="s">
        <v>1980</v>
      </c>
      <c r="C1382" s="85" t="str">
        <f ca="1">IFERROR(__xludf.DUMMYFUNCTION("GOOGLETRANSLATE(B1382:B1397,""RU"",""UK"")"),"Свердло 8,5ц/хв Р18")</f>
        <v>Свердло 8,5ц/хв Р18</v>
      </c>
      <c r="D1382" s="60" t="s">
        <v>6</v>
      </c>
      <c r="E1382" s="60">
        <v>4</v>
      </c>
      <c r="F1382" s="103" t="s">
        <v>564</v>
      </c>
      <c r="G1382" s="4"/>
      <c r="H1382" s="4"/>
      <c r="I1382" s="4"/>
    </row>
    <row r="1383" spans="1:9" ht="15">
      <c r="A1383" s="21">
        <f t="shared" si="25"/>
        <v>44</v>
      </c>
      <c r="B1383" s="16" t="s">
        <v>1981</v>
      </c>
      <c r="C1383" s="85" t="str">
        <f ca="1">IFERROR(__xludf.DUMMYFUNCTION("GOOGLETRANSLATE(B1383:B1398,""RU"",""UK"")"),"Свердло 8,5 Р18 удл (165/110)")</f>
        <v>Свердло 8,5 Р18 удл (165/110)</v>
      </c>
      <c r="D1383" s="17" t="s">
        <v>6</v>
      </c>
      <c r="E1383" s="17">
        <v>5</v>
      </c>
      <c r="F1383" s="92" t="s">
        <v>557</v>
      </c>
      <c r="G1383" s="4"/>
      <c r="H1383" s="4"/>
      <c r="I1383" s="4"/>
    </row>
    <row r="1384" spans="1:9" ht="15">
      <c r="A1384" s="21">
        <f t="shared" si="25"/>
        <v>45</v>
      </c>
      <c r="B1384" s="14" t="s">
        <v>1982</v>
      </c>
      <c r="C1384" s="85" t="str">
        <f ca="1">IFERROR(__xludf.DUMMYFUNCTION("GOOGLETRANSLATE(B1384:B1399,""RU"",""UK"")"),"Свердло 8,8 лев. Р18")</f>
        <v>Свердло 8,8 лев. Р18</v>
      </c>
      <c r="D1384" s="15" t="s">
        <v>6</v>
      </c>
      <c r="E1384" s="15">
        <v>47</v>
      </c>
      <c r="F1384" s="91" t="s">
        <v>614</v>
      </c>
      <c r="G1384" s="4"/>
      <c r="H1384" s="4"/>
      <c r="I1384" s="4"/>
    </row>
    <row r="1385" spans="1:9" ht="15">
      <c r="A1385" s="21">
        <f t="shared" si="25"/>
        <v>46</v>
      </c>
      <c r="B1385" s="14" t="s">
        <v>1983</v>
      </c>
      <c r="C1385" s="85" t="str">
        <f ca="1">IFERROR(__xludf.DUMMYFUNCTION("GOOGLETRANSLATE(B1385:B1400,""RU"",""UK"")"),"Свердло 8,8х170удл ц/хв Р18")</f>
        <v>Свердло 8,8х170удл ц/хв Р18</v>
      </c>
      <c r="D1385" s="15" t="s">
        <v>6</v>
      </c>
      <c r="E1385" s="15">
        <v>10</v>
      </c>
      <c r="F1385" s="91" t="s">
        <v>346</v>
      </c>
      <c r="G1385" s="4"/>
      <c r="H1385" s="4"/>
      <c r="I1385" s="4"/>
    </row>
    <row r="1386" spans="1:9" ht="15">
      <c r="A1386" s="21">
        <f t="shared" si="25"/>
        <v>47</v>
      </c>
      <c r="B1386" s="14" t="s">
        <v>1984</v>
      </c>
      <c r="C1386" s="85" t="str">
        <f ca="1">IFERROR(__xludf.DUMMYFUNCTION("GOOGLETRANSLATE(B1386:B1401,""RU"",""UK"")"),"Свердло 8,9 ц/хв Р9К5")</f>
        <v>Свердло 8,9 ц/хв Р9К5</v>
      </c>
      <c r="D1386" s="15" t="s">
        <v>6</v>
      </c>
      <c r="E1386" s="15">
        <v>20</v>
      </c>
      <c r="F1386" s="91" t="s">
        <v>338</v>
      </c>
      <c r="G1386" s="4"/>
      <c r="H1386" s="4"/>
      <c r="I1386" s="4"/>
    </row>
    <row r="1387" spans="1:9" ht="15">
      <c r="A1387" s="21">
        <f t="shared" si="25"/>
        <v>48</v>
      </c>
      <c r="B1387" s="16" t="s">
        <v>1985</v>
      </c>
      <c r="C1387" s="85" t="str">
        <f ca="1">IFERROR(__xludf.DUMMYFUNCTION("GOOGLETRANSLATE(B1387:B1402,""RU"",""UK"")"),"Свердло 9,0ц/хв Р18")</f>
        <v>Свердло 9,0ц/хв Р18</v>
      </c>
      <c r="D1387" s="15" t="s">
        <v>6</v>
      </c>
      <c r="E1387" s="15">
        <v>41</v>
      </c>
      <c r="F1387" s="91" t="s">
        <v>212</v>
      </c>
      <c r="G1387" s="4"/>
      <c r="H1387" s="4"/>
      <c r="I1387" s="4"/>
    </row>
    <row r="1388" spans="1:9" ht="15">
      <c r="A1388" s="21">
        <f t="shared" si="25"/>
        <v>49</v>
      </c>
      <c r="B1388" s="16" t="s">
        <v>1986</v>
      </c>
      <c r="C1388" s="85" t="str">
        <f ca="1">IFERROR(__xludf.DUMMYFUNCTION("GOOGLETRANSLATE(B1388:B1403,""RU"",""UK"")"),"Свердло 9,0 к/хв Р6М5К5")</f>
        <v>Свердло 9,0 к/хв Р6М5К5</v>
      </c>
      <c r="D1388" s="15" t="s">
        <v>6</v>
      </c>
      <c r="E1388" s="15">
        <v>9</v>
      </c>
      <c r="F1388" s="91" t="s">
        <v>319</v>
      </c>
      <c r="G1388" s="4"/>
      <c r="H1388" s="4"/>
      <c r="I1388" s="4"/>
    </row>
    <row r="1389" spans="1:9" ht="15">
      <c r="A1389" s="21">
        <f t="shared" si="25"/>
        <v>50</v>
      </c>
      <c r="B1389" s="16" t="s">
        <v>1987</v>
      </c>
      <c r="C1389" s="85" t="str">
        <f ca="1">IFERROR(__xludf.DUMMYFUNCTION("GOOGLETRANSLATE(B1389:B1404,""RU"",""UK"")"),"Свердло 9,2 к/хв Р18")</f>
        <v>Свердло 9,2 к/хв Р18</v>
      </c>
      <c r="D1389" s="15" t="s">
        <v>6</v>
      </c>
      <c r="E1389" s="15">
        <v>3</v>
      </c>
      <c r="F1389" s="91" t="s">
        <v>567</v>
      </c>
      <c r="G1389" s="4"/>
      <c r="H1389" s="4"/>
      <c r="I1389" s="4"/>
    </row>
    <row r="1390" spans="1:9" ht="15">
      <c r="A1390" s="21">
        <f t="shared" si="25"/>
        <v>51</v>
      </c>
      <c r="B1390" s="14" t="s">
        <v>1988</v>
      </c>
      <c r="C1390" s="85" t="str">
        <f ca="1">IFERROR(__xludf.DUMMYFUNCTION("GOOGLETRANSLATE(B1390:B1405,""RU"",""UK"")"),"Свердло 9,4ц/хв Р18лев.")</f>
        <v>Свердло 9,4ц/хв Р18лев.</v>
      </c>
      <c r="D1390" s="15" t="s">
        <v>6</v>
      </c>
      <c r="E1390" s="15">
        <v>5</v>
      </c>
      <c r="F1390" s="91" t="s">
        <v>185</v>
      </c>
      <c r="G1390" s="4"/>
      <c r="H1390" s="4"/>
      <c r="I1390" s="4"/>
    </row>
    <row r="1391" spans="1:9" ht="15">
      <c r="A1391" s="21">
        <f t="shared" si="25"/>
        <v>52</v>
      </c>
      <c r="B1391" s="16" t="s">
        <v>1989</v>
      </c>
      <c r="C1391" s="85" t="str">
        <f ca="1">IFERROR(__xludf.DUMMYFUNCTION("GOOGLETRANSLATE(B1391:B1406,""RU"",""UK"")"),"Свердло 9,5 ц/хв Р18 / 9,5 ц/хв Р12 ц/хв")</f>
        <v>Свердло 9,5 ц/хв Р18 / 9,5 ц/хв Р12 ц/хв</v>
      </c>
      <c r="D1391" s="15" t="s">
        <v>6</v>
      </c>
      <c r="E1391" s="15" t="s">
        <v>1264</v>
      </c>
      <c r="F1391" s="91" t="s">
        <v>1990</v>
      </c>
      <c r="G1391" s="4"/>
      <c r="H1391" s="4"/>
      <c r="I1391" s="4"/>
    </row>
    <row r="1392" spans="1:9" ht="15">
      <c r="A1392" s="21">
        <f t="shared" si="25"/>
        <v>53</v>
      </c>
      <c r="B1392" s="14" t="s">
        <v>1991</v>
      </c>
      <c r="C1392" s="85" t="str">
        <f ca="1">IFERROR(__xludf.DUMMYFUNCTION("GOOGLETRANSLATE(B1392:B1407,""RU"",""UK"")"),"Свердло 9,6 ц/хв Р18 ц/хв")</f>
        <v>Свердло 9,6 ц/хв Р18 ц/хв</v>
      </c>
      <c r="D1392" s="15" t="s">
        <v>6</v>
      </c>
      <c r="E1392" s="15">
        <v>6</v>
      </c>
      <c r="F1392" s="91" t="s">
        <v>194</v>
      </c>
      <c r="G1392" s="4"/>
      <c r="H1392" s="4"/>
      <c r="I1392" s="4"/>
    </row>
    <row r="1393" spans="1:9" ht="15">
      <c r="A1393" s="21">
        <f t="shared" si="25"/>
        <v>54</v>
      </c>
      <c r="B1393" s="14" t="s">
        <v>1992</v>
      </c>
      <c r="C1393" s="85" t="str">
        <f ca="1">IFERROR(__xludf.DUMMYFUNCTION("GOOGLETRANSLATE(B1393:B1408,""RU"",""UK"")"),"Свердло 9,7 ц/хв Р18 / 9,7 ц/хв Р18 лев.")</f>
        <v>Свердло 9,7 ц/хв Р18 / 9,7 ц/хв Р18 лев.</v>
      </c>
      <c r="D1393" s="15" t="s">
        <v>6</v>
      </c>
      <c r="E1393" s="15" t="s">
        <v>1993</v>
      </c>
      <c r="F1393" s="91" t="s">
        <v>194</v>
      </c>
      <c r="G1393" s="4"/>
      <c r="H1393" s="4"/>
      <c r="I1393" s="4"/>
    </row>
    <row r="1394" spans="1:9" ht="15">
      <c r="A1394" s="21">
        <f t="shared" si="25"/>
        <v>55</v>
      </c>
      <c r="B1394" s="45" t="s">
        <v>1994</v>
      </c>
      <c r="C1394" s="85" t="str">
        <f ca="1">IFERROR(__xludf.DUMMYFUNCTION("GOOGLETRANSLATE(B1394:B1409,""RU"",""UK"")"),"Свердло 10,0ц/хв Р18")</f>
        <v>Свердло 10,0ц/хв Р18</v>
      </c>
      <c r="D1394" s="60" t="s">
        <v>6</v>
      </c>
      <c r="E1394" s="60">
        <v>3</v>
      </c>
      <c r="F1394" s="103" t="s">
        <v>348</v>
      </c>
      <c r="G1394" s="4"/>
      <c r="H1394" s="4"/>
      <c r="I1394" s="4"/>
    </row>
    <row r="1395" spans="1:9" ht="15">
      <c r="A1395" s="21">
        <f t="shared" si="25"/>
        <v>56</v>
      </c>
      <c r="B1395" s="16" t="s">
        <v>1995</v>
      </c>
      <c r="C1395" s="85" t="str">
        <f ca="1">IFERROR(__xludf.DUMMYFUNCTION("GOOGLETRANSLATE(B1395:B1410,""RU"",""UK"")"),"Свердло 10,0ц/хв ВК8")</f>
        <v>Свердло 10,0ц/хв ВК8</v>
      </c>
      <c r="D1395" s="17" t="s">
        <v>6</v>
      </c>
      <c r="E1395" s="17">
        <v>3</v>
      </c>
      <c r="F1395" s="92" t="s">
        <v>525</v>
      </c>
      <c r="G1395" s="4"/>
      <c r="H1395" s="4"/>
      <c r="I1395" s="4"/>
    </row>
    <row r="1396" spans="1:9" ht="15">
      <c r="A1396" s="21">
        <f t="shared" si="25"/>
        <v>57</v>
      </c>
      <c r="B1396" s="14" t="s">
        <v>1996</v>
      </c>
      <c r="C1396" s="85" t="str">
        <f ca="1">IFERROR(__xludf.DUMMYFUNCTION("GOOGLETRANSLATE(B1396:B1411,""RU"",""UK"")"),"Свердло 10,2 ц/хв Р18")</f>
        <v>Свердло 10,2 ц/хв Р18</v>
      </c>
      <c r="D1396" s="15" t="s">
        <v>6</v>
      </c>
      <c r="E1396" s="15" t="s">
        <v>1997</v>
      </c>
      <c r="F1396" s="91" t="s">
        <v>119</v>
      </c>
      <c r="G1396" s="4"/>
      <c r="H1396" s="4"/>
      <c r="I1396" s="4"/>
    </row>
    <row r="1397" spans="1:9" ht="15">
      <c r="A1397" s="21">
        <f t="shared" si="25"/>
        <v>58</v>
      </c>
      <c r="B1397" s="14" t="s">
        <v>1998</v>
      </c>
      <c r="C1397" s="85" t="str">
        <f ca="1">IFERROR(__xludf.DUMMYFUNCTION("GOOGLETRANSLATE(B1397:B1412,""RU"",""UK"")"),"Свердло 10,3х250к/хв Р18")</f>
        <v>Свердло 10,3х250к/хв Р18</v>
      </c>
      <c r="D1397" s="15" t="s">
        <v>6</v>
      </c>
      <c r="E1397" s="15">
        <v>5</v>
      </c>
      <c r="F1397" s="91" t="s">
        <v>220</v>
      </c>
      <c r="G1397" s="4"/>
      <c r="H1397" s="4"/>
      <c r="I1397" s="4"/>
    </row>
    <row r="1398" spans="1:9" ht="15">
      <c r="A1398" s="21">
        <f t="shared" si="25"/>
        <v>59</v>
      </c>
      <c r="B1398" s="14" t="s">
        <v>1999</v>
      </c>
      <c r="C1398" s="85" t="str">
        <f ca="1">IFERROR(__xludf.DUMMYFUNCTION("GOOGLETRANSLATE(B1398:B1413,""RU"",""UK"")"),"Свердло 10,5ц/хв Р18")</f>
        <v>Свердло 10,5ц/хв Р18</v>
      </c>
      <c r="D1398" s="15" t="s">
        <v>6</v>
      </c>
      <c r="E1398" s="15">
        <v>1</v>
      </c>
      <c r="F1398" s="91" t="s">
        <v>119</v>
      </c>
      <c r="G1398" s="4"/>
      <c r="H1398" s="4"/>
      <c r="I1398" s="4"/>
    </row>
    <row r="1399" spans="1:9" ht="15">
      <c r="A1399" s="21">
        <f t="shared" si="25"/>
        <v>60</v>
      </c>
      <c r="B1399" s="16" t="s">
        <v>2000</v>
      </c>
      <c r="C1399" s="85" t="str">
        <f ca="1">IFERROR(__xludf.DUMMYFUNCTION("GOOGLETRANSLATE(B1399:B1414,""RU"",""UK"")"),"Свердло 10,5 Р18 удл (185/120)")</f>
        <v>Свердло 10,5 Р18 удл (185/120)</v>
      </c>
      <c r="D1399" s="17" t="s">
        <v>6</v>
      </c>
      <c r="E1399" s="17">
        <v>1</v>
      </c>
      <c r="F1399" s="92" t="s">
        <v>119</v>
      </c>
      <c r="G1399" s="4"/>
      <c r="H1399" s="4"/>
      <c r="I1399" s="4"/>
    </row>
    <row r="1400" spans="1:9" ht="15">
      <c r="A1400" s="21">
        <f t="shared" si="25"/>
        <v>61</v>
      </c>
      <c r="B1400" s="16" t="s">
        <v>2001</v>
      </c>
      <c r="C1400" s="85" t="str">
        <f ca="1">IFERROR(__xludf.DUMMYFUNCTION("GOOGLETRANSLATE(B1400:B1415,""RU"",""UK"")"),"Свердло 10,8 к/хв Р18")</f>
        <v>Свердло 10,8 к/хв Р18</v>
      </c>
      <c r="D1400" s="15" t="s">
        <v>6</v>
      </c>
      <c r="E1400" s="15">
        <v>1</v>
      </c>
      <c r="F1400" s="91" t="s">
        <v>119</v>
      </c>
      <c r="G1400" s="4"/>
      <c r="H1400" s="4"/>
      <c r="I1400" s="4"/>
    </row>
    <row r="1401" spans="1:9" ht="15">
      <c r="A1401" s="21">
        <f t="shared" si="25"/>
        <v>62</v>
      </c>
      <c r="B1401" s="14" t="s">
        <v>2002</v>
      </c>
      <c r="C1401" s="85" t="str">
        <f ca="1">IFERROR(__xludf.DUMMYFUNCTION("GOOGLETRANSLATE(B1401:B1416,""RU"",""UK"")"),"Свердло 11,5 ц/хв Р18")</f>
        <v>Свердло 11,5 ц/хв Р18</v>
      </c>
      <c r="D1401" s="15" t="s">
        <v>6</v>
      </c>
      <c r="E1401" s="15">
        <v>1</v>
      </c>
      <c r="F1401" s="91" t="s">
        <v>327</v>
      </c>
      <c r="G1401" s="4"/>
      <c r="H1401" s="4"/>
      <c r="I1401" s="4"/>
    </row>
    <row r="1402" spans="1:9" ht="15">
      <c r="A1402" s="21">
        <f t="shared" si="25"/>
        <v>63</v>
      </c>
      <c r="B1402" s="16" t="s">
        <v>2003</v>
      </c>
      <c r="C1402" s="85" t="str">
        <f ca="1">IFERROR(__xludf.DUMMYFUNCTION("GOOGLETRANSLATE(B1402:B1417,""RU"",""UK"")"),"Свердло 12,0Р18 ц/хв /12,0 ц/хв ВК8")</f>
        <v>Свердло 12,0Р18 ц/хв /12,0 ц/хв ВК8</v>
      </c>
      <c r="D1402" s="15" t="s">
        <v>6</v>
      </c>
      <c r="E1402" s="15" t="s">
        <v>2004</v>
      </c>
      <c r="F1402" s="91" t="s">
        <v>506</v>
      </c>
      <c r="G1402" s="4"/>
      <c r="H1402" s="4"/>
      <c r="I1402" s="4"/>
    </row>
    <row r="1403" spans="1:9" ht="15">
      <c r="A1403" s="21">
        <f t="shared" si="25"/>
        <v>64</v>
      </c>
      <c r="B1403" s="19" t="s">
        <v>2005</v>
      </c>
      <c r="C1403" s="85" t="str">
        <f ca="1">IFERROR(__xludf.DUMMYFUNCTION("GOOGLETRANSLATE(B1403:B1418,""RU"",""UK"")"),"Свердло 12,0 к/хв Р18")</f>
        <v>Свердло 12,0 к/хв Р18</v>
      </c>
      <c r="D1403" s="15" t="s">
        <v>6</v>
      </c>
      <c r="E1403" s="15">
        <v>0</v>
      </c>
      <c r="F1403" s="91" t="s">
        <v>140</v>
      </c>
      <c r="G1403" s="4"/>
      <c r="H1403" s="4"/>
      <c r="I1403" s="4"/>
    </row>
    <row r="1404" spans="1:9" ht="15">
      <c r="A1404" s="21">
        <f t="shared" si="25"/>
        <v>65</v>
      </c>
      <c r="B1404" s="16" t="s">
        <v>2006</v>
      </c>
      <c r="C1404" s="85" t="str">
        <f ca="1">IFERROR(__xludf.DUMMYFUNCTION("GOOGLETRANSLATE(B1404:B1419,""RU"",""UK"")"),"Свердло 13,0х300 к/хв Р18")</f>
        <v>Свердло 13,0х300 к/хв Р18</v>
      </c>
      <c r="D1404" s="15" t="s">
        <v>6</v>
      </c>
      <c r="E1404" s="15">
        <v>6</v>
      </c>
      <c r="F1404" s="91" t="s">
        <v>20</v>
      </c>
      <c r="G1404" s="4"/>
      <c r="H1404" s="4"/>
      <c r="I1404" s="4"/>
    </row>
    <row r="1405" spans="1:9" ht="15">
      <c r="A1405" s="21">
        <f t="shared" si="25"/>
        <v>66</v>
      </c>
      <c r="B1405" s="14" t="s">
        <v>2007</v>
      </c>
      <c r="C1405" s="85" t="str">
        <f ca="1">IFERROR(__xludf.DUMMYFUNCTION("GOOGLETRANSLATE(B1405:B1420,""RU"",""UK"")"),"Свердло 13,9х220 ц/хв Р9")</f>
        <v>Свердло 13,9х220 ц/хв Р9</v>
      </c>
      <c r="D1405" s="15" t="s">
        <v>6</v>
      </c>
      <c r="E1405" s="15">
        <v>1</v>
      </c>
      <c r="F1405" s="91" t="s">
        <v>53</v>
      </c>
      <c r="G1405" s="4"/>
      <c r="H1405" s="4"/>
      <c r="I1405" s="4"/>
    </row>
    <row r="1406" spans="1:9" ht="15">
      <c r="A1406" s="21">
        <f t="shared" ref="A1406:A1469" si="26">A1405+1</f>
        <v>67</v>
      </c>
      <c r="B1406" s="16" t="s">
        <v>2008</v>
      </c>
      <c r="C1406" s="85" t="str">
        <f ca="1">IFERROR(__xludf.DUMMYFUNCTION("GOOGLETRANSLATE(B1406:B1421,""RU"",""UK"")"),"Свердло 14,0к/хв Р6М5К5")</f>
        <v>Свердло 14,0к/хв Р6М5К5</v>
      </c>
      <c r="D1406" s="15" t="s">
        <v>6</v>
      </c>
      <c r="E1406" s="15">
        <v>1</v>
      </c>
      <c r="F1406" s="91" t="s">
        <v>20</v>
      </c>
      <c r="G1406" s="4"/>
      <c r="H1406" s="4"/>
      <c r="I1406" s="4"/>
    </row>
    <row r="1407" spans="1:9" ht="15">
      <c r="A1407" s="21">
        <f t="shared" si="26"/>
        <v>68</v>
      </c>
      <c r="B1407" s="16" t="s">
        <v>2009</v>
      </c>
      <c r="C1407" s="85" t="str">
        <f ca="1">IFERROR(__xludf.DUMMYFUNCTION("GOOGLETRANSLATE(B1407:B1422,""RU"",""UK"")"),"Свердло 14,5к/хв ВК8")</f>
        <v>Свердло 14,5к/хв ВК8</v>
      </c>
      <c r="D1407" s="15" t="s">
        <v>6</v>
      </c>
      <c r="E1407" s="15">
        <v>1</v>
      </c>
      <c r="F1407" s="91" t="s">
        <v>20</v>
      </c>
      <c r="G1407" s="4"/>
      <c r="H1407" s="4"/>
      <c r="I1407" s="4"/>
    </row>
    <row r="1408" spans="1:9" ht="15">
      <c r="A1408" s="21">
        <f t="shared" si="26"/>
        <v>69</v>
      </c>
      <c r="B1408" s="16" t="s">
        <v>2010</v>
      </c>
      <c r="C1408" s="85" t="str">
        <f ca="1">IFERROR(__xludf.DUMMYFUNCTION("GOOGLETRANSLATE(B1408:B1423,""RU"",""UK"")"),"Свердло 15,0к/хв ВК8")</f>
        <v>Свердло 15,0к/хв ВК8</v>
      </c>
      <c r="D1408" s="15" t="s">
        <v>6</v>
      </c>
      <c r="E1408" s="15">
        <v>10</v>
      </c>
      <c r="F1408" s="91" t="s">
        <v>2011</v>
      </c>
      <c r="G1408" s="4"/>
      <c r="H1408" s="4"/>
      <c r="I1408" s="4"/>
    </row>
    <row r="1409" spans="1:9" ht="15">
      <c r="A1409" s="21">
        <f t="shared" si="26"/>
        <v>70</v>
      </c>
      <c r="B1409" s="16" t="s">
        <v>2012</v>
      </c>
      <c r="C1409" s="85" t="str">
        <f ca="1">IFERROR(__xludf.DUMMYFUNCTION("GOOGLETRANSLATE(B1409:B1424,""RU"",""UK"")"),"Свердло 15,0х400к/хв Р18 / 15,0х300(200)к/хв Р18")</f>
        <v>Свердло 15,0х400к/хв Р18 / 15,0х300(200)к/хв Р18</v>
      </c>
      <c r="D1409" s="15" t="s">
        <v>6</v>
      </c>
      <c r="E1409" s="15" t="s">
        <v>438</v>
      </c>
      <c r="F1409" s="91" t="s">
        <v>106</v>
      </c>
      <c r="G1409" s="4"/>
      <c r="H1409" s="4"/>
      <c r="I1409" s="4"/>
    </row>
    <row r="1410" spans="1:9" ht="15">
      <c r="A1410" s="21">
        <f t="shared" si="26"/>
        <v>71</v>
      </c>
      <c r="B1410" s="16" t="s">
        <v>2013</v>
      </c>
      <c r="C1410" s="85" t="str">
        <f ca="1">IFERROR(__xludf.DUMMYFUNCTION("GOOGLETRANSLATE(B1410:B1425,""RU"",""UK"")"),"Свердло 15,25к/хв Р18")</f>
        <v>Свердло 15,25к/хв Р18</v>
      </c>
      <c r="D1410" s="15" t="s">
        <v>6</v>
      </c>
      <c r="E1410" s="15">
        <v>5</v>
      </c>
      <c r="F1410" s="91" t="s">
        <v>2011</v>
      </c>
      <c r="G1410" s="4"/>
      <c r="H1410" s="4"/>
      <c r="I1410" s="4"/>
    </row>
    <row r="1411" spans="1:9" ht="15">
      <c r="A1411" s="21">
        <f t="shared" si="26"/>
        <v>72</v>
      </c>
      <c r="B1411" s="16" t="s">
        <v>2014</v>
      </c>
      <c r="C1411" s="85" t="str">
        <f ca="1">IFERROR(__xludf.DUMMYFUNCTION("GOOGLETRANSLATE(B1411:B1426,""RU"",""UK"")"),"Свердло 15,3х400к/хв Р18 / 15.4х340к/хв Р18")</f>
        <v>Свердло 15,3х400к/хв Р18 / 15.4х340к/хв Р18</v>
      </c>
      <c r="D1411" s="15" t="s">
        <v>6</v>
      </c>
      <c r="E1411" s="15" t="s">
        <v>700</v>
      </c>
      <c r="F1411" s="91" t="s">
        <v>106</v>
      </c>
      <c r="G1411" s="4"/>
      <c r="H1411" s="4"/>
      <c r="I1411" s="4"/>
    </row>
    <row r="1412" spans="1:9" ht="15">
      <c r="A1412" s="21">
        <f t="shared" si="26"/>
        <v>73</v>
      </c>
      <c r="B1412" s="16" t="s">
        <v>2015</v>
      </c>
      <c r="C1412" s="85" t="str">
        <f ca="1">IFERROR(__xludf.DUMMYFUNCTION("GOOGLETRANSLATE(B1412:B1427,""RU"",""UK"")"),"Свердло 15,5х370к/хв Р18")</f>
        <v>Свердло 15,5х370к/хв Р18</v>
      </c>
      <c r="D1412" s="15" t="s">
        <v>6</v>
      </c>
      <c r="E1412" s="15">
        <v>1</v>
      </c>
      <c r="F1412" s="91" t="s">
        <v>106</v>
      </c>
      <c r="G1412" s="4"/>
      <c r="H1412" s="4"/>
      <c r="I1412" s="4"/>
    </row>
    <row r="1413" spans="1:9" ht="15">
      <c r="A1413" s="21">
        <f t="shared" si="26"/>
        <v>74</v>
      </c>
      <c r="B1413" s="16" t="s">
        <v>2016</v>
      </c>
      <c r="C1413" s="85" t="str">
        <f ca="1">IFERROR(__xludf.DUMMYFUNCTION("GOOGLETRANSLATE(B1413:B1428,""RU"",""UK"")"),"Свердло 16,0 к/хв Р18")</f>
        <v>Свердло 16,0 к/хв Р18</v>
      </c>
      <c r="D1413" s="15" t="s">
        <v>6</v>
      </c>
      <c r="E1413" s="15">
        <v>13</v>
      </c>
      <c r="F1413" s="91" t="s">
        <v>106</v>
      </c>
      <c r="G1413" s="4"/>
      <c r="H1413" s="4"/>
      <c r="I1413" s="4"/>
    </row>
    <row r="1414" spans="1:9" ht="15">
      <c r="A1414" s="21">
        <f t="shared" si="26"/>
        <v>75</v>
      </c>
      <c r="B1414" s="16" t="s">
        <v>2017</v>
      </c>
      <c r="C1414" s="85" t="str">
        <f ca="1">IFERROR(__xludf.DUMMYFUNCTION("GOOGLETRANSLATE(B1414:B1429,""RU"",""UK"")"),"Свердло 16,5х300(200) Р18 к/хв")</f>
        <v>Свердло 16,5х300(200) Р18 к/хв</v>
      </c>
      <c r="D1414" s="15" t="s">
        <v>6</v>
      </c>
      <c r="E1414" s="15">
        <v>13</v>
      </c>
      <c r="F1414" s="91" t="s">
        <v>22</v>
      </c>
      <c r="G1414" s="4"/>
      <c r="H1414" s="4"/>
      <c r="I1414" s="4"/>
    </row>
    <row r="1415" spans="1:9" ht="15">
      <c r="A1415" s="21">
        <f t="shared" si="26"/>
        <v>76</v>
      </c>
      <c r="B1415" s="14" t="s">
        <v>2018</v>
      </c>
      <c r="C1415" s="85" t="str">
        <f ca="1">IFERROR(__xludf.DUMMYFUNCTION("GOOGLETRANSLATE(B1415:B1430,""RU"",""UK"")"),"Свердло 17,0Р9 ц/хв")</f>
        <v>Свердло 17,0Р9 ц/хв</v>
      </c>
      <c r="D1415" s="15" t="s">
        <v>6</v>
      </c>
      <c r="E1415" s="15">
        <v>1</v>
      </c>
      <c r="F1415" s="91" t="s">
        <v>106</v>
      </c>
      <c r="G1415" s="4"/>
      <c r="H1415" s="4"/>
      <c r="I1415" s="4"/>
    </row>
    <row r="1416" spans="1:9" ht="15">
      <c r="A1416" s="21">
        <f t="shared" si="26"/>
        <v>77</v>
      </c>
      <c r="B1416" s="16" t="s">
        <v>2019</v>
      </c>
      <c r="C1416" s="85" t="str">
        <f ca="1">IFERROR(__xludf.DUMMYFUNCTION("GOOGLETRANSLATE(B1416:B1431,""RU"",""UK"")"),"Свердло 17,3Р18 к/хв")</f>
        <v>Свердло 17,3Р18 к/хв</v>
      </c>
      <c r="D1416" s="15" t="s">
        <v>6</v>
      </c>
      <c r="E1416" s="15">
        <v>6</v>
      </c>
      <c r="F1416" s="91" t="s">
        <v>22</v>
      </c>
      <c r="G1416" s="4"/>
      <c r="H1416" s="4"/>
      <c r="I1416" s="4"/>
    </row>
    <row r="1417" spans="1:9" ht="15">
      <c r="A1417" s="21">
        <f t="shared" si="26"/>
        <v>78</v>
      </c>
      <c r="B1417" s="16" t="s">
        <v>2020</v>
      </c>
      <c r="C1417" s="85" t="str">
        <f ca="1">IFERROR(__xludf.DUMMYFUNCTION("GOOGLETRANSLATE(B1417:B1432,""RU"",""UK"")"),"Свердло 17,4Р9К5к/хв")</f>
        <v>Свердло 17,4Р9К5к/хв</v>
      </c>
      <c r="D1417" s="15" t="s">
        <v>6</v>
      </c>
      <c r="E1417" s="15">
        <v>18</v>
      </c>
      <c r="F1417" s="91" t="s">
        <v>272</v>
      </c>
      <c r="G1417" s="4"/>
      <c r="H1417" s="4"/>
      <c r="I1417" s="4"/>
    </row>
    <row r="1418" spans="1:9" ht="15">
      <c r="A1418" s="21">
        <f t="shared" si="26"/>
        <v>79</v>
      </c>
      <c r="B1418" s="16" t="s">
        <v>2021</v>
      </c>
      <c r="C1418" s="85" t="str">
        <f ca="1">IFERROR(__xludf.DUMMYFUNCTION("GOOGLETRANSLATE(B1418:B1433,""RU"",""UK"")"),"Свердло 17,5 Р9к/хв / 17,5 ВК8к/хв")</f>
        <v>Свердло 17,5 Р9к/хв / 17,5 ВК8к/хв</v>
      </c>
      <c r="D1418" s="15" t="s">
        <v>6</v>
      </c>
      <c r="E1418" s="15" t="s">
        <v>1005</v>
      </c>
      <c r="F1418" s="91" t="s">
        <v>18</v>
      </c>
      <c r="G1418" s="4"/>
      <c r="H1418" s="4"/>
      <c r="I1418" s="4"/>
    </row>
    <row r="1419" spans="1:9" ht="15">
      <c r="A1419" s="21">
        <f t="shared" si="26"/>
        <v>80</v>
      </c>
      <c r="B1419" s="16" t="s">
        <v>2022</v>
      </c>
      <c r="C1419" s="85" t="str">
        <f ca="1">IFERROR(__xludf.DUMMYFUNCTION("GOOGLETRANSLATE(B1419:B1434,""RU"",""UK"")"),"Свердло 18,0 ВК8к/хв / 18,0 Р18к/хв лев")</f>
        <v>Свердло 18,0 ВК8к/хв / 18,0 Р18к/хв лев</v>
      </c>
      <c r="D1419" s="15" t="s">
        <v>6</v>
      </c>
      <c r="E1419" s="15" t="s">
        <v>2023</v>
      </c>
      <c r="F1419" s="91" t="s">
        <v>413</v>
      </c>
      <c r="G1419" s="4"/>
      <c r="H1419" s="4"/>
      <c r="I1419" s="4"/>
    </row>
    <row r="1420" spans="1:9" ht="15">
      <c r="A1420" s="21">
        <f t="shared" si="26"/>
        <v>81</v>
      </c>
      <c r="B1420" s="16" t="s">
        <v>2024</v>
      </c>
      <c r="C1420" s="85" t="str">
        <f ca="1">IFERROR(__xludf.DUMMYFUNCTION("GOOGLETRANSLATE(B1420:B1435,""RU"",""UK"")"),"Свердло 18,0к/хв Р6М5К5/18,0Р9к/хв")</f>
        <v>Свердло 18,0к/хв Р6М5К5/18,0Р9к/хв</v>
      </c>
      <c r="D1420" s="15" t="s">
        <v>6</v>
      </c>
      <c r="E1420" s="15" t="s">
        <v>1631</v>
      </c>
      <c r="F1420" s="91" t="s">
        <v>413</v>
      </c>
      <c r="G1420" s="4"/>
      <c r="H1420" s="4"/>
      <c r="I1420" s="4"/>
    </row>
    <row r="1421" spans="1:9" ht="15">
      <c r="A1421" s="21">
        <f t="shared" si="26"/>
        <v>82</v>
      </c>
      <c r="B1421" s="16" t="s">
        <v>2025</v>
      </c>
      <c r="C1421" s="85" t="str">
        <f ca="1">IFERROR(__xludf.DUMMYFUNCTION("GOOGLETRANSLATE(B1421:B1436,""RU"",""UK"")"),"Свердло 18,0х280 ВК8 КМ3")</f>
        <v>Свердло 18,0х280 ВК8 КМ3</v>
      </c>
      <c r="D1421" s="15" t="s">
        <v>6</v>
      </c>
      <c r="E1421" s="15">
        <v>1</v>
      </c>
      <c r="F1421" s="91" t="s">
        <v>36</v>
      </c>
      <c r="G1421" s="4"/>
      <c r="H1421" s="4"/>
      <c r="I1421" s="4"/>
    </row>
    <row r="1422" spans="1:9" ht="15">
      <c r="A1422" s="21">
        <f t="shared" si="26"/>
        <v>83</v>
      </c>
      <c r="B1422" s="16" t="s">
        <v>2026</v>
      </c>
      <c r="C1422" s="85" t="str">
        <f ca="1">IFERROR(__xludf.DUMMYFUNCTION("GOOGLETRANSLATE(B1422:B1437,""RU"",""UK"")"),"Свердло 18,0х300(150) Р18 КМ2/18,0х350(200) Р18 КМ2")</f>
        <v>Свердло 18,0х300(150) Р18 КМ2/18,0х350(200) Р18 КМ2</v>
      </c>
      <c r="D1422" s="15" t="s">
        <v>6</v>
      </c>
      <c r="E1422" s="15" t="s">
        <v>2027</v>
      </c>
      <c r="F1422" s="91" t="s">
        <v>36</v>
      </c>
      <c r="G1422" s="4"/>
      <c r="H1422" s="4"/>
      <c r="I1422" s="4"/>
    </row>
    <row r="1423" spans="1:9" ht="15">
      <c r="A1423" s="21">
        <f t="shared" si="26"/>
        <v>84</v>
      </c>
      <c r="B1423" s="16" t="s">
        <v>2028</v>
      </c>
      <c r="C1423" s="85" t="str">
        <f ca="1">IFERROR(__xludf.DUMMYFUNCTION("GOOGLETRANSLATE(B1423:B1438,""RU"",""UK"")"),"Свердло 18,0х400(150) Р18 КМ2/18,0х450(200) Р18 КМ2")</f>
        <v>Свердло 18,0х400(150) Р18 КМ2/18,0х450(200) Р18 КМ2</v>
      </c>
      <c r="D1423" s="15" t="s">
        <v>6</v>
      </c>
      <c r="E1423" s="15" t="s">
        <v>1005</v>
      </c>
      <c r="F1423" s="91" t="s">
        <v>27</v>
      </c>
      <c r="G1423" s="4"/>
      <c r="H1423" s="4"/>
      <c r="I1423" s="4"/>
    </row>
    <row r="1424" spans="1:9" ht="15">
      <c r="A1424" s="21">
        <f t="shared" si="26"/>
        <v>85</v>
      </c>
      <c r="B1424" s="16" t="s">
        <v>2029</v>
      </c>
      <c r="C1424" s="85" t="str">
        <f ca="1">IFERROR(__xludf.DUMMYFUNCTION("GOOGLETRANSLATE(B1424:B1439,""RU"",""UK"")"),"Свердло 18,0х560/220 ВК8 КМ3")</f>
        <v>Свердло 18,0х560/220 ВК8 КМ3</v>
      </c>
      <c r="D1424" s="15" t="s">
        <v>6</v>
      </c>
      <c r="E1424" s="15">
        <v>1</v>
      </c>
      <c r="F1424" s="91" t="s">
        <v>27</v>
      </c>
      <c r="G1424" s="4"/>
      <c r="H1424" s="4"/>
      <c r="I1424" s="4"/>
    </row>
    <row r="1425" spans="1:9" ht="15">
      <c r="A1425" s="21">
        <f t="shared" si="26"/>
        <v>86</v>
      </c>
      <c r="B1425" s="16" t="s">
        <v>2030</v>
      </c>
      <c r="C1425" s="85" t="str">
        <f ca="1">IFERROR(__xludf.DUMMYFUNCTION("GOOGLETRANSLATE(B1425:B1440,""RU"",""UK"")"),"Свердло 18,25 Р18к/хв / 18,5 Р18к/хв")</f>
        <v>Свердло 18,25 Р18к/хв / 18,5 Р18к/хв</v>
      </c>
      <c r="D1425" s="15" t="s">
        <v>6</v>
      </c>
      <c r="E1425" s="15" t="s">
        <v>2031</v>
      </c>
      <c r="F1425" s="91" t="s">
        <v>413</v>
      </c>
      <c r="G1425" s="4"/>
      <c r="H1425" s="4"/>
      <c r="I1425" s="4"/>
    </row>
    <row r="1426" spans="1:9" ht="15">
      <c r="A1426" s="21">
        <f t="shared" si="26"/>
        <v>87</v>
      </c>
      <c r="B1426" s="16" t="s">
        <v>2032</v>
      </c>
      <c r="C1426" s="85" t="str">
        <f ca="1">IFERROR(__xludf.DUMMYFUNCTION("GOOGLETRANSLATE(B1426:B1441,""RU"",""UK"")"),"Свердло 18,5х390(160) Р18 к/хв")</f>
        <v>Свердло 18,5х390(160) Р18 к/хв</v>
      </c>
      <c r="D1426" s="15" t="s">
        <v>6</v>
      </c>
      <c r="E1426" s="15">
        <v>10</v>
      </c>
      <c r="F1426" s="91" t="s">
        <v>27</v>
      </c>
      <c r="G1426" s="4"/>
      <c r="H1426" s="4"/>
      <c r="I1426" s="4"/>
    </row>
    <row r="1427" spans="1:9" ht="15">
      <c r="A1427" s="21">
        <f t="shared" si="26"/>
        <v>88</v>
      </c>
      <c r="B1427" s="16" t="s">
        <v>2033</v>
      </c>
      <c r="C1427" s="85" t="str">
        <f ca="1">IFERROR(__xludf.DUMMYFUNCTION("GOOGLETRANSLATE(B1427:B1442,""RU"",""UK"")"),"Свердло 18,75 Р18к/хв")</f>
        <v>Свердло 18,75 Р18к/хв</v>
      </c>
      <c r="D1427" s="15" t="s">
        <v>6</v>
      </c>
      <c r="E1427" s="15">
        <v>2</v>
      </c>
      <c r="F1427" s="91" t="s">
        <v>413</v>
      </c>
      <c r="G1427" s="4"/>
      <c r="H1427" s="4"/>
      <c r="I1427" s="4"/>
    </row>
    <row r="1428" spans="1:9" ht="15">
      <c r="A1428" s="21">
        <f t="shared" si="26"/>
        <v>89</v>
      </c>
      <c r="B1428" s="16" t="s">
        <v>2034</v>
      </c>
      <c r="C1428" s="85" t="str">
        <f ca="1">IFERROR(__xludf.DUMMYFUNCTION("GOOGLETRANSLATE(B1428:B1443,""RU"",""UK"")"),"Свердло 19,0 Р18 ц/хв / 19,0 Р18 к/хв / 19,0 Р9 к/хв /19,0 ВК8 к/хв")</f>
        <v>Свердло 19,0 Р18 ц/хв / 19,0 Р18 к/хв / 19,0 Р9 к/хв /19,0 ВК8 к/хв</v>
      </c>
      <c r="D1428" s="15" t="s">
        <v>6</v>
      </c>
      <c r="E1428" s="15" t="s">
        <v>2035</v>
      </c>
      <c r="F1428" s="91" t="s">
        <v>413</v>
      </c>
      <c r="G1428" s="4"/>
      <c r="H1428" s="4"/>
      <c r="I1428" s="4"/>
    </row>
    <row r="1429" spans="1:9" ht="15">
      <c r="A1429" s="21">
        <f t="shared" si="26"/>
        <v>90</v>
      </c>
      <c r="B1429" s="16" t="s">
        <v>2036</v>
      </c>
      <c r="C1429" s="85" t="str">
        <f ca="1">IFERROR(__xludf.DUMMYFUNCTION("GOOGLETRANSLATE(B1429:B1444,""RU"",""UK"")"),"Свердло 19,4 к/хв Р18/19,5к/хв Р18/19,5х390Р12КМ3")</f>
        <v>Свердло 19,4 к/хв Р18/19,5к/хв Р18/19,5х390Р12КМ3</v>
      </c>
      <c r="D1429" s="15" t="s">
        <v>6</v>
      </c>
      <c r="E1429" s="15" t="s">
        <v>2037</v>
      </c>
      <c r="F1429" s="91" t="s">
        <v>413</v>
      </c>
      <c r="G1429" s="4"/>
      <c r="H1429" s="4"/>
      <c r="I1429" s="4"/>
    </row>
    <row r="1430" spans="1:9" ht="15">
      <c r="A1430" s="21">
        <f t="shared" si="26"/>
        <v>91</v>
      </c>
      <c r="B1430" s="16" t="s">
        <v>2038</v>
      </c>
      <c r="C1430" s="85" t="str">
        <f ca="1">IFERROR(__xludf.DUMMYFUNCTION("GOOGLETRANSLATE(B1430:B1445,""RU"",""UK"")"),"Свердло 20,0КМ3 ВК8/20,0к/хв Р6М5К5")</f>
        <v>Свердло 20,0КМ3 ВК8/20,0к/хв Р6М5К5</v>
      </c>
      <c r="D1430" s="15" t="s">
        <v>6</v>
      </c>
      <c r="E1430" s="15" t="s">
        <v>2039</v>
      </c>
      <c r="F1430" s="91" t="s">
        <v>27</v>
      </c>
      <c r="G1430" s="4"/>
      <c r="H1430" s="4"/>
      <c r="I1430" s="4"/>
    </row>
    <row r="1431" spans="1:9" ht="15">
      <c r="A1431" s="21">
        <f t="shared" si="26"/>
        <v>92</v>
      </c>
      <c r="B1431" s="16" t="s">
        <v>2040</v>
      </c>
      <c r="C1431" s="85" t="str">
        <f ca="1">IFERROR(__xludf.DUMMYFUNCTION("GOOGLETRANSLATE(B1431:B1446,""RU"",""UK"")"),"Свердло 20,0х310(200) Р18 к/хв")</f>
        <v>Свердло 20,0х310(200) Р18 к/хв</v>
      </c>
      <c r="D1431" s="15" t="s">
        <v>6</v>
      </c>
      <c r="E1431" s="15">
        <v>1</v>
      </c>
      <c r="F1431" s="91" t="s">
        <v>33</v>
      </c>
      <c r="G1431" s="4"/>
      <c r="H1431" s="4"/>
      <c r="I1431" s="4"/>
    </row>
    <row r="1432" spans="1:9" ht="15">
      <c r="A1432" s="21">
        <f t="shared" si="26"/>
        <v>93</v>
      </c>
      <c r="B1432" s="16" t="s">
        <v>2041</v>
      </c>
      <c r="C1432" s="85" t="str">
        <f ca="1">IFERROR(__xludf.DUMMYFUNCTION("GOOGLETRANSLATE(B1432:B1447,""RU"",""UK"")"),"Свердло конічне 20,2-22,5х650 (330) Р18 КМ3")</f>
        <v>Свердло конічне 20,2-22,5х650 (330) Р18 КМ3</v>
      </c>
      <c r="D1432" s="15" t="s">
        <v>6</v>
      </c>
      <c r="E1432" s="15">
        <v>2</v>
      </c>
      <c r="F1432" s="91" t="s">
        <v>138</v>
      </c>
      <c r="G1432" s="4"/>
      <c r="H1432" s="4"/>
      <c r="I1432" s="4"/>
    </row>
    <row r="1433" spans="1:9" ht="15">
      <c r="A1433" s="21">
        <f t="shared" si="26"/>
        <v>94</v>
      </c>
      <c r="B1433" s="16" t="s">
        <v>2042</v>
      </c>
      <c r="C1433" s="85" t="str">
        <f ca="1">IFERROR(__xludf.DUMMYFUNCTION("GOOGLETRANSLATE(B1433:B1448,""RU"",""UK"")"),"Свердло 20,3 Р18к/хв")</f>
        <v>Свердло 20,3 Р18к/хв</v>
      </c>
      <c r="D1433" s="15" t="s">
        <v>6</v>
      </c>
      <c r="E1433" s="15">
        <v>5</v>
      </c>
      <c r="F1433" s="91" t="s">
        <v>413</v>
      </c>
      <c r="G1433" s="4"/>
      <c r="H1433" s="4"/>
      <c r="I1433" s="4"/>
    </row>
    <row r="1434" spans="1:9" ht="15">
      <c r="A1434" s="21">
        <f t="shared" si="26"/>
        <v>95</v>
      </c>
      <c r="B1434" s="16" t="s">
        <v>2043</v>
      </c>
      <c r="C1434" s="85" t="str">
        <f ca="1">IFERROR(__xludf.DUMMYFUNCTION("GOOGLETRANSLATE(B1434:B1449,""RU"",""UK"")"),"Свердло 20,75Р18 к/хв")</f>
        <v>Свердло 20,75Р18 к/хв</v>
      </c>
      <c r="D1434" s="15" t="s">
        <v>6</v>
      </c>
      <c r="E1434" s="15">
        <v>1</v>
      </c>
      <c r="F1434" s="91" t="s">
        <v>27</v>
      </c>
      <c r="G1434" s="4"/>
      <c r="H1434" s="4"/>
      <c r="I1434" s="4"/>
    </row>
    <row r="1435" spans="1:9" ht="15">
      <c r="A1435" s="21">
        <f t="shared" si="26"/>
        <v>96</v>
      </c>
      <c r="B1435" s="16" t="s">
        <v>2044</v>
      </c>
      <c r="C1435" s="85" t="str">
        <f ca="1">IFERROR(__xludf.DUMMYFUNCTION("GOOGLETRANSLATE(B1435:B1450,""RU"",""UK"")"),"Свердло 21,0 ВК8к/хв/21,0Р12к/хв/21,0Р18к/хв")</f>
        <v>Свердло 21,0 ВК8к/хв/21,0Р12к/хв/21,0Р18к/хв</v>
      </c>
      <c r="D1435" s="15" t="s">
        <v>6</v>
      </c>
      <c r="E1435" s="15" t="s">
        <v>2045</v>
      </c>
      <c r="F1435" s="91" t="s">
        <v>27</v>
      </c>
      <c r="G1435" s="4"/>
      <c r="H1435" s="4"/>
      <c r="I1435" s="4"/>
    </row>
    <row r="1436" spans="1:9" ht="15">
      <c r="A1436" s="21">
        <f t="shared" si="26"/>
        <v>97</v>
      </c>
      <c r="B1436" s="16" t="s">
        <v>2046</v>
      </c>
      <c r="C1436" s="85" t="str">
        <f ca="1">IFERROR(__xludf.DUMMYFUNCTION("GOOGLETRANSLATE(B1436:B1451,""RU"",""UK"")"),"Свердло 21,0х240 Р18к/хв / 21,0х280Р18к/хв")</f>
        <v>Свердло 21,0х240 Р18к/хв / 21,0х280Р18к/хв</v>
      </c>
      <c r="D1436" s="15" t="s">
        <v>6</v>
      </c>
      <c r="E1436" s="15" t="s">
        <v>749</v>
      </c>
      <c r="F1436" s="91" t="s">
        <v>78</v>
      </c>
      <c r="G1436" s="4"/>
      <c r="H1436" s="4"/>
      <c r="I1436" s="4"/>
    </row>
    <row r="1437" spans="1:9" ht="15">
      <c r="A1437" s="21">
        <f t="shared" si="26"/>
        <v>98</v>
      </c>
      <c r="B1437" s="16" t="s">
        <v>2047</v>
      </c>
      <c r="C1437" s="85" t="str">
        <f ca="1">IFERROR(__xludf.DUMMYFUNCTION("GOOGLETRANSLATE(B1437:B1452,""RU"",""UK"")"),"Свердло 21,0х370 (250) КМ3 Р18")</f>
        <v>Свердло 21,0х370 (250) КМ3 Р18</v>
      </c>
      <c r="D1437" s="15" t="s">
        <v>6</v>
      </c>
      <c r="E1437" s="15">
        <v>7</v>
      </c>
      <c r="F1437" s="91" t="s">
        <v>33</v>
      </c>
      <c r="G1437" s="4"/>
      <c r="H1437" s="4"/>
      <c r="I1437" s="4"/>
    </row>
    <row r="1438" spans="1:9" ht="15">
      <c r="A1438" s="21">
        <f t="shared" si="26"/>
        <v>99</v>
      </c>
      <c r="B1438" s="16" t="s">
        <v>2048</v>
      </c>
      <c r="C1438" s="85" t="str">
        <f ca="1">IFERROR(__xludf.DUMMYFUNCTION("GOOGLETRANSLATE(B1438:B1453,""RU"",""UK"")"),"Свердло 21,2Р18к/хв / 21,25Р18к/хв")</f>
        <v>Свердло 21,2Р18к/хв / 21,25Р18к/хв</v>
      </c>
      <c r="D1438" s="15" t="s">
        <v>6</v>
      </c>
      <c r="E1438" s="15" t="s">
        <v>749</v>
      </c>
      <c r="F1438" s="91" t="s">
        <v>842</v>
      </c>
      <c r="G1438" s="4"/>
      <c r="H1438" s="4"/>
      <c r="I1438" s="4"/>
    </row>
    <row r="1439" spans="1:9" ht="15">
      <c r="A1439" s="21">
        <f t="shared" si="26"/>
        <v>100</v>
      </c>
      <c r="B1439" s="16" t="s">
        <v>2049</v>
      </c>
      <c r="C1439" s="85" t="str">
        <f ca="1">IFERROR(__xludf.DUMMYFUNCTION("GOOGLETRANSLATE(B1439:B1454,""RU"",""UK"")"),"Свердло 21,5 Р9К5/21,5 Р18к/хв")</f>
        <v>Свердло 21,5 Р9К5/21,5 Р18к/хв</v>
      </c>
      <c r="D1439" s="15" t="s">
        <v>6</v>
      </c>
      <c r="E1439" s="15" t="s">
        <v>749</v>
      </c>
      <c r="F1439" s="91" t="s">
        <v>842</v>
      </c>
      <c r="G1439" s="4"/>
      <c r="H1439" s="4"/>
      <c r="I1439" s="4"/>
    </row>
    <row r="1440" spans="1:9" ht="15">
      <c r="A1440" s="21">
        <f t="shared" si="26"/>
        <v>101</v>
      </c>
      <c r="B1440" s="16" t="s">
        <v>2050</v>
      </c>
      <c r="C1440" s="85" t="str">
        <f ca="1">IFERROR(__xludf.DUMMYFUNCTION("GOOGLETRANSLATE(B1440:B1455,""RU"",""UK"")"),"Свердло 21,5 ВК8к/хв /21,5 Т5К10 КМ3")</f>
        <v>Свердло 21,5 ВК8к/хв /21,5 Т5К10 КМ3</v>
      </c>
      <c r="D1440" s="15" t="s">
        <v>6</v>
      </c>
      <c r="E1440" s="15" t="s">
        <v>2051</v>
      </c>
      <c r="F1440" s="91" t="s">
        <v>842</v>
      </c>
      <c r="G1440" s="4"/>
      <c r="H1440" s="4"/>
      <c r="I1440" s="4"/>
    </row>
    <row r="1441" spans="1:9" ht="15">
      <c r="A1441" s="21">
        <f t="shared" si="26"/>
        <v>102</v>
      </c>
      <c r="B1441" s="16" t="s">
        <v>2052</v>
      </c>
      <c r="C1441" s="85" t="str">
        <f ca="1">IFERROR(__xludf.DUMMYFUNCTION("GOOGLETRANSLATE(B1441:B1456,""RU"",""UK"")"),"Свердло 22,0 ВК8к/хв")</f>
        <v>Свердло 22,0 ВК8к/хв</v>
      </c>
      <c r="D1441" s="15" t="s">
        <v>6</v>
      </c>
      <c r="E1441" s="15">
        <v>8</v>
      </c>
      <c r="F1441" s="91" t="s">
        <v>663</v>
      </c>
      <c r="G1441" s="4"/>
      <c r="H1441" s="4"/>
      <c r="I1441" s="4"/>
    </row>
    <row r="1442" spans="1:9" ht="15">
      <c r="A1442" s="21">
        <f t="shared" si="26"/>
        <v>103</v>
      </c>
      <c r="B1442" s="16" t="s">
        <v>2053</v>
      </c>
      <c r="C1442" s="85" t="str">
        <f ca="1">IFERROR(__xludf.DUMMYFUNCTION("GOOGLETRANSLATE(B1442:B1457,""RU"",""UK"")"),"Свердло 22,0х350(210) Р18к/хв")</f>
        <v>Свердло 22,0х350(210) Р18к/хв</v>
      </c>
      <c r="D1442" s="15" t="s">
        <v>6</v>
      </c>
      <c r="E1442" s="15">
        <v>2</v>
      </c>
      <c r="F1442" s="91" t="s">
        <v>1874</v>
      </c>
      <c r="G1442" s="4"/>
      <c r="H1442" s="4"/>
      <c r="I1442" s="4"/>
    </row>
    <row r="1443" spans="1:9" ht="15">
      <c r="A1443" s="21">
        <f t="shared" si="26"/>
        <v>104</v>
      </c>
      <c r="B1443" s="16" t="s">
        <v>2054</v>
      </c>
      <c r="C1443" s="85" t="str">
        <f ca="1">IFERROR(__xludf.DUMMYFUNCTION("GOOGLETRANSLATE(B1443:B1458,""RU"",""UK"")"),"Свердло 22,0х600(300) Р18 КМ3")</f>
        <v>Свердло 22,0х600(300) Р18 КМ3</v>
      </c>
      <c r="D1443" s="15" t="s">
        <v>6</v>
      </c>
      <c r="E1443" s="15">
        <v>3</v>
      </c>
      <c r="F1443" s="91" t="s">
        <v>102</v>
      </c>
      <c r="G1443" s="4"/>
      <c r="H1443" s="4"/>
      <c r="I1443" s="4"/>
    </row>
    <row r="1444" spans="1:9" ht="15">
      <c r="A1444" s="21">
        <f t="shared" si="26"/>
        <v>105</v>
      </c>
      <c r="B1444" s="16" t="s">
        <v>2055</v>
      </c>
      <c r="C1444" s="85" t="str">
        <f ca="1">IFERROR(__xludf.DUMMYFUNCTION("GOOGLETRANSLATE(B1444:B1459,""RU"",""UK"")"),"Свердло 22,25Р18 к/хв")</f>
        <v>Свердло 22,25Р18 к/хв</v>
      </c>
      <c r="D1444" s="15" t="s">
        <v>6</v>
      </c>
      <c r="E1444" s="15">
        <v>1</v>
      </c>
      <c r="F1444" s="91" t="s">
        <v>33</v>
      </c>
      <c r="G1444" s="4"/>
      <c r="H1444" s="4"/>
      <c r="I1444" s="4"/>
    </row>
    <row r="1445" spans="1:9" ht="15">
      <c r="A1445" s="21">
        <f t="shared" si="26"/>
        <v>106</v>
      </c>
      <c r="B1445" s="16" t="s">
        <v>2056</v>
      </c>
      <c r="C1445" s="85" t="str">
        <f ca="1">IFERROR(__xludf.DUMMYFUNCTION("GOOGLETRANSLATE(B1445:B1460,""RU"",""UK"")"),"Свердло 22,5х350Р18к/хв")</f>
        <v>Свердло 22,5х350Р18к/хв</v>
      </c>
      <c r="D1445" s="15" t="s">
        <v>6</v>
      </c>
      <c r="E1445" s="15">
        <v>5</v>
      </c>
      <c r="F1445" s="91" t="s">
        <v>33</v>
      </c>
      <c r="G1445" s="4"/>
      <c r="H1445" s="4"/>
      <c r="I1445" s="4"/>
    </row>
    <row r="1446" spans="1:9" ht="15">
      <c r="A1446" s="21">
        <f t="shared" si="26"/>
        <v>107</v>
      </c>
      <c r="B1446" s="16" t="s">
        <v>2057</v>
      </c>
      <c r="C1446" s="85" t="str">
        <f ca="1">IFERROR(__xludf.DUMMYFUNCTION("GOOGLETRANSLATE(B1446:B1461,""RU"",""UK"")"),"Свердло 23,0Р18к/хв / 23,0ВК8 к/хв")</f>
        <v>Свердло 23,0Р18к/хв / 23,0ВК8 к/хв</v>
      </c>
      <c r="D1446" s="15" t="s">
        <v>6</v>
      </c>
      <c r="E1446" s="15" t="s">
        <v>899</v>
      </c>
      <c r="F1446" s="91" t="s">
        <v>33</v>
      </c>
      <c r="G1446" s="4"/>
      <c r="H1446" s="4"/>
      <c r="I1446" s="4"/>
    </row>
    <row r="1447" spans="1:9" ht="15">
      <c r="A1447" s="21">
        <f t="shared" si="26"/>
        <v>108</v>
      </c>
      <c r="B1447" s="16" t="s">
        <v>2058</v>
      </c>
      <c r="C1447" s="85" t="str">
        <f ca="1">IFERROR(__xludf.DUMMYFUNCTION("GOOGLETRANSLATE(B1447:B1462,""RU"",""UK"")"),"Свердло 23,0х340(240) Р18к/хв")</f>
        <v>Свердло 23,0х340(240) Р18к/хв</v>
      </c>
      <c r="D1447" s="15" t="s">
        <v>6</v>
      </c>
      <c r="E1447" s="15">
        <v>3</v>
      </c>
      <c r="F1447" s="91" t="s">
        <v>1874</v>
      </c>
      <c r="G1447" s="4"/>
      <c r="H1447" s="4"/>
      <c r="I1447" s="4"/>
    </row>
    <row r="1448" spans="1:9" ht="15">
      <c r="A1448" s="21">
        <f t="shared" si="26"/>
        <v>109</v>
      </c>
      <c r="B1448" s="16" t="s">
        <v>2059</v>
      </c>
      <c r="C1448" s="85" t="str">
        <f ca="1">IFERROR(__xludf.DUMMYFUNCTION("GOOGLETRANSLATE(B1448:B1463,""RU"",""UK"")"),"Свердло 23,5 ВК8к/хв")</f>
        <v>Свердло 23,5 ВК8к/хв</v>
      </c>
      <c r="D1448" s="15" t="s">
        <v>6</v>
      </c>
      <c r="E1448" s="15">
        <v>1</v>
      </c>
      <c r="F1448" s="91" t="s">
        <v>33</v>
      </c>
      <c r="G1448" s="4"/>
      <c r="H1448" s="4"/>
      <c r="I1448" s="4"/>
    </row>
    <row r="1449" spans="1:9" ht="15">
      <c r="A1449" s="21">
        <f t="shared" si="26"/>
        <v>110</v>
      </c>
      <c r="B1449" s="16" t="s">
        <v>2060</v>
      </c>
      <c r="C1449" s="85" t="str">
        <f ca="1">IFERROR(__xludf.DUMMYFUNCTION("GOOGLETRANSLATE(B1449:B1464,""RU"",""UK"")"),"Свердло 23,5х490(350) Р9к/хв")</f>
        <v>Свердло 23,5х490(350) Р9к/хв</v>
      </c>
      <c r="D1449" s="15" t="s">
        <v>6</v>
      </c>
      <c r="E1449" s="15">
        <v>1</v>
      </c>
      <c r="F1449" s="91" t="s">
        <v>100</v>
      </c>
      <c r="G1449" s="4"/>
      <c r="H1449" s="4"/>
      <c r="I1449" s="4"/>
    </row>
    <row r="1450" spans="1:9" ht="15">
      <c r="A1450" s="21">
        <f t="shared" si="26"/>
        <v>111</v>
      </c>
      <c r="B1450" s="16" t="s">
        <v>2061</v>
      </c>
      <c r="C1450" s="85" t="str">
        <f ca="1">IFERROR(__xludf.DUMMYFUNCTION("GOOGLETRANSLATE(B1450:B1465,""RU"",""UK"")"),"Свердло 23,7х280Р18к/хв")</f>
        <v>Свердло 23,7х280Р18к/хв</v>
      </c>
      <c r="D1450" s="15" t="s">
        <v>6</v>
      </c>
      <c r="E1450" s="15">
        <v>3</v>
      </c>
      <c r="F1450" s="91" t="s">
        <v>33</v>
      </c>
      <c r="G1450" s="4"/>
      <c r="H1450" s="4"/>
      <c r="I1450" s="4"/>
    </row>
    <row r="1451" spans="1:9" ht="15">
      <c r="A1451" s="21">
        <f t="shared" si="26"/>
        <v>112</v>
      </c>
      <c r="B1451" s="16" t="s">
        <v>2062</v>
      </c>
      <c r="C1451" s="85" t="str">
        <f ca="1">IFERROR(__xludf.DUMMYFUNCTION("GOOGLETRANSLATE(B1451:B1466,""RU"",""UK"")"),"Свердло 23,75Р18к/хв / 23,75Р12к/хв / 23,75Р9к/хв")</f>
        <v>Свердло 23,75Р18к/хв / 23,75Р12к/хв / 23,75Р9к/хв</v>
      </c>
      <c r="D1451" s="15" t="s">
        <v>6</v>
      </c>
      <c r="E1451" s="15" t="s">
        <v>2063</v>
      </c>
      <c r="F1451" s="91" t="s">
        <v>33</v>
      </c>
      <c r="G1451" s="4"/>
      <c r="H1451" s="4"/>
      <c r="I1451" s="4"/>
    </row>
    <row r="1452" spans="1:9" ht="15">
      <c r="A1452" s="21">
        <f t="shared" si="26"/>
        <v>113</v>
      </c>
      <c r="B1452" s="16" t="s">
        <v>2064</v>
      </c>
      <c r="C1452" s="85" t="str">
        <f ca="1">IFERROR(__xludf.DUMMYFUNCTION("GOOGLETRANSLATE(B1452:B1467,""RU"",""UK"")"),"Свердло 24,0Р18к/хв / 24.0ВК8к/хв")</f>
        <v>Свердло 24,0Р18к/хв / 24.0ВК8к/хв</v>
      </c>
      <c r="D1452" s="15" t="s">
        <v>6</v>
      </c>
      <c r="E1452" s="15" t="s">
        <v>2065</v>
      </c>
      <c r="F1452" s="91" t="s">
        <v>33</v>
      </c>
      <c r="G1452" s="4"/>
      <c r="H1452" s="4"/>
      <c r="I1452" s="4"/>
    </row>
    <row r="1453" spans="1:9" ht="15">
      <c r="A1453" s="21">
        <f t="shared" si="26"/>
        <v>114</v>
      </c>
      <c r="B1453" s="16" t="s">
        <v>2066</v>
      </c>
      <c r="C1453" s="85" t="str">
        <f ca="1">IFERROR(__xludf.DUMMYFUNCTION("GOOGLETRANSLATE(B1453:B1468,""RU"",""UK"")"),"Свердло 24,0х300Р9к/хв / 24,0х310Р12к/хв")</f>
        <v>Свердло 24,0х300Р9к/хв / 24,0х310Р12к/хв</v>
      </c>
      <c r="D1453" s="15" t="s">
        <v>6</v>
      </c>
      <c r="E1453" s="15" t="s">
        <v>2067</v>
      </c>
      <c r="F1453" s="91" t="s">
        <v>100</v>
      </c>
      <c r="G1453" s="4"/>
      <c r="H1453" s="4"/>
      <c r="I1453" s="4"/>
    </row>
    <row r="1454" spans="1:9" ht="15">
      <c r="A1454" s="21">
        <f t="shared" si="26"/>
        <v>115</v>
      </c>
      <c r="B1454" s="16" t="s">
        <v>2068</v>
      </c>
      <c r="C1454" s="85" t="str">
        <f ca="1">IFERROR(__xludf.DUMMYFUNCTION("GOOGLETRANSLATE(B1454:B1469,""RU"",""UK"")"),"Свердло 24,0х400Р18к/хв / 24,0х440Р18к/хв")</f>
        <v>Свердло 24,0х400Р18к/хв / 24,0х440Р18к/хв</v>
      </c>
      <c r="D1454" s="15" t="s">
        <v>6</v>
      </c>
      <c r="E1454" s="15" t="s">
        <v>2069</v>
      </c>
      <c r="F1454" s="91" t="s">
        <v>283</v>
      </c>
      <c r="G1454" s="4"/>
      <c r="H1454" s="4"/>
      <c r="I1454" s="4"/>
    </row>
    <row r="1455" spans="1:9" ht="15">
      <c r="A1455" s="21">
        <f t="shared" si="26"/>
        <v>116</v>
      </c>
      <c r="B1455" s="16" t="s">
        <v>2070</v>
      </c>
      <c r="C1455" s="85" t="str">
        <f ca="1">IFERROR(__xludf.DUMMYFUNCTION("GOOGLETRANSLATE(B1455:B1470,""RU"",""UK"")"),"Свердло 24,1Р18 к/хв")</f>
        <v>Свердло 24,1Р18 к/хв</v>
      </c>
      <c r="D1455" s="15" t="s">
        <v>6</v>
      </c>
      <c r="E1455" s="15">
        <v>1</v>
      </c>
      <c r="F1455" s="91" t="s">
        <v>33</v>
      </c>
      <c r="G1455" s="4"/>
      <c r="H1455" s="4"/>
      <c r="I1455" s="4"/>
    </row>
    <row r="1456" spans="1:9" ht="15">
      <c r="A1456" s="21">
        <f t="shared" si="26"/>
        <v>117</v>
      </c>
      <c r="B1456" s="16" t="s">
        <v>2071</v>
      </c>
      <c r="C1456" s="85" t="str">
        <f ca="1">IFERROR(__xludf.DUMMYFUNCTION("GOOGLETRANSLATE(B1456:B1471,""RU"",""UK"")"),"Свердло 24,7Р18к/хв / 24,75Р18к/хв")</f>
        <v>Свердло 24,7Р18к/хв / 24,75Р18к/хв</v>
      </c>
      <c r="D1456" s="15" t="s">
        <v>6</v>
      </c>
      <c r="E1456" s="15" t="s">
        <v>793</v>
      </c>
      <c r="F1456" s="91" t="s">
        <v>100</v>
      </c>
      <c r="G1456" s="4"/>
      <c r="H1456" s="4"/>
      <c r="I1456" s="4"/>
    </row>
    <row r="1457" spans="1:9" ht="15">
      <c r="A1457" s="21">
        <f t="shared" si="26"/>
        <v>118</v>
      </c>
      <c r="B1457" s="16" t="s">
        <v>2072</v>
      </c>
      <c r="C1457" s="85" t="str">
        <f ca="1">IFERROR(__xludf.DUMMYFUNCTION("GOOGLETRANSLATE(B1457:B1472,""RU"",""UK"")"),"Свердло 25.0Р18к/хв")</f>
        <v>Свердло 25.0Р18к/хв</v>
      </c>
      <c r="D1457" s="15" t="s">
        <v>6</v>
      </c>
      <c r="E1457" s="15">
        <v>2</v>
      </c>
      <c r="F1457" s="91" t="s">
        <v>100</v>
      </c>
      <c r="G1457" s="4"/>
      <c r="H1457" s="4"/>
      <c r="I1457" s="4"/>
    </row>
    <row r="1458" spans="1:9" ht="15">
      <c r="A1458" s="21">
        <f t="shared" si="26"/>
        <v>119</v>
      </c>
      <c r="B1458" s="16" t="s">
        <v>2073</v>
      </c>
      <c r="C1458" s="85" t="str">
        <f ca="1">IFERROR(__xludf.DUMMYFUNCTION("GOOGLETRANSLATE(B1458:B1473,""RU"",""UK"")"),"Свердло 26.0 ВК8к/хв")</f>
        <v>Свердло 26.0 ВК8к/хв</v>
      </c>
      <c r="D1458" s="15" t="s">
        <v>6</v>
      </c>
      <c r="E1458" s="15">
        <v>2</v>
      </c>
      <c r="F1458" s="91" t="s">
        <v>100</v>
      </c>
      <c r="G1458" s="4"/>
      <c r="H1458" s="4"/>
      <c r="I1458" s="4"/>
    </row>
    <row r="1459" spans="1:9" ht="15">
      <c r="A1459" s="21">
        <f t="shared" si="26"/>
        <v>120</v>
      </c>
      <c r="B1459" s="16" t="s">
        <v>2074</v>
      </c>
      <c r="C1459" s="85" t="str">
        <f ca="1">IFERROR(__xludf.DUMMYFUNCTION("GOOGLETRANSLATE(B1459:B1474,""RU"",""UK"")"),"Свердло 27.0 ВК8к/хв")</f>
        <v>Свердло 27.0 ВК8к/хв</v>
      </c>
      <c r="D1459" s="15" t="s">
        <v>6</v>
      </c>
      <c r="E1459" s="15">
        <v>3</v>
      </c>
      <c r="F1459" s="91" t="s">
        <v>100</v>
      </c>
      <c r="G1459" s="4"/>
      <c r="H1459" s="4"/>
      <c r="I1459" s="4"/>
    </row>
    <row r="1460" spans="1:9" ht="15">
      <c r="A1460" s="21">
        <f t="shared" si="26"/>
        <v>121</v>
      </c>
      <c r="B1460" s="16" t="s">
        <v>2075</v>
      </c>
      <c r="C1460" s="85" t="str">
        <f ca="1">IFERROR(__xludf.DUMMYFUNCTION("GOOGLETRANSLATE(B1460:B1475,""RU"",""UK"")"),"Свердло 28.75Р18к/хв")</f>
        <v>Свердло 28.75Р18к/хв</v>
      </c>
      <c r="D1460" s="15" t="s">
        <v>6</v>
      </c>
      <c r="E1460" s="15">
        <v>1</v>
      </c>
      <c r="F1460" s="91" t="s">
        <v>283</v>
      </c>
      <c r="G1460" s="4"/>
      <c r="H1460" s="4"/>
      <c r="I1460" s="4"/>
    </row>
    <row r="1461" spans="1:9" ht="15">
      <c r="A1461" s="21">
        <f t="shared" si="26"/>
        <v>122</v>
      </c>
      <c r="B1461" s="16" t="s">
        <v>2076</v>
      </c>
      <c r="C1461" s="85" t="str">
        <f ca="1">IFERROR(__xludf.DUMMYFUNCTION("GOOGLETRANSLATE(B1461:B1476,""RU"",""UK"")"),"Свердло 29,0Р18к/хв")</f>
        <v>Свердло 29,0Р18к/хв</v>
      </c>
      <c r="D1461" s="15" t="s">
        <v>6</v>
      </c>
      <c r="E1461" s="15">
        <v>4</v>
      </c>
      <c r="F1461" s="91" t="s">
        <v>283</v>
      </c>
      <c r="G1461" s="4"/>
      <c r="H1461" s="4"/>
      <c r="I1461" s="4"/>
    </row>
    <row r="1462" spans="1:9" ht="15">
      <c r="A1462" s="21">
        <f t="shared" si="26"/>
        <v>123</v>
      </c>
      <c r="B1462" s="16" t="s">
        <v>2077</v>
      </c>
      <c r="C1462" s="85" t="str">
        <f ca="1">IFERROR(__xludf.DUMMYFUNCTION("GOOGLETRANSLATE(B1462:B1477,""RU"",""UK"")"),"Свердло 29,0х470(200)Р18к/хв")</f>
        <v>Свердло 29,0х470(200)Р18к/хв</v>
      </c>
      <c r="D1462" s="15" t="s">
        <v>6</v>
      </c>
      <c r="E1462" s="15">
        <v>1</v>
      </c>
      <c r="F1462" s="91" t="s">
        <v>1874</v>
      </c>
      <c r="G1462" s="4"/>
      <c r="H1462" s="4"/>
      <c r="I1462" s="4"/>
    </row>
    <row r="1463" spans="1:9" ht="15">
      <c r="A1463" s="21">
        <f t="shared" si="26"/>
        <v>124</v>
      </c>
      <c r="B1463" s="16" t="s">
        <v>2078</v>
      </c>
      <c r="C1463" s="85" t="str">
        <f ca="1">IFERROR(__xludf.DUMMYFUNCTION("GOOGLETRANSLATE(B1463:B1478,""RU"",""UK"")"),"Свердло 30,0 Р18 до/хв / 30,0 ВК8 до/хв")</f>
        <v>Свердло 30,0 Р18 до/хв / 30,0 ВК8 до/хв</v>
      </c>
      <c r="D1463" s="15" t="s">
        <v>6</v>
      </c>
      <c r="E1463" s="15" t="s">
        <v>793</v>
      </c>
      <c r="F1463" s="91" t="s">
        <v>1874</v>
      </c>
      <c r="G1463" s="4"/>
      <c r="H1463" s="4"/>
      <c r="I1463" s="4"/>
    </row>
    <row r="1464" spans="1:9" ht="15">
      <c r="A1464" s="21">
        <f t="shared" si="26"/>
        <v>125</v>
      </c>
      <c r="B1464" s="16" t="s">
        <v>2079</v>
      </c>
      <c r="C1464" s="85" t="str">
        <f ca="1">IFERROR(__xludf.DUMMYFUNCTION("GOOGLETRANSLATE(B1464:B1479,""RU"",""UK"")"),"Свердло 30,0х660(300) Р18 КМ4")</f>
        <v>Свердло 30,0х660(300) Р18 КМ4</v>
      </c>
      <c r="D1464" s="15" t="s">
        <v>6</v>
      </c>
      <c r="E1464" s="15">
        <v>1</v>
      </c>
      <c r="F1464" s="91" t="s">
        <v>1086</v>
      </c>
      <c r="G1464" s="4"/>
      <c r="H1464" s="4"/>
      <c r="I1464" s="4"/>
    </row>
    <row r="1465" spans="1:9" ht="15">
      <c r="A1465" s="21">
        <f t="shared" si="26"/>
        <v>126</v>
      </c>
      <c r="B1465" s="16" t="s">
        <v>2080</v>
      </c>
      <c r="C1465" s="85" t="str">
        <f ca="1">IFERROR(__xludf.DUMMYFUNCTION("GOOGLETRANSLATE(B1465:B1480,""RU"",""UK"")"),"Свердло 30.5Р18к/хв")</f>
        <v>Свердло 30.5Р18к/хв</v>
      </c>
      <c r="D1465" s="15" t="s">
        <v>6</v>
      </c>
      <c r="E1465" s="15">
        <v>1</v>
      </c>
      <c r="F1465" s="91" t="s">
        <v>1874</v>
      </c>
      <c r="G1465" s="4"/>
      <c r="H1465" s="4"/>
      <c r="I1465" s="4"/>
    </row>
    <row r="1466" spans="1:9" ht="15">
      <c r="A1466" s="21">
        <f t="shared" si="26"/>
        <v>127</v>
      </c>
      <c r="B1466" s="16" t="s">
        <v>2081</v>
      </c>
      <c r="C1466" s="85" t="str">
        <f ca="1">IFERROR(__xludf.DUMMYFUNCTION("GOOGLETRANSLATE(B1466:B1481,""RU"",""UK"")"),"Свердло 32,0 ВК8 КМ5 в/з/32,0х640ВК8 КМ4")</f>
        <v>Свердло 32,0 ВК8 КМ5 в/з/32,0х640ВК8 КМ4</v>
      </c>
      <c r="D1466" s="15" t="s">
        <v>6</v>
      </c>
      <c r="E1466" s="15" t="s">
        <v>749</v>
      </c>
      <c r="F1466" s="91" t="s">
        <v>283</v>
      </c>
      <c r="G1466" s="4"/>
      <c r="H1466" s="4"/>
      <c r="I1466" s="4"/>
    </row>
    <row r="1467" spans="1:9" ht="15">
      <c r="A1467" s="21">
        <f t="shared" si="26"/>
        <v>128</v>
      </c>
      <c r="B1467" s="16" t="s">
        <v>2082</v>
      </c>
      <c r="C1467" s="85" t="str">
        <f ca="1">IFERROR(__xludf.DUMMYFUNCTION("GOOGLETRANSLATE(B1467:B1482,""RU"",""UK"")"),"Свердло 34.0 Р18к/хв")</f>
        <v>Свердло 34.0 Р18к/хв</v>
      </c>
      <c r="D1467" s="15" t="s">
        <v>6</v>
      </c>
      <c r="E1467" s="15">
        <v>1</v>
      </c>
      <c r="F1467" s="91" t="s">
        <v>2083</v>
      </c>
      <c r="G1467" s="4"/>
      <c r="H1467" s="4"/>
      <c r="I1467" s="4"/>
    </row>
    <row r="1468" spans="1:9" ht="15">
      <c r="A1468" s="21">
        <f t="shared" si="26"/>
        <v>129</v>
      </c>
      <c r="B1468" s="16" t="s">
        <v>2084</v>
      </c>
      <c r="C1468" s="85" t="str">
        <f ca="1">IFERROR(__xludf.DUMMYFUNCTION("GOOGLETRANSLATE(B1468:B1483,""RU"",""UK"")"),"Свердло 35.9 Р18к/хв")</f>
        <v>Свердло 35.9 Р18к/хв</v>
      </c>
      <c r="D1468" s="15" t="s">
        <v>6</v>
      </c>
      <c r="E1468" s="15">
        <v>1</v>
      </c>
      <c r="F1468" s="91" t="s">
        <v>1874</v>
      </c>
      <c r="G1468" s="4"/>
      <c r="H1468" s="4"/>
      <c r="I1468" s="4"/>
    </row>
    <row r="1469" spans="1:9" ht="15">
      <c r="A1469" s="21">
        <f t="shared" si="26"/>
        <v>130</v>
      </c>
      <c r="B1469" s="16" t="s">
        <v>2085</v>
      </c>
      <c r="C1469" s="85" t="str">
        <f ca="1">IFERROR(__xludf.DUMMYFUNCTION("GOOGLETRANSLATE(B1469:B1484,""RU"",""UK"")"),"Свердло 36.0 Р18к/хв / 36,0 ВК8 к/хв")</f>
        <v>Свердло 36.0 Р18к/хв / 36,0 ВК8 к/хв</v>
      </c>
      <c r="D1469" s="15" t="s">
        <v>6</v>
      </c>
      <c r="E1469" s="15" t="s">
        <v>211</v>
      </c>
      <c r="F1469" s="91" t="s">
        <v>1874</v>
      </c>
      <c r="G1469" s="4"/>
      <c r="H1469" s="4"/>
      <c r="I1469" s="4"/>
    </row>
    <row r="1470" spans="1:9" ht="15">
      <c r="A1470" s="21">
        <f t="shared" ref="A1470:A1479" si="27">A1469+1</f>
        <v>131</v>
      </c>
      <c r="B1470" s="16" t="s">
        <v>2086</v>
      </c>
      <c r="C1470" s="85" t="str">
        <f ca="1">IFERROR(__xludf.DUMMYFUNCTION("GOOGLETRANSLATE(B1470:B1485,""RU"",""UK"")"),"Свердло 36,5 Р18к/хв")</f>
        <v>Свердло 36,5 Р18к/хв</v>
      </c>
      <c r="D1470" s="15" t="s">
        <v>6</v>
      </c>
      <c r="E1470" s="15">
        <v>1</v>
      </c>
      <c r="F1470" s="91" t="s">
        <v>1874</v>
      </c>
      <c r="G1470" s="4"/>
      <c r="H1470" s="4"/>
      <c r="I1470" s="4"/>
    </row>
    <row r="1471" spans="1:9" ht="15">
      <c r="A1471" s="21">
        <f t="shared" si="27"/>
        <v>132</v>
      </c>
      <c r="B1471" s="16" t="s">
        <v>2087</v>
      </c>
      <c r="C1471" s="85" t="str">
        <f ca="1">IFERROR(__xludf.DUMMYFUNCTION("GOOGLETRANSLATE(B1471:B1486,""RU"",""UK"")"),"Свердло 37,0Р18/37,0Р9")</f>
        <v>Свердло 37,0Р18/37,0Р9</v>
      </c>
      <c r="D1471" s="15" t="s">
        <v>6</v>
      </c>
      <c r="E1471" s="15" t="s">
        <v>749</v>
      </c>
      <c r="F1471" s="91" t="s">
        <v>1874</v>
      </c>
      <c r="G1471" s="4"/>
      <c r="H1471" s="4"/>
      <c r="I1471" s="4"/>
    </row>
    <row r="1472" spans="1:9" ht="15">
      <c r="A1472" s="21">
        <f t="shared" si="27"/>
        <v>133</v>
      </c>
      <c r="B1472" s="16" t="s">
        <v>2088</v>
      </c>
      <c r="C1472" s="85" t="str">
        <f ca="1">IFERROR(__xludf.DUMMYFUNCTION("GOOGLETRANSLATE(B1472:B1487,""RU"",""UK"")"),"Свердло 37,5х440 Р18к/хв")</f>
        <v>Свердло 37,5х440 Р18к/хв</v>
      </c>
      <c r="D1472" s="15" t="s">
        <v>6</v>
      </c>
      <c r="E1472" s="15">
        <v>5</v>
      </c>
      <c r="F1472" s="91" t="s">
        <v>1874</v>
      </c>
      <c r="G1472" s="4"/>
      <c r="H1472" s="4"/>
      <c r="I1472" s="4"/>
    </row>
    <row r="1473" spans="1:9" ht="15">
      <c r="A1473" s="21">
        <f t="shared" si="27"/>
        <v>134</v>
      </c>
      <c r="B1473" s="16" t="s">
        <v>2089</v>
      </c>
      <c r="C1473" s="85" t="str">
        <f ca="1">IFERROR(__xludf.DUMMYFUNCTION("GOOGLETRANSLATE(B1473:B1488,""RU"",""UK"")"),"Свердло 38,0 Р18к/хв")</f>
        <v>Свердло 38,0 Р18к/хв</v>
      </c>
      <c r="D1473" s="15" t="s">
        <v>6</v>
      </c>
      <c r="E1473" s="15">
        <v>1</v>
      </c>
      <c r="F1473" s="91" t="s">
        <v>111</v>
      </c>
      <c r="G1473" s="4"/>
      <c r="H1473" s="4"/>
      <c r="I1473" s="4"/>
    </row>
    <row r="1474" spans="1:9" ht="15">
      <c r="A1474" s="21">
        <f t="shared" si="27"/>
        <v>135</v>
      </c>
      <c r="B1474" s="16" t="s">
        <v>2090</v>
      </c>
      <c r="C1474" s="85" t="str">
        <f ca="1">IFERROR(__xludf.DUMMYFUNCTION("GOOGLETRANSLATE(B1474:B1489,""RU"",""UK"")"),"Свердло 40.0 Р18к/хв легке бу")</f>
        <v>Свердло 40.0 Р18к/хв легке бу</v>
      </c>
      <c r="D1474" s="15" t="s">
        <v>6</v>
      </c>
      <c r="E1474" s="15">
        <v>1</v>
      </c>
      <c r="F1474" s="91" t="s">
        <v>111</v>
      </c>
      <c r="G1474" s="4"/>
      <c r="H1474" s="4"/>
      <c r="I1474" s="4"/>
    </row>
    <row r="1475" spans="1:9" ht="15">
      <c r="A1475" s="21">
        <f t="shared" si="27"/>
        <v>136</v>
      </c>
      <c r="B1475" s="16" t="s">
        <v>2091</v>
      </c>
      <c r="C1475" s="85" t="str">
        <f ca="1">IFERROR(__xludf.DUMMYFUNCTION("GOOGLETRANSLATE(B1475:B1490,""RU"",""UK"")"),"Свердло 43.5 Р18к/хв")</f>
        <v>Свердло 43.5 Р18к/хв</v>
      </c>
      <c r="D1475" s="15" t="s">
        <v>6</v>
      </c>
      <c r="E1475" s="15">
        <v>1</v>
      </c>
      <c r="F1475" s="91" t="s">
        <v>80</v>
      </c>
      <c r="G1475" s="4"/>
      <c r="H1475" s="4"/>
      <c r="I1475" s="4"/>
    </row>
    <row r="1476" spans="1:9" ht="15">
      <c r="A1476" s="21">
        <f t="shared" si="27"/>
        <v>137</v>
      </c>
      <c r="B1476" s="16" t="s">
        <v>2092</v>
      </c>
      <c r="C1476" s="85" t="str">
        <f ca="1">IFERROR(__xludf.DUMMYFUNCTION("GOOGLETRANSLATE(B1476:B1491,""RU"",""UK"")"),"Свердло 45,0х150 короткий Р18к/хв / 45,0х100-120 короткий Р18к/хв")</f>
        <v>Свердло 45,0х150 короткий Р18к/хв / 45,0х100-120 короткий Р18к/хв</v>
      </c>
      <c r="D1476" s="15" t="s">
        <v>6</v>
      </c>
      <c r="E1476" s="15" t="s">
        <v>438</v>
      </c>
      <c r="F1476" s="91" t="s">
        <v>2093</v>
      </c>
      <c r="G1476" s="4"/>
      <c r="H1476" s="4"/>
      <c r="I1476" s="4"/>
    </row>
    <row r="1477" spans="1:9" ht="15">
      <c r="A1477" s="21">
        <f t="shared" si="27"/>
        <v>138</v>
      </c>
      <c r="B1477" s="16" t="s">
        <v>2094</v>
      </c>
      <c r="C1477" s="85" t="str">
        <f ca="1">IFERROR(__xludf.DUMMYFUNCTION("GOOGLETRANSLATE(B1477:B1492,""RU"",""UK"")"),"Свердло 45,3х380 Р9 КМ4")</f>
        <v>Свердло 45,3х380 Р9 КМ4</v>
      </c>
      <c r="D1477" s="15" t="s">
        <v>6</v>
      </c>
      <c r="E1477" s="15">
        <v>1</v>
      </c>
      <c r="F1477" s="91" t="s">
        <v>2093</v>
      </c>
      <c r="G1477" s="4"/>
      <c r="H1477" s="4"/>
      <c r="I1477" s="4"/>
    </row>
    <row r="1478" spans="1:9" ht="15">
      <c r="A1478" s="21">
        <f t="shared" si="27"/>
        <v>139</v>
      </c>
      <c r="B1478" s="16" t="s">
        <v>2095</v>
      </c>
      <c r="C1478" s="85" t="str">
        <f ca="1">IFERROR(__xludf.DUMMYFUNCTION("GOOGLETRANSLATE(B1478:B1493,""RU"",""UK"")"),"Свердло 50,0х450 Р18 КМ4")</f>
        <v>Свердло 50,0х450 Р18 КМ4</v>
      </c>
      <c r="D1478" s="15" t="s">
        <v>6</v>
      </c>
      <c r="E1478" s="15">
        <v>1</v>
      </c>
      <c r="F1478" s="91" t="s">
        <v>10</v>
      </c>
      <c r="G1478" s="4"/>
      <c r="H1478" s="4"/>
      <c r="I1478" s="4"/>
    </row>
    <row r="1479" spans="1:9" ht="15">
      <c r="A1479" s="21">
        <f t="shared" si="27"/>
        <v>140</v>
      </c>
      <c r="B1479" s="16" t="s">
        <v>2096</v>
      </c>
      <c r="C1479" s="85" t="str">
        <f ca="1">IFERROR(__xludf.DUMMYFUNCTION("GOOGLETRANSLATE(B1479:B1494,""RU"",""UK"")"),"Свердло 60,0 Р18 КМ5")</f>
        <v>Свердло 60,0 Р18 КМ5</v>
      </c>
      <c r="D1479" s="15" t="s">
        <v>6</v>
      </c>
      <c r="E1479" s="15">
        <v>1</v>
      </c>
      <c r="F1479" s="91" t="s">
        <v>84</v>
      </c>
      <c r="G1479" s="4"/>
      <c r="H1479" s="4"/>
      <c r="I1479" s="4"/>
    </row>
    <row r="1480" spans="1:9" ht="15">
      <c r="A1480" s="43"/>
      <c r="B1480" s="29" t="s">
        <v>2097</v>
      </c>
      <c r="C1480" s="110" t="str">
        <f ca="1">IFERROR(__xludf.DUMMYFUNCTION("GOOGLETRANSLATE(B1480:B1495,""RU"",""UK"")"),"15. С В Е Р Д Л А  А Л М А З Н І  (скло, кераміка, бетон)")</f>
        <v>15. С В Е Р Д Л А  А Л М А З Н І  (скло, кераміка, бетон)</v>
      </c>
      <c r="D1480" s="29"/>
      <c r="E1480" s="29"/>
      <c r="F1480" s="95"/>
      <c r="G1480" s="4"/>
      <c r="H1480" s="4"/>
      <c r="I1480" s="4"/>
    </row>
    <row r="1481" spans="1:9" ht="15">
      <c r="A1481" s="13">
        <v>1</v>
      </c>
      <c r="B1481" s="16" t="s">
        <v>2098</v>
      </c>
      <c r="C1481" s="85" t="str">
        <f ca="1">IFERROR(__xludf.DUMMYFUNCTION("GOOGLETRANSLATE(B1481:B1496,""RU"",""UK"")"),"Свердло алмазне трубчасте 4,0х2,5х50")</f>
        <v>Свердло алмазне трубчасте 4,0х2,5х50</v>
      </c>
      <c r="D1481" s="15" t="s">
        <v>6</v>
      </c>
      <c r="E1481" s="15">
        <v>68</v>
      </c>
      <c r="F1481" s="91" t="s">
        <v>167</v>
      </c>
      <c r="G1481" s="4"/>
      <c r="H1481" s="4"/>
      <c r="I1481" s="4"/>
    </row>
    <row r="1482" spans="1:9" ht="15">
      <c r="A1482" s="13">
        <v>3</v>
      </c>
      <c r="B1482" s="14" t="s">
        <v>2099</v>
      </c>
      <c r="C1482" s="85" t="str">
        <f ca="1">IFERROR(__xludf.DUMMYFUNCTION("GOOGLETRANSLATE(B1482:B1497,""RU"",""UK"")"),"Свердло алмазне клинообр. 7,0х80")</f>
        <v>Свердло алмазне клинообр. 7,0х80</v>
      </c>
      <c r="D1482" s="15" t="s">
        <v>6</v>
      </c>
      <c r="E1482" s="15">
        <v>10</v>
      </c>
      <c r="F1482" s="91" t="s">
        <v>304</v>
      </c>
      <c r="G1482" s="4"/>
      <c r="H1482" s="4"/>
      <c r="I1482" s="4"/>
    </row>
    <row r="1483" spans="1:9" ht="15">
      <c r="A1483" s="13">
        <v>5</v>
      </c>
      <c r="B1483" s="19" t="s">
        <v>2100</v>
      </c>
      <c r="C1483" s="85" t="str">
        <f ca="1">IFERROR(__xludf.DUMMYFUNCTION("GOOGLETRANSLATE(B1483:B1498,""RU"",""UK"")"),"Свердло алмазне трубчасте 8х6х50")</f>
        <v>Свердло алмазне трубчасте 8х6х50</v>
      </c>
      <c r="D1483" s="15" t="s">
        <v>6</v>
      </c>
      <c r="E1483" s="15">
        <v>3</v>
      </c>
      <c r="F1483" s="91" t="s">
        <v>314</v>
      </c>
      <c r="G1483" s="4"/>
      <c r="H1483" s="4"/>
      <c r="I1483" s="4"/>
    </row>
    <row r="1484" spans="1:9" ht="15">
      <c r="A1484" s="13">
        <v>6</v>
      </c>
      <c r="B1484" s="19" t="s">
        <v>2101</v>
      </c>
      <c r="C1484" s="85" t="str">
        <f ca="1">IFERROR(__xludf.DUMMYFUNCTION("GOOGLETRANSLATE(B1484:B1499,""RU"",""UK"")"),"Свердло алмазне клинообр. 10х85")</f>
        <v>Свердло алмазне клинообр. 10х85</v>
      </c>
      <c r="D1484" s="15" t="s">
        <v>6</v>
      </c>
      <c r="E1484" s="15">
        <v>2</v>
      </c>
      <c r="F1484" s="91" t="s">
        <v>255</v>
      </c>
      <c r="G1484" s="4"/>
      <c r="H1484" s="4"/>
      <c r="I1484" s="4"/>
    </row>
    <row r="1485" spans="1:9" ht="15">
      <c r="A1485" s="13">
        <v>7</v>
      </c>
      <c r="B1485" s="14" t="s">
        <v>2102</v>
      </c>
      <c r="C1485" s="85" t="str">
        <f ca="1">IFERROR(__xludf.DUMMYFUNCTION("GOOGLETRANSLATE(B1485:B1500,""RU"",""UK"")"),"Свердло алмазне трубчасте 12х60")</f>
        <v>Свердло алмазне трубчасте 12х60</v>
      </c>
      <c r="D1485" s="15" t="s">
        <v>6</v>
      </c>
      <c r="E1485" s="15">
        <v>15</v>
      </c>
      <c r="F1485" s="91" t="s">
        <v>226</v>
      </c>
      <c r="G1485" s="4"/>
      <c r="H1485" s="4"/>
      <c r="I1485" s="4"/>
    </row>
    <row r="1486" spans="1:9" ht="15">
      <c r="A1486" s="13">
        <v>8</v>
      </c>
      <c r="B1486" s="19" t="s">
        <v>2103</v>
      </c>
      <c r="C1486" s="85" t="str">
        <f ca="1">IFERROR(__xludf.DUMMYFUNCTION("GOOGLETRANSLATE(B1486:B1501,""RU"",""UK"")"),"Свердло алмазне клинообр. 14х100")</f>
        <v>Свердло алмазне клинообр. 14х100</v>
      </c>
      <c r="D1486" s="15" t="s">
        <v>6</v>
      </c>
      <c r="E1486" s="15">
        <v>3</v>
      </c>
      <c r="F1486" s="91" t="s">
        <v>338</v>
      </c>
      <c r="G1486" s="4"/>
      <c r="H1486" s="4"/>
      <c r="I1486" s="4"/>
    </row>
    <row r="1487" spans="1:9" ht="15">
      <c r="A1487" s="13">
        <v>9</v>
      </c>
      <c r="B1487" s="14" t="s">
        <v>2104</v>
      </c>
      <c r="C1487" s="85" t="str">
        <f ca="1">IFERROR(__xludf.DUMMYFUNCTION("GOOGLETRANSLATE(B1487:B1502,""RU"",""UK"")"),"Свердло алмазне корончасте 30мм")</f>
        <v>Свердло алмазне корончасте 30мм</v>
      </c>
      <c r="D1487" s="15" t="s">
        <v>6</v>
      </c>
      <c r="E1487" s="15">
        <v>18</v>
      </c>
      <c r="F1487" s="91" t="s">
        <v>212</v>
      </c>
      <c r="G1487" s="4"/>
      <c r="H1487" s="4"/>
      <c r="I1487" s="4"/>
    </row>
    <row r="1488" spans="1:9" ht="15">
      <c r="A1488" s="13">
        <v>10</v>
      </c>
      <c r="B1488" s="14" t="s">
        <v>2105</v>
      </c>
      <c r="C1488" s="85" t="str">
        <f ca="1">IFERROR(__xludf.DUMMYFUNCTION("GOOGLETRANSLATE(B1488:B1503,""RU"",""UK"")"),"Свердло алмазне корончасте 40мм")</f>
        <v>Свердло алмазне корончасте 40мм</v>
      </c>
      <c r="D1488" s="15" t="s">
        <v>6</v>
      </c>
      <c r="E1488" s="15">
        <v>1</v>
      </c>
      <c r="F1488" s="91" t="s">
        <v>2106</v>
      </c>
      <c r="G1488" s="4"/>
      <c r="H1488" s="4"/>
      <c r="I1488" s="4"/>
    </row>
    <row r="1489" spans="1:9" ht="15">
      <c r="A1489" s="13">
        <v>11</v>
      </c>
      <c r="B1489" s="14" t="s">
        <v>2107</v>
      </c>
      <c r="C1489" s="85" t="str">
        <f ca="1">IFERROR(__xludf.DUMMYFUNCTION("GOOGLETRANSLATE(B1489:B1504,""RU"",""UK"")"),"Свердло алмазне корончасте 42мм")</f>
        <v>Свердло алмазне корончасте 42мм</v>
      </c>
      <c r="D1489" s="15" t="s">
        <v>6</v>
      </c>
      <c r="E1489" s="15">
        <v>3</v>
      </c>
      <c r="F1489" s="91" t="s">
        <v>136</v>
      </c>
      <c r="G1489" s="4"/>
      <c r="H1489" s="4"/>
      <c r="I1489" s="4"/>
    </row>
    <row r="1490" spans="1:9" ht="15">
      <c r="A1490" s="13">
        <v>12</v>
      </c>
      <c r="B1490" s="14" t="s">
        <v>2108</v>
      </c>
      <c r="C1490" s="85" t="str">
        <f ca="1">IFERROR(__xludf.DUMMYFUNCTION("GOOGLETRANSLATE(B1490:B1505,""RU"",""UK"")"),"Свердло алмазне корончасте 45мм")</f>
        <v>Свердло алмазне корончасте 45мм</v>
      </c>
      <c r="D1490" s="15" t="s">
        <v>6</v>
      </c>
      <c r="E1490" s="15">
        <v>1</v>
      </c>
      <c r="F1490" s="91" t="s">
        <v>348</v>
      </c>
      <c r="G1490" s="4"/>
      <c r="H1490" s="4"/>
      <c r="I1490" s="4"/>
    </row>
    <row r="1491" spans="1:9" ht="15">
      <c r="A1491" s="13">
        <v>13</v>
      </c>
      <c r="B1491" s="14" t="s">
        <v>2109</v>
      </c>
      <c r="C1491" s="85" t="str">
        <f ca="1">IFERROR(__xludf.DUMMYFUNCTION("GOOGLETRANSLATE(B1491:B1506,""RU"",""UK"")"),"Свердло алмазне корончасте 55мм")</f>
        <v>Свердло алмазне корончасте 55мм</v>
      </c>
      <c r="D1491" s="15" t="s">
        <v>6</v>
      </c>
      <c r="E1491" s="15">
        <v>1</v>
      </c>
      <c r="F1491" s="91" t="s">
        <v>319</v>
      </c>
      <c r="G1491" s="4"/>
      <c r="H1491" s="4"/>
      <c r="I1491" s="4"/>
    </row>
    <row r="1492" spans="1:9" ht="15">
      <c r="A1492" s="13">
        <v>14</v>
      </c>
      <c r="B1492" s="14" t="s">
        <v>2110</v>
      </c>
      <c r="C1492" s="85" t="str">
        <f ca="1">IFERROR(__xludf.DUMMYFUNCTION("GOOGLETRANSLATE(B1492:B1507,""RU"",""UK"")"),"Свердло трубчасте алмазне 60х350мм")</f>
        <v>Свердло трубчасте алмазне 60х350мм</v>
      </c>
      <c r="D1492" s="15" t="s">
        <v>6</v>
      </c>
      <c r="E1492" s="15">
        <v>1</v>
      </c>
      <c r="F1492" s="91" t="s">
        <v>2111</v>
      </c>
      <c r="G1492" s="4"/>
      <c r="H1492" s="4"/>
      <c r="I1492" s="4"/>
    </row>
    <row r="1493" spans="1:9" ht="15">
      <c r="A1493" s="43"/>
      <c r="B1493" s="29" t="s">
        <v>2112</v>
      </c>
      <c r="C1493" s="110" t="str">
        <f ca="1">IFERROR(__xludf.DUMMYFUNCTION("GOOGLETRANSLATE(B1493:B1508,""RU"",""UK"")"),"16. Р О З Ц І  Т О К А Р Н І  Н А П А Я Н І")</f>
        <v>16. Р О З Ц І  Т О К А Р Н І  Н А П А Я Н І</v>
      </c>
      <c r="D1493" s="29"/>
      <c r="E1493" s="29"/>
      <c r="F1493" s="95"/>
      <c r="G1493" s="4"/>
      <c r="H1493" s="4"/>
      <c r="I1493" s="4"/>
    </row>
    <row r="1494" spans="1:9" ht="15">
      <c r="A1494" s="13">
        <v>1</v>
      </c>
      <c r="B1494" s="14" t="s">
        <v>2113</v>
      </c>
      <c r="C1494" s="85" t="str">
        <f ca="1">IFERROR(__xludf.DUMMYFUNCTION("GOOGLETRANSLATE(B1494:B1509,""RU"",""UK"")"),"Різець токарний прохідний прямий Т5К10 16х16х80/16х16х80лев")</f>
        <v>Різець токарний прохідний прямий Т5К10 16х16х80/16х16х80лев</v>
      </c>
      <c r="D1494" s="15" t="s">
        <v>6</v>
      </c>
      <c r="E1494" s="15" t="s">
        <v>2114</v>
      </c>
      <c r="F1494" s="91" t="s">
        <v>201</v>
      </c>
      <c r="G1494" s="4"/>
      <c r="H1494" s="4"/>
      <c r="I1494" s="4"/>
    </row>
    <row r="1495" spans="1:9" ht="15">
      <c r="A1495" s="13">
        <f>A1494+1</f>
        <v>2</v>
      </c>
      <c r="B1495" s="14" t="s">
        <v>2115</v>
      </c>
      <c r="C1495" s="85" t="str">
        <f ca="1">IFERROR(__xludf.DUMMYFUNCTION("GOOGLETRANSLATE(B1495:B1510,""RU"",""UK"")"),"Різець токарний прохідний прямий Т5К10 20х20х100лев/20х12х110")</f>
        <v>Різець токарний прохідний прямий Т5К10 20х20х100лев/20х12х110</v>
      </c>
      <c r="D1495" s="15" t="s">
        <v>6</v>
      </c>
      <c r="E1495" s="15" t="s">
        <v>1200</v>
      </c>
      <c r="F1495" s="91" t="s">
        <v>255</v>
      </c>
      <c r="G1495" s="4"/>
      <c r="H1495" s="4"/>
      <c r="I1495" s="4"/>
    </row>
    <row r="1496" spans="1:9" ht="15">
      <c r="A1496" s="21">
        <f t="shared" ref="A1496:A1559" si="28">A1495+1</f>
        <v>3</v>
      </c>
      <c r="B1496" s="14" t="s">
        <v>2116</v>
      </c>
      <c r="C1496" s="85" t="str">
        <f ca="1">IFERROR(__xludf.DUMMYFUNCTION("GOOGLETRANSLATE(B1496:B1511,""RU"",""UK"")"),"Різець токарний прохідний упорний. Т5К10 d-15х50лев / d-20х80лев")</f>
        <v>Різець токарний прохідний упорний. Т5К10 d-15х50лев / d-20х80лев</v>
      </c>
      <c r="D1496" s="15" t="s">
        <v>6</v>
      </c>
      <c r="E1496" s="15" t="s">
        <v>2117</v>
      </c>
      <c r="F1496" s="91" t="s">
        <v>169</v>
      </c>
      <c r="G1496" s="4"/>
      <c r="H1496" s="4"/>
      <c r="I1496" s="4"/>
    </row>
    <row r="1497" spans="1:9" ht="15">
      <c r="A1497" s="21">
        <f t="shared" si="28"/>
        <v>4</v>
      </c>
      <c r="B1497" s="14" t="s">
        <v>2118</v>
      </c>
      <c r="C1497" s="85" t="str">
        <f ca="1">IFERROR(__xludf.DUMMYFUNCTION("GOOGLETRANSLATE(B1497:B1512,""RU"",""UK"")"),"Різець токарний прохідний прямий Т5К10 20х16х110/25х16-20х120")</f>
        <v>Різець токарний прохідний прямий Т5К10 20х16х110/25х16-20х120</v>
      </c>
      <c r="D1497" s="15" t="s">
        <v>6</v>
      </c>
      <c r="E1497" s="15" t="s">
        <v>2119</v>
      </c>
      <c r="F1497" s="91" t="s">
        <v>564</v>
      </c>
      <c r="G1497" s="4"/>
      <c r="H1497" s="4"/>
      <c r="I1497" s="4"/>
    </row>
    <row r="1498" spans="1:9" ht="15">
      <c r="A1498" s="21">
        <f t="shared" si="28"/>
        <v>5</v>
      </c>
      <c r="B1498" s="14" t="s">
        <v>2120</v>
      </c>
      <c r="C1498" s="85" t="str">
        <f ca="1">IFERROR(__xludf.DUMMYFUNCTION("GOOGLETRANSLATE(B1498:B1513,""RU"",""UK"")"),"Різець токарний прохідний прямий Т5К10 25х16х140/25х20х140")</f>
        <v>Різець токарний прохідний прямий Т5К10 25х16х140/25х20х140</v>
      </c>
      <c r="D1498" s="15" t="s">
        <v>6</v>
      </c>
      <c r="E1498" s="15" t="s">
        <v>2121</v>
      </c>
      <c r="F1498" s="91" t="s">
        <v>1553</v>
      </c>
      <c r="G1498" s="4"/>
      <c r="H1498" s="4"/>
      <c r="I1498" s="4"/>
    </row>
    <row r="1499" spans="1:9" ht="15">
      <c r="A1499" s="21">
        <f t="shared" si="28"/>
        <v>6</v>
      </c>
      <c r="B1499" s="14" t="s">
        <v>2122</v>
      </c>
      <c r="C1499" s="85" t="str">
        <f ca="1">IFERROR(__xludf.DUMMYFUNCTION("GOOGLETRANSLATE(B1499:B1514,""RU"",""UK"")"),"Різець токарний прохідний прямий Т5К10 25х25х200")</f>
        <v>Різець токарний прохідний прямий Т5К10 25х25х200</v>
      </c>
      <c r="D1499" s="15" t="s">
        <v>6</v>
      </c>
      <c r="E1499" s="15">
        <v>4</v>
      </c>
      <c r="F1499" s="91" t="s">
        <v>136</v>
      </c>
      <c r="G1499" s="4"/>
      <c r="H1499" s="4"/>
      <c r="I1499" s="4"/>
    </row>
    <row r="1500" spans="1:9" ht="15">
      <c r="A1500" s="21">
        <f t="shared" si="28"/>
        <v>7</v>
      </c>
      <c r="B1500" s="14" t="s">
        <v>2123</v>
      </c>
      <c r="C1500" s="85" t="str">
        <f ca="1">IFERROR(__xludf.DUMMYFUNCTION("GOOGLETRANSLATE(B1500:B1515,""RU"",""UK"")"),"Різець токарний прохідний прямий Т5К10 32х20х170")</f>
        <v>Різець токарний прохідний прямий Т5К10 32х20х170</v>
      </c>
      <c r="D1500" s="15" t="s">
        <v>6</v>
      </c>
      <c r="E1500" s="15">
        <v>34</v>
      </c>
      <c r="F1500" s="91" t="s">
        <v>557</v>
      </c>
      <c r="G1500" s="4"/>
      <c r="H1500" s="4"/>
      <c r="I1500" s="4"/>
    </row>
    <row r="1501" spans="1:9" ht="15">
      <c r="A1501" s="21">
        <f t="shared" si="28"/>
        <v>8</v>
      </c>
      <c r="B1501" s="14" t="s">
        <v>2124</v>
      </c>
      <c r="C1501" s="85" t="str">
        <f ca="1">IFERROR(__xludf.DUMMYFUNCTION("GOOGLETRANSLATE(B1501:B1516,""RU"",""UK"")"),"Різець токарний прохідний прямий Т5К10 40х25х200")</f>
        <v>Різець токарний прохідний прямий Т5К10 40х25х200</v>
      </c>
      <c r="D1501" s="15" t="s">
        <v>6</v>
      </c>
      <c r="E1501" s="15">
        <v>1</v>
      </c>
      <c r="F1501" s="91" t="s">
        <v>119</v>
      </c>
      <c r="G1501" s="4"/>
      <c r="H1501" s="4"/>
      <c r="I1501" s="4"/>
    </row>
    <row r="1502" spans="1:9" ht="15">
      <c r="A1502" s="21">
        <f t="shared" si="28"/>
        <v>9</v>
      </c>
      <c r="B1502" s="14" t="s">
        <v>2125</v>
      </c>
      <c r="C1502" s="85" t="str">
        <f ca="1">IFERROR(__xludf.DUMMYFUNCTION("GOOGLETRANSLATE(B1502:B1517,""RU"",""UK"")"),"Різець токарний прохідний упорний. прямий Т5К10 20х20х100 лев")</f>
        <v>Різець токарний прохідний упорний. прямий Т5К10 20х20х100 лев</v>
      </c>
      <c r="D1502" s="15" t="s">
        <v>6</v>
      </c>
      <c r="E1502" s="15">
        <v>5</v>
      </c>
      <c r="F1502" s="91" t="s">
        <v>181</v>
      </c>
      <c r="G1502" s="4"/>
      <c r="H1502" s="4"/>
      <c r="I1502" s="4"/>
    </row>
    <row r="1503" spans="1:9" ht="15">
      <c r="A1503" s="21">
        <f t="shared" si="28"/>
        <v>10</v>
      </c>
      <c r="B1503" s="14" t="s">
        <v>2126</v>
      </c>
      <c r="C1503" s="85" t="str">
        <f ca="1">IFERROR(__xludf.DUMMYFUNCTION("GOOGLETRANSLATE(B1503:B1518,""RU"",""UK"")"),"Різець токарний прохідний упорний. прямий Т5К10 25х20х140")</f>
        <v>Різець токарний прохідний упорний. прямий Т5К10 25х20х140</v>
      </c>
      <c r="D1503" s="15" t="s">
        <v>6</v>
      </c>
      <c r="E1503" s="15">
        <v>1</v>
      </c>
      <c r="F1503" s="91" t="s">
        <v>1553</v>
      </c>
      <c r="G1503" s="4"/>
      <c r="H1503" s="4"/>
      <c r="I1503" s="4"/>
    </row>
    <row r="1504" spans="1:9" ht="15">
      <c r="A1504" s="21">
        <f t="shared" si="28"/>
        <v>11</v>
      </c>
      <c r="B1504" s="14" t="s">
        <v>2127</v>
      </c>
      <c r="C1504" s="85" t="str">
        <f ca="1">IFERROR(__xludf.DUMMYFUNCTION("GOOGLETRANSLATE(B1504:B1519,""RU"",""UK"")"),"Різець токарний прохідний упорний. прямий Т5К10 25х25х120")</f>
        <v>Різець токарний прохідний упорний. прямий Т5К10 25х25х120</v>
      </c>
      <c r="D1504" s="15" t="s">
        <v>6</v>
      </c>
      <c r="E1504" s="15">
        <v>4</v>
      </c>
      <c r="F1504" s="91" t="s">
        <v>185</v>
      </c>
      <c r="G1504" s="4"/>
      <c r="H1504" s="4"/>
      <c r="I1504" s="4"/>
    </row>
    <row r="1505" spans="1:9" ht="15">
      <c r="A1505" s="21">
        <f t="shared" si="28"/>
        <v>12</v>
      </c>
      <c r="B1505" s="14" t="s">
        <v>2128</v>
      </c>
      <c r="C1505" s="85" t="str">
        <f ca="1">IFERROR(__xludf.DUMMYFUNCTION("GOOGLETRANSLATE(B1505:B1520,""RU"",""UK"")"),"Різець токарний прохідний упорний. прямий Т5К10 28х20х140")</f>
        <v>Різець токарний прохідний упорний. прямий Т5К10 28х20х140</v>
      </c>
      <c r="D1505" s="15" t="s">
        <v>6</v>
      </c>
      <c r="E1505" s="15">
        <v>15</v>
      </c>
      <c r="F1505" s="91" t="s">
        <v>136</v>
      </c>
      <c r="G1505" s="4"/>
      <c r="H1505" s="4"/>
      <c r="I1505" s="4"/>
    </row>
    <row r="1506" spans="1:9" ht="15">
      <c r="A1506" s="21">
        <f t="shared" si="28"/>
        <v>13</v>
      </c>
      <c r="B1506" s="14" t="s">
        <v>2129</v>
      </c>
      <c r="C1506" s="85" t="str">
        <f ca="1">IFERROR(__xludf.DUMMYFUNCTION("GOOGLETRANSLATE(B1506:B1521,""RU"",""UK"")"),"Різець токарний прохідний упорний. прямий Т5К10 30х20х140")</f>
        <v>Різець токарний прохідний упорний. прямий Т5К10 30х20х140</v>
      </c>
      <c r="D1506" s="15" t="s">
        <v>6</v>
      </c>
      <c r="E1506" s="15">
        <v>8</v>
      </c>
      <c r="F1506" s="91" t="s">
        <v>348</v>
      </c>
      <c r="G1506" s="4"/>
      <c r="H1506" s="4"/>
      <c r="I1506" s="4"/>
    </row>
    <row r="1507" spans="1:9" ht="15">
      <c r="A1507" s="21">
        <f t="shared" si="28"/>
        <v>14</v>
      </c>
      <c r="B1507" s="14" t="s">
        <v>2130</v>
      </c>
      <c r="C1507" s="85" t="str">
        <f ca="1">IFERROR(__xludf.DUMMYFUNCTION("GOOGLETRANSLATE(B1507:B1522,""RU"",""UK"")"),"Різець токарний прохідний упорний. прямий двостор. Т5К10 30х20х140")</f>
        <v>Різець токарний прохідний упорний. прямий двостор. Т5К10 30х20х140</v>
      </c>
      <c r="D1507" s="15" t="s">
        <v>6</v>
      </c>
      <c r="E1507" s="15">
        <v>4</v>
      </c>
      <c r="F1507" s="91" t="s">
        <v>344</v>
      </c>
      <c r="G1507" s="4"/>
      <c r="H1507" s="4"/>
      <c r="I1507" s="4"/>
    </row>
    <row r="1508" spans="1:9" ht="15">
      <c r="A1508" s="21">
        <f t="shared" si="28"/>
        <v>15</v>
      </c>
      <c r="B1508" s="14" t="s">
        <v>2131</v>
      </c>
      <c r="C1508" s="85" t="str">
        <f ca="1">IFERROR(__xludf.DUMMYFUNCTION("GOOGLETRANSLATE(B1508:B1523,""RU"",""UK"")"),"Різець токарний прохідний упорний. Відігнати. Т5К10 16х12х100пр/16х10х100лев")</f>
        <v>Різець токарний прохідний упорний. Відігнати. Т5К10 16х12х100пр/16х10х100лев</v>
      </c>
      <c r="D1508" s="15" t="s">
        <v>6</v>
      </c>
      <c r="E1508" s="15" t="s">
        <v>2132</v>
      </c>
      <c r="F1508" s="91" t="s">
        <v>201</v>
      </c>
      <c r="G1508" s="4"/>
      <c r="H1508" s="4"/>
      <c r="I1508" s="4"/>
    </row>
    <row r="1509" spans="1:9" ht="15">
      <c r="A1509" s="21">
        <f t="shared" si="28"/>
        <v>16</v>
      </c>
      <c r="B1509" s="14" t="s">
        <v>2133</v>
      </c>
      <c r="C1509" s="85" t="str">
        <f ca="1">IFERROR(__xludf.DUMMYFUNCTION("GOOGLETRANSLATE(B1509:B1524,""RU"",""UK"")"),"Різець токарний прохідний відігнутий Т5К10 12х12х70")</f>
        <v>Різець токарний прохідний відігнутий Т5К10 12х12х70</v>
      </c>
      <c r="D1509" s="15" t="s">
        <v>6</v>
      </c>
      <c r="E1509" s="15">
        <v>4</v>
      </c>
      <c r="F1509" s="91" t="s">
        <v>169</v>
      </c>
      <c r="G1509" s="4"/>
      <c r="H1509" s="4"/>
      <c r="I1509" s="4"/>
    </row>
    <row r="1510" spans="1:9" ht="15">
      <c r="A1510" s="21">
        <f t="shared" si="28"/>
        <v>17</v>
      </c>
      <c r="B1510" s="14" t="s">
        <v>2134</v>
      </c>
      <c r="C1510" s="85" t="str">
        <f ca="1">IFERROR(__xludf.DUMMYFUNCTION("GOOGLETRANSLATE(B1510:B1525,""RU"",""UK"")"),"Різець токарний прохідний відігнутий Т5К10 20х12х120")</f>
        <v>Різець токарний прохідний відігнутий Т5К10 20х12х120</v>
      </c>
      <c r="D1510" s="15" t="s">
        <v>6</v>
      </c>
      <c r="E1510" s="15">
        <v>105</v>
      </c>
      <c r="F1510" s="91" t="s">
        <v>598</v>
      </c>
      <c r="G1510" s="4"/>
      <c r="H1510" s="4"/>
      <c r="I1510" s="4"/>
    </row>
    <row r="1511" spans="1:9" ht="15">
      <c r="A1511" s="21">
        <f t="shared" si="28"/>
        <v>18</v>
      </c>
      <c r="B1511" s="14" t="s">
        <v>2135</v>
      </c>
      <c r="C1511" s="85" t="str">
        <f ca="1">IFERROR(__xludf.DUMMYFUNCTION("GOOGLETRANSLATE(B1511:B1526,""RU"",""UK"")"),"Різець токарний прохідний упорний відігнутий Т5К10 20х12х120")</f>
        <v>Різець токарний прохідний упорний відігнутий Т5К10 20х12х120</v>
      </c>
      <c r="D1511" s="15" t="s">
        <v>6</v>
      </c>
      <c r="E1511" s="15">
        <v>78</v>
      </c>
      <c r="F1511" s="91" t="s">
        <v>209</v>
      </c>
      <c r="G1511" s="4"/>
      <c r="H1511" s="4"/>
      <c r="I1511" s="4"/>
    </row>
    <row r="1512" spans="1:9" ht="15">
      <c r="A1512" s="21">
        <f t="shared" si="28"/>
        <v>19</v>
      </c>
      <c r="B1512" s="14" t="s">
        <v>2136</v>
      </c>
      <c r="C1512" s="85" t="str">
        <f ca="1">IFERROR(__xludf.DUMMYFUNCTION("GOOGLETRANSLATE(B1512:B1527,""RU"",""UK"")"),"Різець токарний прохідний упорний відігнутий Т5К10 20х16х120/лев")</f>
        <v>Різець токарний прохідний упорний відігнутий Т5К10 20х16х120/лев</v>
      </c>
      <c r="D1512" s="15" t="s">
        <v>6</v>
      </c>
      <c r="E1512" s="15" t="s">
        <v>737</v>
      </c>
      <c r="F1512" s="91" t="s">
        <v>183</v>
      </c>
      <c r="G1512" s="4"/>
      <c r="H1512" s="4"/>
      <c r="I1512" s="4"/>
    </row>
    <row r="1513" spans="1:9" ht="15">
      <c r="A1513" s="21">
        <f t="shared" si="28"/>
        <v>20</v>
      </c>
      <c r="B1513" s="14" t="s">
        <v>2137</v>
      </c>
      <c r="C1513" s="85" t="str">
        <f ca="1">IFERROR(__xludf.DUMMYFUNCTION("GOOGLETRANSLATE(B1513:B1528,""RU"",""UK"")"),"Різець токарний прохідний упорний відігнутий Т5К10 20х20х140")</f>
        <v>Різець токарний прохідний упорний відігнутий Т5К10 20х20х140</v>
      </c>
      <c r="D1513" s="15" t="s">
        <v>6</v>
      </c>
      <c r="E1513" s="15">
        <v>10</v>
      </c>
      <c r="F1513" s="91" t="s">
        <v>495</v>
      </c>
      <c r="G1513" s="4"/>
      <c r="H1513" s="4"/>
      <c r="I1513" s="4"/>
    </row>
    <row r="1514" spans="1:9" ht="15">
      <c r="A1514" s="21">
        <f t="shared" si="28"/>
        <v>21</v>
      </c>
      <c r="B1514" s="14" t="s">
        <v>2138</v>
      </c>
      <c r="C1514" s="85" t="str">
        <f ca="1">IFERROR(__xludf.DUMMYFUNCTION("GOOGLETRANSLATE(B1514:B1529,""RU"",""UK"")"),"Різець токарний прохідний відігнутий Т5К10 20х16х120")</f>
        <v>Різець токарний прохідний відігнутий Т5К10 20х16х120</v>
      </c>
      <c r="D1514" s="15" t="s">
        <v>6</v>
      </c>
      <c r="E1514" s="15">
        <v>373</v>
      </c>
      <c r="F1514" s="91" t="s">
        <v>338</v>
      </c>
      <c r="G1514" s="4"/>
      <c r="H1514" s="4"/>
      <c r="I1514" s="4"/>
    </row>
    <row r="1515" spans="1:9" ht="15">
      <c r="A1515" s="21">
        <f t="shared" si="28"/>
        <v>22</v>
      </c>
      <c r="B1515" s="14" t="s">
        <v>2139</v>
      </c>
      <c r="C1515" s="85" t="str">
        <f ca="1">IFERROR(__xludf.DUMMYFUNCTION("GOOGLETRANSLATE(B1515:B1530,""RU"",""UK"")"),"Різець токарний прохідний відігнутий Т5К10 25х16х140/лев")</f>
        <v>Різець токарний прохідний відігнутий Т5К10 25х16х140/лев</v>
      </c>
      <c r="D1515" s="15" t="s">
        <v>6</v>
      </c>
      <c r="E1515" s="15" t="s">
        <v>2140</v>
      </c>
      <c r="F1515" s="91" t="s">
        <v>136</v>
      </c>
      <c r="G1515" s="4"/>
      <c r="H1515" s="4"/>
      <c r="I1515" s="4"/>
    </row>
    <row r="1516" spans="1:9" ht="15">
      <c r="A1516" s="21">
        <f t="shared" si="28"/>
        <v>23</v>
      </c>
      <c r="B1516" s="14" t="s">
        <v>2141</v>
      </c>
      <c r="C1516" s="85" t="str">
        <f ca="1">IFERROR(__xludf.DUMMYFUNCTION("GOOGLETRANSLATE(B1516:B1531,""RU"",""UK"")"),"Різець токарний прохідний відігнутий Т5К10 25х20х140/лев")</f>
        <v>Різець токарний прохідний відігнутий Т5К10 25х20х140/лев</v>
      </c>
      <c r="D1516" s="15" t="s">
        <v>6</v>
      </c>
      <c r="E1516" s="15" t="s">
        <v>2142</v>
      </c>
      <c r="F1516" s="91" t="s">
        <v>344</v>
      </c>
      <c r="G1516" s="4"/>
      <c r="H1516" s="4"/>
      <c r="I1516" s="4"/>
    </row>
    <row r="1517" spans="1:9" ht="15">
      <c r="A1517" s="21">
        <f t="shared" si="28"/>
        <v>24</v>
      </c>
      <c r="B1517" s="14" t="s">
        <v>2143</v>
      </c>
      <c r="C1517" s="85" t="str">
        <f ca="1">IFERROR(__xludf.DUMMYFUNCTION("GOOGLETRANSLATE(B1517:B1532,""RU"",""UK"")"),"Різець токарний прохідний відігнутий Т5К10 25х16х170")</f>
        <v>Різець токарний прохідний відігнутий Т5К10 25х16х170</v>
      </c>
      <c r="D1517" s="15" t="s">
        <v>6</v>
      </c>
      <c r="E1517" s="15">
        <v>7</v>
      </c>
      <c r="F1517" s="91" t="s">
        <v>344</v>
      </c>
      <c r="G1517" s="4"/>
      <c r="H1517" s="4"/>
      <c r="I1517" s="4"/>
    </row>
    <row r="1518" spans="1:9" ht="15">
      <c r="A1518" s="21">
        <f t="shared" si="28"/>
        <v>25</v>
      </c>
      <c r="B1518" s="14" t="s">
        <v>2144</v>
      </c>
      <c r="C1518" s="85" t="str">
        <f ca="1">IFERROR(__xludf.DUMMYFUNCTION("GOOGLETRANSLATE(B1518:B1533,""RU"",""UK"")"),"Різець токарний прохідний упорний прямий Т5К10 25х16х120")</f>
        <v>Різець токарний прохідний упорний прямий Т5К10 25х16х120</v>
      </c>
      <c r="D1518" s="15" t="s">
        <v>6</v>
      </c>
      <c r="E1518" s="15">
        <v>22</v>
      </c>
      <c r="F1518" s="91" t="s">
        <v>371</v>
      </c>
      <c r="G1518" s="4"/>
      <c r="H1518" s="4"/>
      <c r="I1518" s="4"/>
    </row>
    <row r="1519" spans="1:9" ht="15">
      <c r="A1519" s="21">
        <f t="shared" si="28"/>
        <v>26</v>
      </c>
      <c r="B1519" s="14" t="s">
        <v>2145</v>
      </c>
      <c r="C1519" s="85" t="str">
        <f ca="1">IFERROR(__xludf.DUMMYFUNCTION("GOOGLETRANSLATE(B1519:B1534,""RU"",""UK"")"),"Різець токарний прохідний упорний прямий Т5К10 25х16х140 пр/лев")</f>
        <v>Різець токарний прохідний упорний прямий Т5К10 25х16х140 пр/лев</v>
      </c>
      <c r="D1519" s="15" t="s">
        <v>6</v>
      </c>
      <c r="E1519" s="15">
        <v>6</v>
      </c>
      <c r="F1519" s="91" t="s">
        <v>136</v>
      </c>
      <c r="G1519" s="4"/>
      <c r="H1519" s="4"/>
      <c r="I1519" s="4"/>
    </row>
    <row r="1520" spans="1:9" ht="15">
      <c r="A1520" s="21">
        <f t="shared" si="28"/>
        <v>27</v>
      </c>
      <c r="B1520" s="14" t="s">
        <v>2146</v>
      </c>
      <c r="C1520" s="85" t="str">
        <f ca="1">IFERROR(__xludf.DUMMYFUNCTION("GOOGLETRANSLATE(B1520:B1535,""RU"",""UK"")"),"Різець токарний прохідний упорний відігнутий Т5К10 25х16х140")</f>
        <v>Різець токарний прохідний упорний відігнутий Т5К10 25х16х140</v>
      </c>
      <c r="D1520" s="15" t="s">
        <v>6</v>
      </c>
      <c r="E1520" s="15">
        <v>30</v>
      </c>
      <c r="F1520" s="91" t="s">
        <v>1194</v>
      </c>
      <c r="G1520" s="4"/>
      <c r="H1520" s="4"/>
      <c r="I1520" s="4"/>
    </row>
    <row r="1521" spans="1:9" ht="15">
      <c r="A1521" s="21">
        <f t="shared" si="28"/>
        <v>28</v>
      </c>
      <c r="B1521" s="14" t="s">
        <v>2147</v>
      </c>
      <c r="C1521" s="85" t="str">
        <f ca="1">IFERROR(__xludf.DUMMYFUNCTION("GOOGLETRANSLATE(B1521:B1536,""RU"",""UK"")"),"Різець токарний прохідний упорний відігнутий Т5К10 25х16х140 лев")</f>
        <v>Різець токарний прохідний упорний відігнутий Т5К10 25х16х140 лев</v>
      </c>
      <c r="D1521" s="15" t="s">
        <v>6</v>
      </c>
      <c r="E1521" s="15">
        <v>7</v>
      </c>
      <c r="F1521" s="91" t="s">
        <v>344</v>
      </c>
      <c r="G1521" s="4"/>
      <c r="H1521" s="4"/>
      <c r="I1521" s="4"/>
    </row>
    <row r="1522" spans="1:9" ht="15">
      <c r="A1522" s="21">
        <f t="shared" si="28"/>
        <v>29</v>
      </c>
      <c r="B1522" s="14" t="s">
        <v>2148</v>
      </c>
      <c r="C1522" s="85" t="str">
        <f ca="1">IFERROR(__xludf.DUMMYFUNCTION("GOOGLETRANSLATE(B1522:B1537,""RU"",""UK"")"),"Різець токарний прохідний упорний відігнутий Т5К10 25х20х140 лев.")</f>
        <v>Різець токарний прохідний упорний відігнутий Т5К10 25х20х140 лев.</v>
      </c>
      <c r="D1522" s="15" t="s">
        <v>6</v>
      </c>
      <c r="E1522" s="15">
        <v>17</v>
      </c>
      <c r="F1522" s="91" t="s">
        <v>346</v>
      </c>
      <c r="G1522" s="4"/>
      <c r="H1522" s="4"/>
      <c r="I1522" s="4"/>
    </row>
    <row r="1523" spans="1:9" ht="15">
      <c r="A1523" s="21">
        <f t="shared" si="28"/>
        <v>30</v>
      </c>
      <c r="B1523" s="14" t="s">
        <v>2149</v>
      </c>
      <c r="C1523" s="85" t="str">
        <f ca="1">IFERROR(__xludf.DUMMYFUNCTION("GOOGLETRANSLATE(B1523:B1538,""RU"",""UK"")"),"Різець токарний прохідний упорний прямий Т5К10 25х20х140")</f>
        <v>Різець токарний прохідний упорний прямий Т5К10 25х20х140</v>
      </c>
      <c r="D1523" s="15" t="s">
        <v>6</v>
      </c>
      <c r="E1523" s="15">
        <v>12</v>
      </c>
      <c r="F1523" s="91" t="s">
        <v>185</v>
      </c>
      <c r="G1523" s="4"/>
      <c r="H1523" s="4"/>
      <c r="I1523" s="4"/>
    </row>
    <row r="1524" spans="1:9" ht="15">
      <c r="A1524" s="21">
        <f t="shared" si="28"/>
        <v>31</v>
      </c>
      <c r="B1524" s="14" t="s">
        <v>2150</v>
      </c>
      <c r="C1524" s="85" t="str">
        <f ca="1">IFERROR(__xludf.DUMMYFUNCTION("GOOGLETRANSLATE(B1524:B1539,""RU"",""UK"")"),"Різець токарний прохідний упорний прямий Т5К10 30х20х140")</f>
        <v>Різець токарний прохідний упорний прямий Т5К10 30х20х140</v>
      </c>
      <c r="D1524" s="15" t="s">
        <v>6</v>
      </c>
      <c r="E1524" s="15">
        <v>1</v>
      </c>
      <c r="F1524" s="91" t="s">
        <v>136</v>
      </c>
      <c r="G1524" s="4"/>
      <c r="H1524" s="4"/>
      <c r="I1524" s="4"/>
    </row>
    <row r="1525" spans="1:9" ht="15">
      <c r="A1525" s="21">
        <f t="shared" si="28"/>
        <v>32</v>
      </c>
      <c r="B1525" s="14" t="s">
        <v>2151</v>
      </c>
      <c r="C1525" s="85" t="str">
        <f ca="1">IFERROR(__xludf.DUMMYFUNCTION("GOOGLETRANSLATE(B1525:B1540,""RU"",""UK"")"),"Різець токарний прохідний відігнутий Т5К10 32х20х170")</f>
        <v>Різець токарний прохідний відігнутий Т5К10 32х20х170</v>
      </c>
      <c r="D1525" s="15" t="s">
        <v>6</v>
      </c>
      <c r="E1525" s="15">
        <v>337</v>
      </c>
      <c r="F1525" s="91" t="s">
        <v>194</v>
      </c>
      <c r="G1525" s="4"/>
      <c r="H1525" s="4"/>
      <c r="I1525" s="4"/>
    </row>
    <row r="1526" spans="1:9" ht="15">
      <c r="A1526" s="21">
        <f t="shared" si="28"/>
        <v>33</v>
      </c>
      <c r="B1526" s="14" t="s">
        <v>2152</v>
      </c>
      <c r="C1526" s="85" t="str">
        <f ca="1">IFERROR(__xludf.DUMMYFUNCTION("GOOGLETRANSLATE(B1526:B1541,""RU"",""UK"")"),"Різець токарний прохідний відігнутий Т5К10 32х20х170 лев")</f>
        <v>Різець токарний прохідний відігнутий Т5К10 32х20х170 лев</v>
      </c>
      <c r="D1526" s="15" t="s">
        <v>6</v>
      </c>
      <c r="E1526" s="15">
        <v>0</v>
      </c>
      <c r="F1526" s="91" t="s">
        <v>567</v>
      </c>
      <c r="G1526" s="4"/>
      <c r="H1526" s="4"/>
      <c r="I1526" s="4"/>
    </row>
    <row r="1527" spans="1:9" ht="15">
      <c r="A1527" s="21">
        <f t="shared" si="28"/>
        <v>34</v>
      </c>
      <c r="B1527" s="14" t="s">
        <v>2153</v>
      </c>
      <c r="C1527" s="85" t="str">
        <f ca="1">IFERROR(__xludf.DUMMYFUNCTION("GOOGLETRANSLATE(B1527:B1542,""RU"",""UK"")"),"Різець токарний прохідний упорний відігнутий Т5К10 32х20х170")</f>
        <v>Різець токарний прохідний упорний відігнутий Т5К10 32х20х170</v>
      </c>
      <c r="D1527" s="15" t="s">
        <v>6</v>
      </c>
      <c r="E1527" s="15">
        <v>69</v>
      </c>
      <c r="F1527" s="91" t="s">
        <v>319</v>
      </c>
      <c r="G1527" s="4"/>
      <c r="H1527" s="4"/>
      <c r="I1527" s="4"/>
    </row>
    <row r="1528" spans="1:9" ht="15">
      <c r="A1528" s="21">
        <f t="shared" si="28"/>
        <v>35</v>
      </c>
      <c r="B1528" s="14" t="s">
        <v>2154</v>
      </c>
      <c r="C1528" s="85" t="str">
        <f ca="1">IFERROR(__xludf.DUMMYFUNCTION("GOOGLETRANSLATE(B1528:B1543,""RU"",""UK"")"),"Різець токарний прохідний упорний відігнутий Т5К10 32х20х170 лев")</f>
        <v>Різець токарний прохідний упорний відігнутий Т5К10 32х20х170 лев</v>
      </c>
      <c r="D1528" s="15" t="s">
        <v>6</v>
      </c>
      <c r="E1528" s="15">
        <v>0</v>
      </c>
      <c r="F1528" s="91" t="s">
        <v>319</v>
      </c>
      <c r="G1528" s="4"/>
      <c r="H1528" s="4"/>
      <c r="I1528" s="4"/>
    </row>
    <row r="1529" spans="1:9" ht="15">
      <c r="A1529" s="21">
        <f t="shared" si="28"/>
        <v>36</v>
      </c>
      <c r="B1529" s="14" t="s">
        <v>2155</v>
      </c>
      <c r="C1529" s="85" t="str">
        <f ca="1">IFERROR(__xludf.DUMMYFUNCTION("GOOGLETRANSLATE(B1529:B1544,""RU"",""UK"")"),"Різець токарний прохідний відігнутий Т5К10 32х25х160")</f>
        <v>Різець токарний прохідний відігнутий Т5К10 32х25х160</v>
      </c>
      <c r="D1529" s="15" t="s">
        <v>6</v>
      </c>
      <c r="E1529" s="15">
        <v>21</v>
      </c>
      <c r="F1529" s="91" t="s">
        <v>557</v>
      </c>
      <c r="G1529" s="4"/>
      <c r="H1529" s="4"/>
      <c r="I1529" s="4"/>
    </row>
    <row r="1530" spans="1:9" ht="15">
      <c r="A1530" s="21">
        <f t="shared" si="28"/>
        <v>37</v>
      </c>
      <c r="B1530" s="14" t="s">
        <v>2156</v>
      </c>
      <c r="C1530" s="85" t="str">
        <f ca="1">IFERROR(__xludf.DUMMYFUNCTION("GOOGLETRANSLATE(B1530:B1545,""RU"",""UK"")"),"Різець токарний прохідний відігнутий Т5К10 40х25х200")</f>
        <v>Різець токарний прохідний відігнутий Т5К10 40х25х200</v>
      </c>
      <c r="D1530" s="15" t="s">
        <v>6</v>
      </c>
      <c r="E1530" s="15">
        <v>0</v>
      </c>
      <c r="F1530" s="91" t="s">
        <v>140</v>
      </c>
      <c r="G1530" s="4"/>
      <c r="H1530" s="4"/>
      <c r="I1530" s="4"/>
    </row>
    <row r="1531" spans="1:9" ht="15">
      <c r="A1531" s="21">
        <f t="shared" si="28"/>
        <v>38</v>
      </c>
      <c r="B1531" s="14" t="s">
        <v>2157</v>
      </c>
      <c r="C1531" s="85" t="str">
        <f ca="1">IFERROR(__xludf.DUMMYFUNCTION("GOOGLETRANSLATE(B1531:B1546,""RU"",""UK"")"),"Різець токарний прохідний відігнутий Т5К10 40х30х300")</f>
        <v>Різець токарний прохідний відігнутий Т5К10 40х30х300</v>
      </c>
      <c r="D1531" s="15" t="s">
        <v>6</v>
      </c>
      <c r="E1531" s="15">
        <v>0</v>
      </c>
      <c r="F1531" s="91" t="s">
        <v>20</v>
      </c>
      <c r="G1531" s="4"/>
      <c r="H1531" s="4"/>
      <c r="I1531" s="4"/>
    </row>
    <row r="1532" spans="1:9" ht="15">
      <c r="A1532" s="21">
        <f t="shared" si="28"/>
        <v>39</v>
      </c>
      <c r="B1532" s="19" t="s">
        <v>2158</v>
      </c>
      <c r="C1532" s="85" t="str">
        <f ca="1">IFERROR(__xludf.DUMMYFUNCTION("GOOGLETRANSLATE(B1532:B1547,""RU"",""UK"")"),"Різець токарний прохідний відігнутий Т5К10 40х25х200 лев")</f>
        <v>Різець токарний прохідний відігнутий Т5К10 40х25х200 лев</v>
      </c>
      <c r="D1532" s="15" t="s">
        <v>6</v>
      </c>
      <c r="E1532" s="15">
        <v>0</v>
      </c>
      <c r="F1532" s="91" t="s">
        <v>20</v>
      </c>
      <c r="G1532" s="4"/>
      <c r="H1532" s="4"/>
      <c r="I1532" s="4"/>
    </row>
    <row r="1533" spans="1:9" ht="15">
      <c r="A1533" s="21">
        <f t="shared" si="28"/>
        <v>40</v>
      </c>
      <c r="B1533" s="19" t="s">
        <v>2159</v>
      </c>
      <c r="C1533" s="85" t="str">
        <f ca="1">IFERROR(__xludf.DUMMYFUNCTION("GOOGLETRANSLATE(B1533:B1548,""RU"",""UK"")"),"Різець токарний прохідний упорний. відігнутий Т5К10 40х25х200лев")</f>
        <v>Різець токарний прохідний упорний. відігнутий Т5К10 40х25х200лев</v>
      </c>
      <c r="D1533" s="15" t="s">
        <v>6</v>
      </c>
      <c r="E1533" s="15">
        <v>0</v>
      </c>
      <c r="F1533" s="91" t="s">
        <v>20</v>
      </c>
      <c r="G1533" s="4"/>
      <c r="H1533" s="4"/>
      <c r="I1533" s="4"/>
    </row>
    <row r="1534" spans="1:9" ht="15">
      <c r="A1534" s="21">
        <f t="shared" si="28"/>
        <v>41</v>
      </c>
      <c r="B1534" s="19" t="s">
        <v>2160</v>
      </c>
      <c r="C1534" s="85" t="str">
        <f ca="1">IFERROR(__xludf.DUMMYFUNCTION("GOOGLETRANSLATE(B1534:B1549,""RU"",""UK"")"),"Різець токарний прохідний упорний відігнутий Т5К10 40х25х200")</f>
        <v>Різець токарний прохідний упорний відігнутий Т5К10 40х25х200</v>
      </c>
      <c r="D1534" s="15" t="s">
        <v>6</v>
      </c>
      <c r="E1534" s="15">
        <v>0</v>
      </c>
      <c r="F1534" s="91" t="s">
        <v>140</v>
      </c>
      <c r="G1534" s="4"/>
      <c r="H1534" s="4"/>
      <c r="I1534" s="4"/>
    </row>
    <row r="1535" spans="1:9" ht="15">
      <c r="A1535" s="21">
        <f t="shared" si="28"/>
        <v>42</v>
      </c>
      <c r="B1535" s="14" t="s">
        <v>2161</v>
      </c>
      <c r="C1535" s="85" t="str">
        <f ca="1">IFERROR(__xludf.DUMMYFUNCTION("GOOGLETRANSLATE(B1535:B1550,""RU"",""UK"")"),"Різець токарний прохідний прямий Т15К6 10х10х50")</f>
        <v>Різець токарний прохідний прямий Т15К6 10х10х50</v>
      </c>
      <c r="D1535" s="15" t="s">
        <v>6</v>
      </c>
      <c r="E1535" s="15">
        <v>26</v>
      </c>
      <c r="F1535" s="91" t="s">
        <v>124</v>
      </c>
      <c r="G1535" s="4"/>
      <c r="H1535" s="4"/>
      <c r="I1535" s="4"/>
    </row>
    <row r="1536" spans="1:9" ht="15">
      <c r="A1536" s="21">
        <f t="shared" si="28"/>
        <v>43</v>
      </c>
      <c r="B1536" s="14" t="s">
        <v>2162</v>
      </c>
      <c r="C1536" s="85" t="str">
        <f ca="1">IFERROR(__xludf.DUMMYFUNCTION("GOOGLETRANSLATE(B1536:B1551,""RU"",""UK"")"),"Різець токарний прохідний прямий Т15К6 12х12х40лев")</f>
        <v>Різець токарний прохідний прямий Т15К6 12х12х40лев</v>
      </c>
      <c r="D1536" s="15" t="s">
        <v>6</v>
      </c>
      <c r="E1536" s="15">
        <v>2</v>
      </c>
      <c r="F1536" s="91" t="s">
        <v>167</v>
      </c>
      <c r="G1536" s="4"/>
      <c r="H1536" s="4"/>
      <c r="I1536" s="4"/>
    </row>
    <row r="1537" spans="1:9" ht="15">
      <c r="A1537" s="21">
        <f t="shared" si="28"/>
        <v>44</v>
      </c>
      <c r="B1537" s="14" t="s">
        <v>2163</v>
      </c>
      <c r="C1537" s="85" t="str">
        <f ca="1">IFERROR(__xludf.DUMMYFUNCTION("GOOGLETRANSLATE(B1537:B1552,""RU"",""UK"")"),"Різець токарний прохідний прямий Т15К6 12х12х120/14х14х50")</f>
        <v>Різець токарний прохідний прямий Т15К6 12х12х120/14х14х50</v>
      </c>
      <c r="D1537" s="15" t="s">
        <v>6</v>
      </c>
      <c r="E1537" s="15" t="s">
        <v>2164</v>
      </c>
      <c r="F1537" s="91" t="s">
        <v>248</v>
      </c>
      <c r="G1537" s="4"/>
      <c r="H1537" s="4"/>
      <c r="I1537" s="4"/>
    </row>
    <row r="1538" spans="1:9" ht="15">
      <c r="A1538" s="21">
        <f t="shared" si="28"/>
        <v>45</v>
      </c>
      <c r="B1538" s="14" t="s">
        <v>2165</v>
      </c>
      <c r="C1538" s="85" t="str">
        <f ca="1">IFERROR(__xludf.DUMMYFUNCTION("GOOGLETRANSLATE(B1538:B1553,""RU"",""UK"")"),"Різець токарний прохідний прямий Т15К6 14х14х40лев")</f>
        <v>Різець токарний прохідний прямий Т15К6 14х14х40лев</v>
      </c>
      <c r="D1538" s="15" t="s">
        <v>6</v>
      </c>
      <c r="E1538" s="15">
        <v>9</v>
      </c>
      <c r="F1538" s="91" t="s">
        <v>169</v>
      </c>
      <c r="G1538" s="4"/>
      <c r="H1538" s="4"/>
      <c r="I1538" s="4"/>
    </row>
    <row r="1539" spans="1:9" ht="15">
      <c r="A1539" s="21">
        <f t="shared" si="28"/>
        <v>46</v>
      </c>
      <c r="B1539" s="14" t="s">
        <v>2166</v>
      </c>
      <c r="C1539" s="85" t="str">
        <f ca="1">IFERROR(__xludf.DUMMYFUNCTION("GOOGLETRANSLATE(B1539:B1554,""RU"",""UK"")"),"Різець токарний прохідний прямий Т15К6 16х12х90")</f>
        <v>Різець токарний прохідний прямий Т15К6 16х12х90</v>
      </c>
      <c r="D1539" s="15" t="s">
        <v>6</v>
      </c>
      <c r="E1539" s="15">
        <v>2</v>
      </c>
      <c r="F1539" s="91" t="s">
        <v>201</v>
      </c>
      <c r="G1539" s="4"/>
      <c r="H1539" s="4"/>
      <c r="I1539" s="4"/>
    </row>
    <row r="1540" spans="1:9" ht="15">
      <c r="A1540" s="21">
        <f t="shared" si="28"/>
        <v>47</v>
      </c>
      <c r="B1540" s="14" t="s">
        <v>2167</v>
      </c>
      <c r="C1540" s="85" t="str">
        <f ca="1">IFERROR(__xludf.DUMMYFUNCTION("GOOGLETRANSLATE(B1540:B1555,""RU"",""UK"")"),"Різець токарний прохідний прямий Т15К6 16х16х90лев")</f>
        <v>Різець токарний прохідний прямий Т15К6 16х16х90лев</v>
      </c>
      <c r="D1540" s="15" t="s">
        <v>6</v>
      </c>
      <c r="E1540" s="15">
        <v>12</v>
      </c>
      <c r="F1540" s="91" t="s">
        <v>253</v>
      </c>
      <c r="G1540" s="4"/>
      <c r="H1540" s="4"/>
      <c r="I1540" s="4"/>
    </row>
    <row r="1541" spans="1:9" ht="15">
      <c r="A1541" s="21">
        <f t="shared" si="28"/>
        <v>48</v>
      </c>
      <c r="B1541" s="14" t="s">
        <v>2168</v>
      </c>
      <c r="C1541" s="85" t="str">
        <f ca="1">IFERROR(__xludf.DUMMYFUNCTION("GOOGLETRANSLATE(B1541:B1556,""RU"",""UK"")"),"Різець токарний прохідний прямий Т15К6 20х16х120/20х12х120")</f>
        <v>Різець токарний прохідний прямий Т15К6 20х16х120/20х12х120</v>
      </c>
      <c r="D1541" s="15" t="s">
        <v>6</v>
      </c>
      <c r="E1541" s="15" t="s">
        <v>2169</v>
      </c>
      <c r="F1541" s="91" t="s">
        <v>338</v>
      </c>
      <c r="G1541" s="4"/>
      <c r="H1541" s="4"/>
      <c r="I1541" s="4"/>
    </row>
    <row r="1542" spans="1:9" ht="15">
      <c r="A1542" s="21">
        <f t="shared" si="28"/>
        <v>49</v>
      </c>
      <c r="B1542" s="14" t="s">
        <v>2170</v>
      </c>
      <c r="C1542" s="85" t="str">
        <f ca="1">IFERROR(__xludf.DUMMYFUNCTION("GOOGLETRANSLATE(B1542:B1557,""RU"",""UK"")"),"Різець токарний прохідний прямий Т15К6 20х20х100 лев")</f>
        <v>Різець токарний прохідний прямий Т15К6 20х20х100 лев</v>
      </c>
      <c r="D1542" s="15" t="s">
        <v>6</v>
      </c>
      <c r="E1542" s="15">
        <v>32</v>
      </c>
      <c r="F1542" s="91" t="s">
        <v>564</v>
      </c>
      <c r="G1542" s="4"/>
      <c r="H1542" s="4"/>
      <c r="I1542" s="4"/>
    </row>
    <row r="1543" spans="1:9" ht="15">
      <c r="A1543" s="21">
        <f t="shared" si="28"/>
        <v>50</v>
      </c>
      <c r="B1543" s="14" t="s">
        <v>2171</v>
      </c>
      <c r="C1543" s="85" t="str">
        <f ca="1">IFERROR(__xludf.DUMMYFUNCTION("GOOGLETRANSLATE(B1543:B1558,""RU"",""UK"")"),"Різець токарний прохідний прямий Т15К6 25х16х140/25х20х140")</f>
        <v>Різець токарний прохідний прямий Т15К6 25х16х140/25х20х140</v>
      </c>
      <c r="D1543" s="15" t="s">
        <v>6</v>
      </c>
      <c r="E1543" s="15" t="s">
        <v>2172</v>
      </c>
      <c r="F1543" s="91" t="s">
        <v>1553</v>
      </c>
      <c r="G1543" s="4"/>
      <c r="H1543" s="4"/>
      <c r="I1543" s="4"/>
    </row>
    <row r="1544" spans="1:9" ht="15">
      <c r="A1544" s="21">
        <f t="shared" si="28"/>
        <v>51</v>
      </c>
      <c r="B1544" s="14" t="s">
        <v>2173</v>
      </c>
      <c r="C1544" s="85" t="str">
        <f ca="1">IFERROR(__xludf.DUMMYFUNCTION("GOOGLETRANSLATE(B1544:B1559,""RU"",""UK"")"),"Різець токарний прохідний прямий Т15К6 25х20х195/25х16х250")</f>
        <v>Різець токарний прохідний прямий Т15К6 25х20х195/25х16х250</v>
      </c>
      <c r="D1544" s="15" t="s">
        <v>6</v>
      </c>
      <c r="E1544" s="15" t="s">
        <v>2174</v>
      </c>
      <c r="F1544" s="91" t="s">
        <v>185</v>
      </c>
      <c r="G1544" s="4"/>
      <c r="H1544" s="4"/>
      <c r="I1544" s="4"/>
    </row>
    <row r="1545" spans="1:9" ht="15">
      <c r="A1545" s="21">
        <f t="shared" si="28"/>
        <v>52</v>
      </c>
      <c r="B1545" s="14" t="s">
        <v>2175</v>
      </c>
      <c r="C1545" s="85" t="str">
        <f ca="1">IFERROR(__xludf.DUMMYFUNCTION("GOOGLETRANSLATE(B1545:B1560,""RU"",""UK"")"),"Різець токарний прохідний прямий Т15К6 32х20х160")</f>
        <v>Різець токарний прохідний прямий Т15К6 32х20х160</v>
      </c>
      <c r="D1545" s="15" t="s">
        <v>6</v>
      </c>
      <c r="E1545" s="15">
        <v>51</v>
      </c>
      <c r="F1545" s="91" t="s">
        <v>536</v>
      </c>
      <c r="G1545" s="4"/>
      <c r="H1545" s="4"/>
      <c r="I1545" s="4"/>
    </row>
    <row r="1546" spans="1:9" ht="15">
      <c r="A1546" s="21">
        <f t="shared" si="28"/>
        <v>53</v>
      </c>
      <c r="B1546" s="14" t="s">
        <v>2176</v>
      </c>
      <c r="C1546" s="85" t="str">
        <f ca="1">IFERROR(__xludf.DUMMYFUNCTION("GOOGLETRANSLATE(B1546:B1561,""RU"",""UK"")"),"Різець токарний прохідний прямий Т15К6 40х25х200")</f>
        <v>Різець токарний прохідний прямий Т15К6 40х25х200</v>
      </c>
      <c r="D1546" s="15" t="s">
        <v>6</v>
      </c>
      <c r="E1546" s="15">
        <v>62</v>
      </c>
      <c r="F1546" s="91" t="s">
        <v>327</v>
      </c>
      <c r="G1546" s="4"/>
      <c r="H1546" s="4"/>
      <c r="I1546" s="4"/>
    </row>
    <row r="1547" spans="1:9" ht="15">
      <c r="A1547" s="21">
        <f t="shared" si="28"/>
        <v>54</v>
      </c>
      <c r="B1547" s="19" t="s">
        <v>2177</v>
      </c>
      <c r="C1547" s="85" t="str">
        <f ca="1">IFERROR(__xludf.DUMMYFUNCTION("GOOGLETRANSLATE(B1547:B1562,""RU"",""UK"")"),"Різець токарний прохідний упорний Т15К6 12х12х70 лев")</f>
        <v>Різець токарний прохідний упорний Т15К6 12х12х70 лев</v>
      </c>
      <c r="D1547" s="15" t="s">
        <v>6</v>
      </c>
      <c r="E1547" s="15">
        <v>0</v>
      </c>
      <c r="F1547" s="91" t="s">
        <v>169</v>
      </c>
      <c r="G1547" s="4"/>
      <c r="H1547" s="4"/>
      <c r="I1547" s="4"/>
    </row>
    <row r="1548" spans="1:9" ht="15">
      <c r="A1548" s="21">
        <f t="shared" si="28"/>
        <v>55</v>
      </c>
      <c r="B1548" s="19" t="s">
        <v>2178</v>
      </c>
      <c r="C1548" s="85" t="str">
        <f ca="1">IFERROR(__xludf.DUMMYFUNCTION("GOOGLETRANSLATE(B1548:B1563,""RU"",""UK"")"),"Різець токарний прохідний упорний відігнутий Т15К6 16х12х110")</f>
        <v>Різець токарний прохідний упорний відігнутий Т15К6 16х12х110</v>
      </c>
      <c r="D1548" s="15" t="s">
        <v>6</v>
      </c>
      <c r="E1548" s="15">
        <v>0</v>
      </c>
      <c r="F1548" s="91" t="s">
        <v>598</v>
      </c>
      <c r="G1548" s="4"/>
      <c r="H1548" s="4"/>
      <c r="I1548" s="4"/>
    </row>
    <row r="1549" spans="1:9" ht="15">
      <c r="A1549" s="21">
        <f t="shared" si="28"/>
        <v>56</v>
      </c>
      <c r="B1549" s="14" t="s">
        <v>2179</v>
      </c>
      <c r="C1549" s="85" t="str">
        <f ca="1">IFERROR(__xludf.DUMMYFUNCTION("GOOGLETRANSLATE(B1549:B1564,""RU"",""UK"")"),"Різець токарний прохідний відігнутий Т15К6 16х12х100/16х12х100лев")</f>
        <v>Різець токарний прохідний відігнутий Т15К6 16х12х100/16х12х100лев</v>
      </c>
      <c r="D1549" s="15" t="s">
        <v>6</v>
      </c>
      <c r="E1549" s="15" t="s">
        <v>2180</v>
      </c>
      <c r="F1549" s="91" t="s">
        <v>181</v>
      </c>
      <c r="G1549" s="4"/>
      <c r="H1549" s="4"/>
      <c r="I1549" s="4"/>
    </row>
    <row r="1550" spans="1:9" ht="15">
      <c r="A1550" s="21">
        <f t="shared" si="28"/>
        <v>57</v>
      </c>
      <c r="B1550" s="14" t="s">
        <v>2181</v>
      </c>
      <c r="C1550" s="85" t="str">
        <f ca="1">IFERROR(__xludf.DUMMYFUNCTION("GOOGLETRANSLATE(B1550:B1565,""RU"",""UK"")"),"Різець токарний прохідний відігнутий Т15К6 20х12х120")</f>
        <v>Різець токарний прохідний відігнутий Т15К6 20х12х120</v>
      </c>
      <c r="D1550" s="15" t="s">
        <v>6</v>
      </c>
      <c r="E1550" s="15">
        <v>71</v>
      </c>
      <c r="F1550" s="91" t="s">
        <v>183</v>
      </c>
      <c r="G1550" s="4"/>
      <c r="H1550" s="4"/>
      <c r="I1550" s="4"/>
    </row>
    <row r="1551" spans="1:9" ht="15">
      <c r="A1551" s="21">
        <f t="shared" si="28"/>
        <v>58</v>
      </c>
      <c r="B1551" s="14" t="s">
        <v>2182</v>
      </c>
      <c r="C1551" s="85" t="str">
        <f ca="1">IFERROR(__xludf.DUMMYFUNCTION("GOOGLETRANSLATE(B1551:B1566,""RU"",""UK"")"),"Різець токарний прохідний завзятий відігнутий. Т15К6 20х20х80/20х12х120")</f>
        <v>Різець токарний прохідний завзятий відігнутий. Т15К6 20х20х80/20х12х120</v>
      </c>
      <c r="D1551" s="15" t="s">
        <v>6</v>
      </c>
      <c r="E1551" s="15" t="s">
        <v>2183</v>
      </c>
      <c r="F1551" s="91" t="s">
        <v>371</v>
      </c>
      <c r="G1551" s="4"/>
      <c r="H1551" s="4"/>
      <c r="I1551" s="4"/>
    </row>
    <row r="1552" spans="1:9" ht="15">
      <c r="A1552" s="21">
        <f t="shared" si="28"/>
        <v>59</v>
      </c>
      <c r="B1552" s="14" t="s">
        <v>2184</v>
      </c>
      <c r="C1552" s="85" t="str">
        <f ca="1">IFERROR(__xludf.DUMMYFUNCTION("GOOGLETRANSLATE(B1552:B1567,""RU"",""UK"")"),"Різець токарний прохідний відігнутий Т15К6 20х16х120")</f>
        <v>Різець токарний прохідний відігнутий Т15К6 20х16х120</v>
      </c>
      <c r="D1552" s="15" t="s">
        <v>6</v>
      </c>
      <c r="E1552" s="15">
        <v>411</v>
      </c>
      <c r="F1552" s="91" t="s">
        <v>371</v>
      </c>
      <c r="G1552" s="4"/>
      <c r="H1552" s="4"/>
      <c r="I1552" s="4"/>
    </row>
    <row r="1553" spans="1:9" ht="15">
      <c r="A1553" s="21">
        <f t="shared" si="28"/>
        <v>60</v>
      </c>
      <c r="B1553" s="14" t="s">
        <v>2185</v>
      </c>
      <c r="C1553" s="85" t="str">
        <f ca="1">IFERROR(__xludf.DUMMYFUNCTION("GOOGLETRANSLATE(B1553:B1568,""RU"",""UK"")"),"Різець токарний прохідний упорний відігнутий Т15К6 20х16х120")</f>
        <v>Різець токарний прохідний упорний відігнутий Т15К6 20х16х120</v>
      </c>
      <c r="D1553" s="15" t="s">
        <v>6</v>
      </c>
      <c r="E1553" s="15">
        <v>107</v>
      </c>
      <c r="F1553" s="91" t="s">
        <v>338</v>
      </c>
      <c r="G1553" s="4"/>
      <c r="H1553" s="4"/>
      <c r="I1553" s="4"/>
    </row>
    <row r="1554" spans="1:9" ht="15">
      <c r="A1554" s="21">
        <f t="shared" si="28"/>
        <v>61</v>
      </c>
      <c r="B1554" s="14" t="s">
        <v>2186</v>
      </c>
      <c r="C1554" s="85" t="str">
        <f ca="1">IFERROR(__xludf.DUMMYFUNCTION("GOOGLETRANSLATE(B1554:B1569,""RU"",""UK"")"),"Різець токарний прохідний відігнутий Т15К6 20х20х140")</f>
        <v>Різець токарний прохідний відігнутий Т15К6 20х20х140</v>
      </c>
      <c r="D1554" s="15" t="s">
        <v>6</v>
      </c>
      <c r="E1554" s="15">
        <v>9</v>
      </c>
      <c r="F1554" s="91" t="s">
        <v>338</v>
      </c>
      <c r="G1554" s="4"/>
      <c r="H1554" s="4"/>
      <c r="I1554" s="4"/>
    </row>
    <row r="1555" spans="1:9" ht="15">
      <c r="A1555" s="21">
        <f t="shared" si="28"/>
        <v>62</v>
      </c>
      <c r="B1555" s="16" t="s">
        <v>2187</v>
      </c>
      <c r="C1555" s="85" t="str">
        <f ca="1">IFERROR(__xludf.DUMMYFUNCTION("GOOGLETRANSLATE(B1555:B1570,""RU"",""UK"")"),"Різець токарний прохідний відігнутий Т15К6 25х16х140")</f>
        <v>Різець токарний прохідний відігнутий Т15К6 25х16х140</v>
      </c>
      <c r="D1555" s="15" t="s">
        <v>6</v>
      </c>
      <c r="E1555" s="15">
        <v>557</v>
      </c>
      <c r="F1555" s="91" t="s">
        <v>136</v>
      </c>
      <c r="G1555" s="4"/>
      <c r="H1555" s="4"/>
      <c r="I1555" s="4"/>
    </row>
    <row r="1556" spans="1:9" ht="15">
      <c r="A1556" s="21">
        <f t="shared" si="28"/>
        <v>63</v>
      </c>
      <c r="B1556" s="16" t="s">
        <v>2188</v>
      </c>
      <c r="C1556" s="85" t="str">
        <f ca="1">IFERROR(__xludf.DUMMYFUNCTION("GOOGLETRANSLATE(B1556:B1571,""RU"",""UK"")"),"Різець токарний прохідний відігнутий Т15К6 25х16х140 лев")</f>
        <v>Різець токарний прохідний відігнутий Т15К6 25х16х140 лев</v>
      </c>
      <c r="D1556" s="15" t="s">
        <v>6</v>
      </c>
      <c r="E1556" s="15">
        <v>51</v>
      </c>
      <c r="F1556" s="91" t="s">
        <v>344</v>
      </c>
      <c r="G1556" s="4"/>
      <c r="H1556" s="4"/>
      <c r="I1556" s="4"/>
    </row>
    <row r="1557" spans="1:9" ht="15">
      <c r="A1557" s="21">
        <f t="shared" si="28"/>
        <v>64</v>
      </c>
      <c r="B1557" s="14" t="s">
        <v>2189</v>
      </c>
      <c r="C1557" s="85" t="str">
        <f ca="1">IFERROR(__xludf.DUMMYFUNCTION("GOOGLETRANSLATE(B1557:B1572,""RU"",""UK"")"),"Різець токарний прохідний відігнутий Т30К4 25х16х140")</f>
        <v>Різець токарний прохідний відігнутий Т30К4 25х16х140</v>
      </c>
      <c r="D1557" s="15" t="s">
        <v>6</v>
      </c>
      <c r="E1557" s="15">
        <v>8</v>
      </c>
      <c r="F1557" s="91" t="s">
        <v>136</v>
      </c>
      <c r="G1557" s="4"/>
      <c r="H1557" s="4"/>
      <c r="I1557" s="4"/>
    </row>
    <row r="1558" spans="1:9" ht="15">
      <c r="A1558" s="21">
        <f t="shared" si="28"/>
        <v>65</v>
      </c>
      <c r="B1558" s="16" t="s">
        <v>2190</v>
      </c>
      <c r="C1558" s="85" t="str">
        <f ca="1">IFERROR(__xludf.DUMMYFUNCTION("GOOGLETRANSLATE(B1558:B1573,""RU"",""UK"")"),"Різець токарний прохідний упорний відігнутий Т15К6 25х16х140")</f>
        <v>Різець токарний прохідний упорний відігнутий Т15К6 25х16х140</v>
      </c>
      <c r="D1558" s="15" t="s">
        <v>6</v>
      </c>
      <c r="E1558" s="17">
        <v>104</v>
      </c>
      <c r="F1558" s="91" t="s">
        <v>1194</v>
      </c>
      <c r="G1558" s="4"/>
      <c r="H1558" s="4"/>
      <c r="I1558" s="4"/>
    </row>
    <row r="1559" spans="1:9" ht="15">
      <c r="A1559" s="21">
        <f t="shared" si="28"/>
        <v>66</v>
      </c>
      <c r="B1559" s="14" t="s">
        <v>2191</v>
      </c>
      <c r="C1559" s="85" t="str">
        <f ca="1">IFERROR(__xludf.DUMMYFUNCTION("GOOGLETRANSLATE(B1559:B1574,""RU"",""UK"")"),"Різець токарний прохідний упорний відігнутий Т15К6 25х16х140 лев")</f>
        <v>Різець токарний прохідний упорний відігнутий Т15К6 25х16х140 лев</v>
      </c>
      <c r="D1559" s="15" t="s">
        <v>6</v>
      </c>
      <c r="E1559" s="15">
        <v>238</v>
      </c>
      <c r="F1559" s="91" t="s">
        <v>344</v>
      </c>
      <c r="G1559" s="4"/>
      <c r="H1559" s="4"/>
      <c r="I1559" s="4"/>
    </row>
    <row r="1560" spans="1:9" ht="15">
      <c r="A1560" s="21">
        <f t="shared" ref="A1560:A1623" si="29">A1559+1</f>
        <v>67</v>
      </c>
      <c r="B1560" s="16" t="s">
        <v>2192</v>
      </c>
      <c r="C1560" s="85" t="str">
        <f ca="1">IFERROR(__xludf.DUMMYFUNCTION("GOOGLETRANSLATE(B1560:B1575,""RU"",""UK"")"),"Різець токарний прохідний упорний відігнутий Т15К6 25х16х140 прав-лев")</f>
        <v>Різець токарний прохідний упорний відігнутий Т15К6 25х16х140 прав-лев</v>
      </c>
      <c r="D1560" s="15" t="s">
        <v>6</v>
      </c>
      <c r="E1560" s="17">
        <v>7</v>
      </c>
      <c r="F1560" s="91" t="s">
        <v>344</v>
      </c>
      <c r="G1560" s="4"/>
      <c r="H1560" s="4"/>
      <c r="I1560" s="4"/>
    </row>
    <row r="1561" spans="1:9" ht="15">
      <c r="A1561" s="21">
        <f t="shared" si="29"/>
        <v>68</v>
      </c>
      <c r="B1561" s="16" t="s">
        <v>2193</v>
      </c>
      <c r="C1561" s="85" t="str">
        <f ca="1">IFERROR(__xludf.DUMMYFUNCTION("GOOGLETRANSLATE(B1561:B1576,""RU"",""UK"")"),"Різець токарний прохідний упорний прямий Т15К6 25х16х120")</f>
        <v>Різець токарний прохідний упорний прямий Т15К6 25х16х120</v>
      </c>
      <c r="D1561" s="17" t="s">
        <v>6</v>
      </c>
      <c r="E1561" s="17">
        <v>0</v>
      </c>
      <c r="F1561" s="92" t="s">
        <v>136</v>
      </c>
      <c r="G1561" s="4"/>
      <c r="H1561" s="4"/>
      <c r="I1561" s="4"/>
    </row>
    <row r="1562" spans="1:9" ht="15">
      <c r="A1562" s="21">
        <f t="shared" si="29"/>
        <v>69</v>
      </c>
      <c r="B1562" s="14" t="s">
        <v>2194</v>
      </c>
      <c r="C1562" s="85" t="str">
        <f ca="1">IFERROR(__xludf.DUMMYFUNCTION("GOOGLETRANSLATE(B1562:B1577,""RU"",""UK"")"),"Різець токарний прохідний упорний відігнутий Т14К8 25х16х140")</f>
        <v>Різець токарний прохідний упорний відігнутий Т14К8 25х16х140</v>
      </c>
      <c r="D1562" s="15" t="s">
        <v>6</v>
      </c>
      <c r="E1562" s="15">
        <v>9</v>
      </c>
      <c r="F1562" s="91" t="s">
        <v>136</v>
      </c>
      <c r="G1562" s="4"/>
      <c r="H1562" s="4"/>
      <c r="I1562" s="4"/>
    </row>
    <row r="1563" spans="1:9" ht="15">
      <c r="A1563" s="21">
        <f t="shared" si="29"/>
        <v>70</v>
      </c>
      <c r="B1563" s="61" t="s">
        <v>2195</v>
      </c>
      <c r="C1563" s="85" t="str">
        <f ca="1">IFERROR(__xludf.DUMMYFUNCTION("GOOGLETRANSLATE(B1563:B1578,""RU"",""UK"")"),"Різець токарний прохідний упорний відігнутий Т15К6 25х20х140")</f>
        <v>Різець токарний прохідний упорний відігнутий Т15К6 25х20х140</v>
      </c>
      <c r="D1563" s="15" t="s">
        <v>6</v>
      </c>
      <c r="E1563" s="17">
        <v>85</v>
      </c>
      <c r="F1563" s="91" t="s">
        <v>136</v>
      </c>
      <c r="G1563" s="4"/>
      <c r="H1563" s="4"/>
      <c r="I1563" s="4"/>
    </row>
    <row r="1564" spans="1:9" ht="15">
      <c r="A1564" s="21">
        <f t="shared" si="29"/>
        <v>71</v>
      </c>
      <c r="B1564" s="16" t="s">
        <v>2196</v>
      </c>
      <c r="C1564" s="85" t="str">
        <f ca="1">IFERROR(__xludf.DUMMYFUNCTION("GOOGLETRANSLATE(B1564:B1579,""RU"",""UK"")"),"Різець токарний прохідний упорний відігнутий Т15К6 25х25х200")</f>
        <v>Різець токарний прохідний упорний відігнутий Т15К6 25х25х200</v>
      </c>
      <c r="D1564" s="15" t="s">
        <v>6</v>
      </c>
      <c r="E1564" s="62">
        <v>23</v>
      </c>
      <c r="F1564" s="91" t="s">
        <v>136</v>
      </c>
      <c r="G1564" s="4"/>
      <c r="H1564" s="4"/>
      <c r="I1564" s="4"/>
    </row>
    <row r="1565" spans="1:9" ht="15">
      <c r="A1565" s="21">
        <f t="shared" si="29"/>
        <v>72</v>
      </c>
      <c r="B1565" s="14" t="s">
        <v>2197</v>
      </c>
      <c r="C1565" s="85" t="str">
        <f ca="1">IFERROR(__xludf.DUMMYFUNCTION("GOOGLETRANSLATE(B1565:B1580,""RU"",""UK"")"),"Різець токарний прохідний відігнутий Т15К6 25х20х140")</f>
        <v>Різець токарний прохідний відігнутий Т15К6 25х20х140</v>
      </c>
      <c r="D1565" s="15" t="s">
        <v>6</v>
      </c>
      <c r="E1565" s="15">
        <v>894</v>
      </c>
      <c r="F1565" s="91" t="s">
        <v>344</v>
      </c>
      <c r="G1565" s="4"/>
      <c r="H1565" s="4"/>
      <c r="I1565" s="4"/>
    </row>
    <row r="1566" spans="1:9" ht="15">
      <c r="A1566" s="21">
        <f t="shared" si="29"/>
        <v>73</v>
      </c>
      <c r="B1566" s="14" t="s">
        <v>2198</v>
      </c>
      <c r="C1566" s="85" t="str">
        <f ca="1">IFERROR(__xludf.DUMMYFUNCTION("GOOGLETRANSLATE(B1566:B1581,""RU"",""UK"")"),"Різець токарний прохідний відігнутий Т15К6 25х20х170")</f>
        <v>Різець токарний прохідний відігнутий Т15К6 25х20х170</v>
      </c>
      <c r="D1566" s="15" t="s">
        <v>6</v>
      </c>
      <c r="E1566" s="15">
        <v>164</v>
      </c>
      <c r="F1566" s="91" t="s">
        <v>194</v>
      </c>
      <c r="G1566" s="4"/>
      <c r="H1566" s="4"/>
      <c r="I1566" s="4"/>
    </row>
    <row r="1567" spans="1:9" ht="15">
      <c r="A1567" s="21">
        <f t="shared" si="29"/>
        <v>74</v>
      </c>
      <c r="B1567" s="14" t="s">
        <v>2199</v>
      </c>
      <c r="C1567" s="85" t="str">
        <f ca="1">IFERROR(__xludf.DUMMYFUNCTION("GOOGLETRANSLATE(B1567:B1582,""RU"",""UK"")"),"Різець токарний прохідний відігнутий Т15К6 32х20х170")</f>
        <v>Різець токарний прохідний відігнутий Т15К6 32х20х170</v>
      </c>
      <c r="D1567" s="15" t="s">
        <v>6</v>
      </c>
      <c r="E1567" s="15">
        <v>970</v>
      </c>
      <c r="F1567" s="91" t="s">
        <v>317</v>
      </c>
      <c r="G1567" s="4"/>
      <c r="H1567" s="4"/>
      <c r="I1567" s="4"/>
    </row>
    <row r="1568" spans="1:9" ht="15">
      <c r="A1568" s="21">
        <f t="shared" si="29"/>
        <v>75</v>
      </c>
      <c r="B1568" s="14" t="s">
        <v>2200</v>
      </c>
      <c r="C1568" s="85" t="str">
        <f ca="1">IFERROR(__xludf.DUMMYFUNCTION("GOOGLETRANSLATE(B1568:B1583,""RU"",""UK"")"),"Різець токарний прохідний відігнутий Т15К6 32х25х170")</f>
        <v>Різець токарний прохідний відігнутий Т15К6 32х25х170</v>
      </c>
      <c r="D1568" s="15" t="s">
        <v>6</v>
      </c>
      <c r="E1568" s="15">
        <v>644</v>
      </c>
      <c r="F1568" s="91" t="s">
        <v>428</v>
      </c>
      <c r="G1568" s="4"/>
      <c r="H1568" s="4"/>
      <c r="I1568" s="4"/>
    </row>
    <row r="1569" spans="1:9" ht="15">
      <c r="A1569" s="21">
        <f t="shared" si="29"/>
        <v>76</v>
      </c>
      <c r="B1569" s="14" t="s">
        <v>2201</v>
      </c>
      <c r="C1569" s="85" t="str">
        <f ca="1">IFERROR(__xludf.DUMMYFUNCTION("GOOGLETRANSLATE(B1569:B1584,""RU"",""UK"")"),"Різець токарний прохідний відігнутий Т15К6 32х25х170 лев")</f>
        <v>Різець токарний прохідний відігнутий Т15К6 32х25х170 лев</v>
      </c>
      <c r="D1569" s="15" t="s">
        <v>6</v>
      </c>
      <c r="E1569" s="15">
        <v>71</v>
      </c>
      <c r="F1569" s="91" t="s">
        <v>1320</v>
      </c>
      <c r="G1569" s="4"/>
      <c r="H1569" s="4"/>
      <c r="I1569" s="4"/>
    </row>
    <row r="1570" spans="1:9" ht="15">
      <c r="A1570" s="21">
        <f t="shared" si="29"/>
        <v>77</v>
      </c>
      <c r="B1570" s="14" t="s">
        <v>2202</v>
      </c>
      <c r="C1570" s="85" t="str">
        <f ca="1">IFERROR(__xludf.DUMMYFUNCTION("GOOGLETRANSLATE(B1570:B1585,""RU"",""UK"")"),"Різець токарний прохідний упорний відігнутий Т15К6 32х20х170")</f>
        <v>Різець токарний прохідний упорний відігнутий Т15К6 32х20х170</v>
      </c>
      <c r="D1570" s="15" t="s">
        <v>6</v>
      </c>
      <c r="E1570" s="15">
        <v>92</v>
      </c>
      <c r="F1570" s="91" t="s">
        <v>428</v>
      </c>
      <c r="G1570" s="4"/>
      <c r="H1570" s="4"/>
      <c r="I1570" s="4"/>
    </row>
    <row r="1571" spans="1:9" ht="15">
      <c r="A1571" s="21">
        <f t="shared" si="29"/>
        <v>78</v>
      </c>
      <c r="B1571" s="14" t="s">
        <v>2203</v>
      </c>
      <c r="C1571" s="85" t="str">
        <f ca="1">IFERROR(__xludf.DUMMYFUNCTION("GOOGLETRANSLATE(B1571:B1586,""RU"",""UK"")"),"Різець токарний прохідний упорний відігнутий Т15К6 32х20х170лев")</f>
        <v>Різець токарний прохідний упорний відігнутий Т15К6 32х20х170лев</v>
      </c>
      <c r="D1571" s="15" t="s">
        <v>6</v>
      </c>
      <c r="E1571" s="15">
        <v>16</v>
      </c>
      <c r="F1571" s="91" t="s">
        <v>319</v>
      </c>
      <c r="G1571" s="4"/>
      <c r="H1571" s="4"/>
      <c r="I1571" s="4"/>
    </row>
    <row r="1572" spans="1:9" ht="15">
      <c r="A1572" s="21">
        <f t="shared" si="29"/>
        <v>79</v>
      </c>
      <c r="B1572" s="14" t="s">
        <v>2204</v>
      </c>
      <c r="C1572" s="85" t="str">
        <f ca="1">IFERROR(__xludf.DUMMYFUNCTION("GOOGLETRANSLATE(B1572:B1587,""RU"",""UK"")"),"Різець токарний прохідний відігнутий Т15К6 40х25х200")</f>
        <v>Різець токарний прохідний відігнутий Т15К6 40х25х200</v>
      </c>
      <c r="D1572" s="15" t="s">
        <v>6</v>
      </c>
      <c r="E1572" s="15">
        <v>91</v>
      </c>
      <c r="F1572" s="91" t="s">
        <v>140</v>
      </c>
      <c r="G1572" s="4"/>
      <c r="H1572" s="4"/>
      <c r="I1572" s="4"/>
    </row>
    <row r="1573" spans="1:9" ht="15">
      <c r="A1573" s="21">
        <f t="shared" si="29"/>
        <v>80</v>
      </c>
      <c r="B1573" s="14" t="s">
        <v>2205</v>
      </c>
      <c r="C1573" s="85" t="str">
        <f ca="1">IFERROR(__xludf.DUMMYFUNCTION("GOOGLETRANSLATE(B1573:B1588,""RU"",""UK"")"),"Різець токарний прохідний відігнутий Т15К6 40х25х200 лев")</f>
        <v>Різець токарний прохідний відігнутий Т15К6 40х25х200 лев</v>
      </c>
      <c r="D1573" s="15" t="s">
        <v>6</v>
      </c>
      <c r="E1573" s="15">
        <v>20</v>
      </c>
      <c r="F1573" s="91" t="s">
        <v>20</v>
      </c>
      <c r="G1573" s="4"/>
      <c r="H1573" s="4"/>
      <c r="I1573" s="4"/>
    </row>
    <row r="1574" spans="1:9" ht="15">
      <c r="A1574" s="21">
        <f t="shared" si="29"/>
        <v>81</v>
      </c>
      <c r="B1574" s="16" t="s">
        <v>2206</v>
      </c>
      <c r="C1574" s="85" t="str">
        <f ca="1">IFERROR(__xludf.DUMMYFUNCTION("GOOGLETRANSLATE(B1574:B1589,""RU"",""UK"")"),"Різець токарний прохідний упорний відігнутий Т15К6 40х25х200")</f>
        <v>Різець токарний прохідний упорний відігнутий Т15К6 40х25х200</v>
      </c>
      <c r="D1574" s="15" t="s">
        <v>6</v>
      </c>
      <c r="E1574" s="15">
        <v>65</v>
      </c>
      <c r="F1574" s="91" t="s">
        <v>140</v>
      </c>
      <c r="G1574" s="4"/>
      <c r="H1574" s="4"/>
      <c r="I1574" s="4"/>
    </row>
    <row r="1575" spans="1:9" ht="15">
      <c r="A1575" s="21">
        <f t="shared" si="29"/>
        <v>82</v>
      </c>
      <c r="B1575" s="16" t="s">
        <v>2207</v>
      </c>
      <c r="C1575" s="85" t="str">
        <f ca="1">IFERROR(__xludf.DUMMYFUNCTION("GOOGLETRANSLATE(B1575:B1590,""RU"",""UK"")"),"Різець токарний прохідний упорний відігнутий Т15К6 40х25х200 лев")</f>
        <v>Різець токарний прохідний упорний відігнутий Т15К6 40х25х200 лев</v>
      </c>
      <c r="D1575" s="15" t="s">
        <v>6</v>
      </c>
      <c r="E1575" s="15">
        <v>34</v>
      </c>
      <c r="F1575" s="91" t="s">
        <v>20</v>
      </c>
      <c r="G1575" s="4"/>
      <c r="H1575" s="4"/>
      <c r="I1575" s="4"/>
    </row>
    <row r="1576" spans="1:9" ht="15">
      <c r="A1576" s="21">
        <f t="shared" si="29"/>
        <v>83</v>
      </c>
      <c r="B1576" s="14" t="s">
        <v>2208</v>
      </c>
      <c r="C1576" s="85" t="str">
        <f ca="1">IFERROR(__xludf.DUMMYFUNCTION("GOOGLETRANSLATE(B1576:B1591,""RU"",""UK"")"),"Різець токарний прохідний прямий ВК8 7х8х25/8х25")</f>
        <v>Різець токарний прохідний прямий ВК8 7х8х25/8х25</v>
      </c>
      <c r="D1576" s="15" t="s">
        <v>6</v>
      </c>
      <c r="E1576" s="15" t="s">
        <v>2209</v>
      </c>
      <c r="F1576" s="91" t="s">
        <v>361</v>
      </c>
      <c r="G1576" s="4"/>
      <c r="H1576" s="4"/>
      <c r="I1576" s="4"/>
    </row>
    <row r="1577" spans="1:9" ht="15">
      <c r="A1577" s="21">
        <f t="shared" si="29"/>
        <v>84</v>
      </c>
      <c r="B1577" s="14" t="s">
        <v>2210</v>
      </c>
      <c r="C1577" s="85" t="str">
        <f ca="1">IFERROR(__xludf.DUMMYFUNCTION("GOOGLETRANSLATE(B1577:B1592,""RU"",""UK"")"),"Різець токарний прохідний прямий ВК8 8х17х35/10х30")</f>
        <v>Різець токарний прохідний прямий ВК8 8х17х35/10х30</v>
      </c>
      <c r="D1577" s="15" t="s">
        <v>6</v>
      </c>
      <c r="E1577" s="15" t="s">
        <v>2211</v>
      </c>
      <c r="F1577" s="91" t="s">
        <v>286</v>
      </c>
      <c r="G1577" s="4"/>
      <c r="H1577" s="4"/>
      <c r="I1577" s="4"/>
    </row>
    <row r="1578" spans="1:9" ht="15">
      <c r="A1578" s="21">
        <f t="shared" si="29"/>
        <v>85</v>
      </c>
      <c r="B1578" s="14" t="s">
        <v>2212</v>
      </c>
      <c r="C1578" s="85" t="str">
        <f ca="1">IFERROR(__xludf.DUMMYFUNCTION("GOOGLETRANSLATE(B1578:B1593,""RU"",""UK"")"),"Різець токарний прохідний прямий ВК8 8х8х40/8х8х50лев /10х10х25")</f>
        <v>Різець токарний прохідний прямий ВК8 8х8х40/8х8х50лев /10х10х25</v>
      </c>
      <c r="D1578" s="15" t="s">
        <v>6</v>
      </c>
      <c r="E1578" s="15" t="s">
        <v>2213</v>
      </c>
      <c r="F1578" s="91" t="s">
        <v>417</v>
      </c>
      <c r="G1578" s="4"/>
      <c r="H1578" s="4"/>
      <c r="I1578" s="4"/>
    </row>
    <row r="1579" spans="1:9" ht="15">
      <c r="A1579" s="21">
        <f t="shared" si="29"/>
        <v>86</v>
      </c>
      <c r="B1579" s="14" t="s">
        <v>2214</v>
      </c>
      <c r="C1579" s="85" t="str">
        <f ca="1">IFERROR(__xludf.DUMMYFUNCTION("GOOGLETRANSLATE(B1579:B1594,""RU"",""UK"")"),"Різець токарний прохідний прямий ВК8 10х10х40/10х10х40лев")</f>
        <v>Різець токарний прохідний прямий ВК8 10х10х40/10х10х40лев</v>
      </c>
      <c r="D1579" s="15" t="s">
        <v>6</v>
      </c>
      <c r="E1579" s="15" t="s">
        <v>2215</v>
      </c>
      <c r="F1579" s="91" t="s">
        <v>417</v>
      </c>
      <c r="G1579" s="4"/>
      <c r="H1579" s="4"/>
      <c r="I1579" s="4"/>
    </row>
    <row r="1580" spans="1:9" ht="15">
      <c r="A1580" s="21">
        <f t="shared" si="29"/>
        <v>87</v>
      </c>
      <c r="B1580" s="14" t="s">
        <v>2216</v>
      </c>
      <c r="C1580" s="85" t="str">
        <f ca="1">IFERROR(__xludf.DUMMYFUNCTION("GOOGLETRANSLATE(B1580:B1595,""RU"",""UK"")"),"Різець токарний прохідний прямий ВК8 12х12х50/12х12х60/12х12х70")</f>
        <v>Різець токарний прохідний прямий ВК8 12х12х50/12х12х60/12х12х70</v>
      </c>
      <c r="D1580" s="15" t="s">
        <v>6</v>
      </c>
      <c r="E1580" s="15" t="s">
        <v>2217</v>
      </c>
      <c r="F1580" s="91" t="s">
        <v>366</v>
      </c>
      <c r="G1580" s="4"/>
      <c r="H1580" s="4"/>
      <c r="I1580" s="4"/>
    </row>
    <row r="1581" spans="1:9" ht="15">
      <c r="A1581" s="21">
        <f t="shared" si="29"/>
        <v>88</v>
      </c>
      <c r="B1581" s="14" t="s">
        <v>2218</v>
      </c>
      <c r="C1581" s="85" t="str">
        <f ca="1">IFERROR(__xludf.DUMMYFUNCTION("GOOGLETRANSLATE(B1581:B1596,""RU"",""UK"")"),"Різець токарний прохідний прямий ВК8 11х12х65/12х12х50лев/12х12х70лев")</f>
        <v>Різець токарний прохідний прямий ВК8 11х12х65/12х12х50лев/12х12х70лев</v>
      </c>
      <c r="D1581" s="15" t="s">
        <v>6</v>
      </c>
      <c r="E1581" s="15" t="s">
        <v>2219</v>
      </c>
      <c r="F1581" s="91" t="s">
        <v>134</v>
      </c>
      <c r="G1581" s="4"/>
      <c r="H1581" s="4"/>
      <c r="I1581" s="4"/>
    </row>
    <row r="1582" spans="1:9" ht="15">
      <c r="A1582" s="21">
        <f t="shared" si="29"/>
        <v>89</v>
      </c>
      <c r="B1582" s="14" t="s">
        <v>2220</v>
      </c>
      <c r="C1582" s="85" t="str">
        <f ca="1">IFERROR(__xludf.DUMMYFUNCTION("GOOGLETRANSLATE(B1582:B1597,""RU"",""UK"")"),"Різець токарний прохідний прямий ВК8 16х16х60лев / 16х12х80")</f>
        <v>Різець токарний прохідний прямий ВК8 16х16х60лев / 16х12х80</v>
      </c>
      <c r="D1582" s="15" t="s">
        <v>6</v>
      </c>
      <c r="E1582" s="15" t="s">
        <v>2221</v>
      </c>
      <c r="F1582" s="91" t="s">
        <v>167</v>
      </c>
      <c r="G1582" s="4"/>
      <c r="H1582" s="4"/>
      <c r="I1582" s="4"/>
    </row>
    <row r="1583" spans="1:9" ht="15">
      <c r="A1583" s="21">
        <f t="shared" si="29"/>
        <v>90</v>
      </c>
      <c r="B1583" s="14" t="s">
        <v>2222</v>
      </c>
      <c r="C1583" s="85" t="str">
        <f ca="1">IFERROR(__xludf.DUMMYFUNCTION("GOOGLETRANSLATE(B1583:B1598,""RU"",""UK"")"),"Різець токарний прохідний прямий ВК8 16х16х70/16х16х80")</f>
        <v>Різець токарний прохідний прямий ВК8 16х16х70/16х16х80</v>
      </c>
      <c r="D1583" s="15" t="s">
        <v>6</v>
      </c>
      <c r="E1583" s="15" t="s">
        <v>2223</v>
      </c>
      <c r="F1583" s="91" t="s">
        <v>167</v>
      </c>
      <c r="G1583" s="4"/>
      <c r="H1583" s="4"/>
      <c r="I1583" s="4"/>
    </row>
    <row r="1584" spans="1:9" ht="15">
      <c r="A1584" s="21">
        <f t="shared" si="29"/>
        <v>91</v>
      </c>
      <c r="B1584" s="14" t="s">
        <v>2224</v>
      </c>
      <c r="C1584" s="85" t="str">
        <f ca="1">IFERROR(__xludf.DUMMYFUNCTION("GOOGLETRANSLATE(B1584:B1599,""RU"",""UK"")"),"Різець токарний прохідний прям ВК8 16х16х70лев /16х16х80лев")</f>
        <v>Різець токарний прохідний прям ВК8 16х16х70лев /16х16х80лев</v>
      </c>
      <c r="D1584" s="15" t="s">
        <v>6</v>
      </c>
      <c r="E1584" s="15" t="s">
        <v>2225</v>
      </c>
      <c r="F1584" s="91" t="s">
        <v>600</v>
      </c>
      <c r="G1584" s="4"/>
      <c r="H1584" s="4"/>
      <c r="I1584" s="4"/>
    </row>
    <row r="1585" spans="1:9" ht="15">
      <c r="A1585" s="21">
        <f t="shared" si="29"/>
        <v>92</v>
      </c>
      <c r="B1585" s="14" t="s">
        <v>2226</v>
      </c>
      <c r="C1585" s="85" t="str">
        <f ca="1">IFERROR(__xludf.DUMMYFUNCTION("GOOGLETRANSLATE(B1585:B1600,""RU"",""UK"")"),"Різець токарний прохідний прямий ВК8 16х16х140")</f>
        <v>Різець токарний прохідний прямий ВК8 16х16х140</v>
      </c>
      <c r="D1585" s="15" t="s">
        <v>6</v>
      </c>
      <c r="E1585" s="15">
        <v>9</v>
      </c>
      <c r="F1585" s="91" t="s">
        <v>255</v>
      </c>
      <c r="G1585" s="4"/>
      <c r="H1585" s="4"/>
      <c r="I1585" s="4"/>
    </row>
    <row r="1586" spans="1:9" ht="15">
      <c r="A1586" s="21">
        <f t="shared" si="29"/>
        <v>93</v>
      </c>
      <c r="B1586" s="14" t="s">
        <v>2227</v>
      </c>
      <c r="C1586" s="85" t="str">
        <f ca="1">IFERROR(__xludf.DUMMYFUNCTION("GOOGLETRANSLATE(B1586:B1601,""RU"",""UK"")"),"Різець токарний прохідний прям ВК8 20х20х70/20х20х90л/20х20х100л")</f>
        <v>Різець токарний прохідний прям ВК8 20х20х70/20х20х90л/20х20х100л</v>
      </c>
      <c r="D1586" s="15" t="s">
        <v>6</v>
      </c>
      <c r="E1586" s="15" t="s">
        <v>2228</v>
      </c>
      <c r="F1586" s="91" t="s">
        <v>304</v>
      </c>
      <c r="G1586" s="4"/>
      <c r="H1586" s="4"/>
      <c r="I1586" s="4"/>
    </row>
    <row r="1587" spans="1:9" ht="15">
      <c r="A1587" s="21">
        <f t="shared" si="29"/>
        <v>94</v>
      </c>
      <c r="B1587" s="14" t="s">
        <v>2229</v>
      </c>
      <c r="C1587" s="85" t="str">
        <f ca="1">IFERROR(__xludf.DUMMYFUNCTION("GOOGLETRANSLATE(B1587:B1602,""RU"",""UK"")"),"Різець токарний прохідний прямий ВК8 18х14х110/20х12х120")</f>
        <v>Різець токарний прохідний прямий ВК8 18х14х110/20х12х120</v>
      </c>
      <c r="D1587" s="15" t="s">
        <v>6</v>
      </c>
      <c r="E1587" s="15" t="s">
        <v>2230</v>
      </c>
      <c r="F1587" s="91" t="s">
        <v>169</v>
      </c>
      <c r="G1587" s="4"/>
      <c r="H1587" s="4"/>
      <c r="I1587" s="4"/>
    </row>
    <row r="1588" spans="1:9" ht="15">
      <c r="A1588" s="21">
        <f t="shared" si="29"/>
        <v>95</v>
      </c>
      <c r="B1588" s="14" t="s">
        <v>2231</v>
      </c>
      <c r="C1588" s="85" t="str">
        <f ca="1">IFERROR(__xludf.DUMMYFUNCTION("GOOGLETRANSLATE(B1588:B1603,""RU"",""UK"")"),"Різець токарний прохідний упорний. прямий ВК8 12х12х70")</f>
        <v>Різець токарний прохідний упорний. прямий ВК8 12х12х70</v>
      </c>
      <c r="D1588" s="15" t="s">
        <v>6</v>
      </c>
      <c r="E1588" s="15">
        <v>16</v>
      </c>
      <c r="F1588" s="91" t="s">
        <v>248</v>
      </c>
      <c r="G1588" s="4"/>
      <c r="H1588" s="4"/>
      <c r="I1588" s="4"/>
    </row>
    <row r="1589" spans="1:9" ht="15">
      <c r="A1589" s="21">
        <f t="shared" si="29"/>
        <v>96</v>
      </c>
      <c r="B1589" s="14" t="s">
        <v>2232</v>
      </c>
      <c r="C1589" s="85" t="str">
        <f ca="1">IFERROR(__xludf.DUMMYFUNCTION("GOOGLETRANSLATE(B1589:B1604,""RU"",""UK"")"),"Різець токарний прохідний упорний. прямий ВК8 16х12х65/16х16х65")</f>
        <v>Різець токарний прохідний упорний. прямий ВК8 16х12х65/16х16х65</v>
      </c>
      <c r="D1589" s="15" t="s">
        <v>6</v>
      </c>
      <c r="E1589" s="15" t="s">
        <v>749</v>
      </c>
      <c r="F1589" s="91" t="s">
        <v>201</v>
      </c>
      <c r="G1589" s="4"/>
      <c r="H1589" s="4"/>
      <c r="I1589" s="4"/>
    </row>
    <row r="1590" spans="1:9" ht="15">
      <c r="A1590" s="21">
        <f t="shared" si="29"/>
        <v>97</v>
      </c>
      <c r="B1590" s="14" t="s">
        <v>2233</v>
      </c>
      <c r="C1590" s="85" t="str">
        <f ca="1">IFERROR(__xludf.DUMMYFUNCTION("GOOGLETRANSLATE(B1590:B1605,""RU"",""UK"")"),"Різець токарний прохідний упорний. прямий ВК8 16х12х70 лев/ 16х16х65лев")</f>
        <v>Різець токарний прохідний упорний. прямий ВК8 16х12х70 лев/ 16х16х65лев</v>
      </c>
      <c r="D1590" s="15" t="s">
        <v>6</v>
      </c>
      <c r="E1590" s="15" t="s">
        <v>1200</v>
      </c>
      <c r="F1590" s="91" t="s">
        <v>304</v>
      </c>
      <c r="G1590" s="4"/>
      <c r="H1590" s="4"/>
      <c r="I1590" s="4"/>
    </row>
    <row r="1591" spans="1:9" ht="15">
      <c r="A1591" s="21">
        <f t="shared" si="29"/>
        <v>98</v>
      </c>
      <c r="B1591" s="14" t="s">
        <v>2234</v>
      </c>
      <c r="C1591" s="85" t="str">
        <f ca="1">IFERROR(__xludf.DUMMYFUNCTION("GOOGLETRANSLATE(B1591:B1606,""RU"",""UK"")"),"Різець токарний прохідний упорний. прямий ВК8 16х16х80лев")</f>
        <v>Різець токарний прохідний упорний. прямий ВК8 16х16х80лев</v>
      </c>
      <c r="D1591" s="15" t="s">
        <v>6</v>
      </c>
      <c r="E1591" s="15">
        <v>8</v>
      </c>
      <c r="F1591" s="91" t="s">
        <v>304</v>
      </c>
      <c r="G1591" s="4"/>
      <c r="H1591" s="4"/>
      <c r="I1591" s="4"/>
    </row>
    <row r="1592" spans="1:9" ht="15">
      <c r="A1592" s="21">
        <f t="shared" si="29"/>
        <v>99</v>
      </c>
      <c r="B1592" s="14" t="s">
        <v>2235</v>
      </c>
      <c r="C1592" s="85" t="str">
        <f ca="1">IFERROR(__xludf.DUMMYFUNCTION("GOOGLETRANSLATE(B1592:B1607,""RU"",""UK"")"),"Різець токарний прохідний упорний. прямий ВК8 20х20х80лев/20х12х100")</f>
        <v>Різець токарний прохідний упорний. прямий ВК8 20х20х80лев/20х12х100</v>
      </c>
      <c r="D1592" s="15" t="s">
        <v>6</v>
      </c>
      <c r="E1592" s="15" t="s">
        <v>1877</v>
      </c>
      <c r="F1592" s="91" t="s">
        <v>253</v>
      </c>
      <c r="G1592" s="4"/>
      <c r="H1592" s="4"/>
      <c r="I1592" s="4"/>
    </row>
    <row r="1593" spans="1:9" ht="15">
      <c r="A1593" s="21">
        <f t="shared" si="29"/>
        <v>100</v>
      </c>
      <c r="B1593" s="14" t="s">
        <v>2236</v>
      </c>
      <c r="C1593" s="85" t="str">
        <f ca="1">IFERROR(__xludf.DUMMYFUNCTION("GOOGLETRANSLATE(B1593:B1608,""RU"",""UK"")"),"Різець токарний прохідний упорний. ізог ВК8 20х20х100лев")</f>
        <v>Різець токарний прохідний упорний. ізог ВК8 20х20х100лев</v>
      </c>
      <c r="D1593" s="15" t="s">
        <v>6</v>
      </c>
      <c r="E1593" s="15">
        <v>1</v>
      </c>
      <c r="F1593" s="91" t="s">
        <v>314</v>
      </c>
      <c r="G1593" s="4"/>
      <c r="H1593" s="4"/>
      <c r="I1593" s="4"/>
    </row>
    <row r="1594" spans="1:9" ht="15">
      <c r="A1594" s="21">
        <f t="shared" si="29"/>
        <v>101</v>
      </c>
      <c r="B1594" s="14" t="s">
        <v>2237</v>
      </c>
      <c r="C1594" s="85" t="str">
        <f ca="1">IFERROR(__xludf.DUMMYFUNCTION("GOOGLETRANSLATE(B1594:B1609,""RU"",""UK"")"),"Різець токарний прохідний упорний. прямий ВК8 15х30/15х60")</f>
        <v>Різець токарний прохідний упорний. прямий ВК8 15х30/15х60</v>
      </c>
      <c r="D1594" s="15" t="s">
        <v>6</v>
      </c>
      <c r="E1594" s="15" t="s">
        <v>1637</v>
      </c>
      <c r="F1594" s="91" t="s">
        <v>167</v>
      </c>
      <c r="G1594" s="4"/>
      <c r="H1594" s="4"/>
      <c r="I1594" s="4"/>
    </row>
    <row r="1595" spans="1:9" ht="15">
      <c r="A1595" s="21">
        <f t="shared" si="29"/>
        <v>102</v>
      </c>
      <c r="B1595" s="14" t="s">
        <v>2238</v>
      </c>
      <c r="C1595" s="85" t="str">
        <f ca="1">IFERROR(__xludf.DUMMYFUNCTION("GOOGLETRANSLATE(B1595:B1610,""RU"",""UK"")"),"Різець токарний прохідний прямий ВК8 20х12х120/20х16х120 /20х20х120")</f>
        <v>Різець токарний прохідний прямий ВК8 20х12х120/20х16х120 /20х20х120</v>
      </c>
      <c r="D1595" s="15" t="s">
        <v>6</v>
      </c>
      <c r="E1595" s="15" t="s">
        <v>2239</v>
      </c>
      <c r="F1595" s="91" t="s">
        <v>255</v>
      </c>
      <c r="G1595" s="4"/>
      <c r="H1595" s="4"/>
      <c r="I1595" s="4"/>
    </row>
    <row r="1596" spans="1:9" ht="15">
      <c r="A1596" s="21">
        <f t="shared" si="29"/>
        <v>103</v>
      </c>
      <c r="B1596" s="14" t="s">
        <v>2240</v>
      </c>
      <c r="C1596" s="85" t="str">
        <f ca="1">IFERROR(__xludf.DUMMYFUNCTION("GOOGLETRANSLATE(B1596:B1611,""RU"",""UK"")"),"Різець токарний прохідний прямий ВК8 25х25х80лев / 25х20х120лев")</f>
        <v>Різець токарний прохідний прямий ВК8 25х25х80лев / 25х20х120лев</v>
      </c>
      <c r="D1596" s="15" t="s">
        <v>6</v>
      </c>
      <c r="E1596" s="15" t="s">
        <v>2241</v>
      </c>
      <c r="F1596" s="91" t="s">
        <v>338</v>
      </c>
      <c r="G1596" s="4"/>
      <c r="H1596" s="4"/>
      <c r="I1596" s="4"/>
    </row>
    <row r="1597" spans="1:9" ht="15">
      <c r="A1597" s="21">
        <f t="shared" si="29"/>
        <v>104</v>
      </c>
      <c r="B1597" s="14" t="s">
        <v>2242</v>
      </c>
      <c r="C1597" s="85" t="str">
        <f ca="1">IFERROR(__xludf.DUMMYFUNCTION("GOOGLETRANSLATE(B1597:B1612,""RU"",""UK"")"),"Різець токарний прохідний прямий ВК8 25х16х120/25х16х200/25х25х120")</f>
        <v>Різець токарний прохідний прямий ВК8 25х16х120/25х16х200/25х25х120</v>
      </c>
      <c r="D1597" s="15" t="s">
        <v>6</v>
      </c>
      <c r="E1597" s="15" t="s">
        <v>2243</v>
      </c>
      <c r="F1597" s="91" t="s">
        <v>495</v>
      </c>
      <c r="G1597" s="4"/>
      <c r="H1597" s="4"/>
      <c r="I1597" s="4"/>
    </row>
    <row r="1598" spans="1:9" ht="15">
      <c r="A1598" s="21">
        <f t="shared" si="29"/>
        <v>105</v>
      </c>
      <c r="B1598" s="14" t="s">
        <v>2244</v>
      </c>
      <c r="C1598" s="85" t="str">
        <f ca="1">IFERROR(__xludf.DUMMYFUNCTION("GOOGLETRANSLATE(B1598:B1613,""RU"",""UK"")"),"Різець токарний прохідний прямий ВК8 25х20х140/25х16х140лев")</f>
        <v>Різець токарний прохідний прямий ВК8 25х20х140/25х16х140лев</v>
      </c>
      <c r="D1598" s="15" t="s">
        <v>6</v>
      </c>
      <c r="E1598" s="15" t="s">
        <v>2245</v>
      </c>
      <c r="F1598" s="91" t="s">
        <v>1553</v>
      </c>
      <c r="G1598" s="4"/>
      <c r="H1598" s="4"/>
      <c r="I1598" s="4"/>
    </row>
    <row r="1599" spans="1:9" ht="15">
      <c r="A1599" s="21">
        <f t="shared" si="29"/>
        <v>106</v>
      </c>
      <c r="B1599" s="14" t="s">
        <v>2246</v>
      </c>
      <c r="C1599" s="85" t="str">
        <f ca="1">IFERROR(__xludf.DUMMYFUNCTION("GOOGLETRANSLATE(B1599:B1614,""RU"",""UK"")"),"Різець токарний прохідний прямий ВК8 25х20х200/32х20х160")</f>
        <v>Різець токарний прохідний прямий ВК8 25х20х200/32х20х160</v>
      </c>
      <c r="D1599" s="15" t="s">
        <v>6</v>
      </c>
      <c r="E1599" s="15" t="s">
        <v>2247</v>
      </c>
      <c r="F1599" s="91" t="s">
        <v>136</v>
      </c>
      <c r="G1599" s="4"/>
      <c r="H1599" s="4"/>
      <c r="I1599" s="4"/>
    </row>
    <row r="1600" spans="1:9" ht="15">
      <c r="A1600" s="21">
        <f t="shared" si="29"/>
        <v>107</v>
      </c>
      <c r="B1600" s="14" t="s">
        <v>2248</v>
      </c>
      <c r="C1600" s="85" t="str">
        <f ca="1">IFERROR(__xludf.DUMMYFUNCTION("GOOGLETRANSLATE(B1600:B1615,""RU"",""UK"")"),"Різець токарний прохідний прямий ВК8 40х25х200")</f>
        <v>Різець токарний прохідний прямий ВК8 40х25х200</v>
      </c>
      <c r="D1600" s="15" t="s">
        <v>6</v>
      </c>
      <c r="E1600" s="15">
        <v>4</v>
      </c>
      <c r="F1600" s="91" t="s">
        <v>327</v>
      </c>
      <c r="G1600" s="4"/>
      <c r="H1600" s="4"/>
      <c r="I1600" s="4"/>
    </row>
    <row r="1601" spans="1:9" ht="15">
      <c r="A1601" s="21">
        <f t="shared" si="29"/>
        <v>108</v>
      </c>
      <c r="B1601" s="14" t="s">
        <v>2249</v>
      </c>
      <c r="C1601" s="85" t="str">
        <f ca="1">IFERROR(__xludf.DUMMYFUNCTION("GOOGLETRANSLATE(B1601:B1616,""RU"",""UK"")"),"Різець токарний прохідний прямий ВК8 d-10х50лев/d-12х60лев")</f>
        <v>Різець токарний прохідний прямий ВК8 d-10х50лев/d-12х60лев</v>
      </c>
      <c r="D1601" s="15" t="s">
        <v>6</v>
      </c>
      <c r="E1601" s="15" t="s">
        <v>2250</v>
      </c>
      <c r="F1601" s="91" t="s">
        <v>167</v>
      </c>
      <c r="G1601" s="4"/>
      <c r="H1601" s="4"/>
      <c r="I1601" s="4"/>
    </row>
    <row r="1602" spans="1:9" ht="15">
      <c r="A1602" s="21">
        <f t="shared" si="29"/>
        <v>109</v>
      </c>
      <c r="B1602" s="14" t="s">
        <v>2251</v>
      </c>
      <c r="C1602" s="85" t="str">
        <f ca="1">IFERROR(__xludf.DUMMYFUNCTION("GOOGLETRANSLATE(B1602:B1617,""RU"",""UK"")"),"Різець токарний прохідний прямий ВК8 d-12х70лев/d-12х60 /d-12х90")</f>
        <v>Різець токарний прохідний прямий ВК8 d-12х70лев/d-12х60 /d-12х90</v>
      </c>
      <c r="D1602" s="15" t="s">
        <v>6</v>
      </c>
      <c r="E1602" s="15" t="s">
        <v>2252</v>
      </c>
      <c r="F1602" s="91" t="s">
        <v>248</v>
      </c>
      <c r="G1602" s="4"/>
      <c r="H1602" s="4"/>
      <c r="I1602" s="4"/>
    </row>
    <row r="1603" spans="1:9" ht="15">
      <c r="A1603" s="21">
        <f t="shared" si="29"/>
        <v>110</v>
      </c>
      <c r="B1603" s="14" t="s">
        <v>2253</v>
      </c>
      <c r="C1603" s="85" t="str">
        <f ca="1">IFERROR(__xludf.DUMMYFUNCTION("GOOGLETRANSLATE(B1603:B1618,""RU"",""UK"")"),"Різець токарний прохідний упорний. ВК8 d-14х40/d-15х40/d-15х60")</f>
        <v>Різець токарний прохідний упорний. ВК8 d-14х40/d-15х40/d-15х60</v>
      </c>
      <c r="D1603" s="15" t="s">
        <v>6</v>
      </c>
      <c r="E1603" s="15" t="s">
        <v>2254</v>
      </c>
      <c r="F1603" s="91" t="s">
        <v>169</v>
      </c>
      <c r="G1603" s="4"/>
      <c r="H1603" s="4"/>
      <c r="I1603" s="4"/>
    </row>
    <row r="1604" spans="1:9" ht="15">
      <c r="A1604" s="21">
        <f t="shared" si="29"/>
        <v>111</v>
      </c>
      <c r="B1604" s="14" t="s">
        <v>2255</v>
      </c>
      <c r="C1604" s="85" t="str">
        <f ca="1">IFERROR(__xludf.DUMMYFUNCTION("GOOGLETRANSLATE(B1604:B1619,""RU"",""UK"")"),"Різець токарний прохідний прямий ВК8 d-15х55/d-16х70/d-16х50")</f>
        <v>Різець токарний прохідний прямий ВК8 d-15х55/d-16х70/d-16х50</v>
      </c>
      <c r="D1604" s="15" t="s">
        <v>6</v>
      </c>
      <c r="E1604" s="15" t="s">
        <v>2256</v>
      </c>
      <c r="F1604" s="91" t="s">
        <v>304</v>
      </c>
      <c r="G1604" s="4"/>
      <c r="H1604" s="4"/>
      <c r="I1604" s="4"/>
    </row>
    <row r="1605" spans="1:9" ht="15">
      <c r="A1605" s="21">
        <f t="shared" si="29"/>
        <v>112</v>
      </c>
      <c r="B1605" s="14" t="s">
        <v>2257</v>
      </c>
      <c r="C1605" s="85" t="str">
        <f ca="1">IFERROR(__xludf.DUMMYFUNCTION("GOOGLETRANSLATE(B1605:B1620,""RU"",""UK"")"),"Різець токарний прохідний прямий ВК8(тс) d-16х50лев /d-20х60")</f>
        <v>Різець токарний прохідний прямий ВК8(тс) d-16х50лев /d-20х60</v>
      </c>
      <c r="D1605" s="15" t="s">
        <v>6</v>
      </c>
      <c r="E1605" s="15" t="s">
        <v>993</v>
      </c>
      <c r="F1605" s="91" t="s">
        <v>253</v>
      </c>
      <c r="G1605" s="4"/>
      <c r="H1605" s="4"/>
      <c r="I1605" s="4"/>
    </row>
    <row r="1606" spans="1:9" ht="15">
      <c r="A1606" s="21">
        <f t="shared" si="29"/>
        <v>113</v>
      </c>
      <c r="B1606" s="14" t="s">
        <v>2258</v>
      </c>
      <c r="C1606" s="85" t="str">
        <f ca="1">IFERROR(__xludf.DUMMYFUNCTION("GOOGLETRANSLATE(B1606:B1621,""RU"",""UK"")"),"Різець токарний прохідний прямий ВК8(тс) d-20х66лев /d-16х90лев")</f>
        <v>Різець токарний прохідний прямий ВК8(тс) d-20х66лев /d-16х90лев</v>
      </c>
      <c r="D1606" s="15" t="s">
        <v>6</v>
      </c>
      <c r="E1606" s="15" t="s">
        <v>793</v>
      </c>
      <c r="F1606" s="91" t="s">
        <v>314</v>
      </c>
      <c r="G1606" s="4"/>
      <c r="H1606" s="4"/>
      <c r="I1606" s="4"/>
    </row>
    <row r="1607" spans="1:9" ht="15">
      <c r="A1607" s="21">
        <f t="shared" si="29"/>
        <v>114</v>
      </c>
      <c r="B1607" s="14" t="s">
        <v>2259</v>
      </c>
      <c r="C1607" s="85" t="str">
        <f ca="1">IFERROR(__xludf.DUMMYFUNCTION("GOOGLETRANSLATE(B1607:B1622,""RU"",""UK"")"),"Різець токарний прохідний відігн. ВК8 d-17х110/d-20х80лев")</f>
        <v>Різець токарний прохідний відігн. ВК8 d-17х110/d-20х80лев</v>
      </c>
      <c r="D1607" s="15" t="s">
        <v>6</v>
      </c>
      <c r="E1607" s="15" t="s">
        <v>438</v>
      </c>
      <c r="F1607" s="91" t="s">
        <v>596</v>
      </c>
      <c r="G1607" s="4"/>
      <c r="H1607" s="4"/>
      <c r="I1607" s="4"/>
    </row>
    <row r="1608" spans="1:9" ht="15">
      <c r="A1608" s="21">
        <f t="shared" si="29"/>
        <v>115</v>
      </c>
      <c r="B1608" s="14" t="s">
        <v>2260</v>
      </c>
      <c r="C1608" s="85" t="str">
        <f ca="1">IFERROR(__xludf.DUMMYFUNCTION("GOOGLETRANSLATE(B1608:B1623,""RU"",""UK"")"),"Різець токарний прохідний відігн. ВК8 d-20х120")</f>
        <v>Різець токарний прохідний відігн. ВК8 d-20х120</v>
      </c>
      <c r="D1608" s="15" t="s">
        <v>6</v>
      </c>
      <c r="E1608" s="15">
        <v>3</v>
      </c>
      <c r="F1608" s="91" t="s">
        <v>255</v>
      </c>
      <c r="G1608" s="4"/>
      <c r="H1608" s="4"/>
      <c r="I1608" s="4"/>
    </row>
    <row r="1609" spans="1:9" ht="15">
      <c r="A1609" s="21">
        <f t="shared" si="29"/>
        <v>116</v>
      </c>
      <c r="B1609" s="14" t="s">
        <v>2261</v>
      </c>
      <c r="C1609" s="85" t="str">
        <f ca="1">IFERROR(__xludf.DUMMYFUNCTION("GOOGLETRANSLATE(B1609:B1624,""RU"",""UK"")"),"Різець токарний прохідний відігнутий ВК8 10х10х55 лев")</f>
        <v>Різець токарний прохідний відігнутий ВК8 10х10х55 лев</v>
      </c>
      <c r="D1609" s="15" t="s">
        <v>6</v>
      </c>
      <c r="E1609" s="15">
        <v>1</v>
      </c>
      <c r="F1609" s="91" t="s">
        <v>134</v>
      </c>
      <c r="G1609" s="4"/>
      <c r="H1609" s="4"/>
      <c r="I1609" s="4"/>
    </row>
    <row r="1610" spans="1:9" ht="15">
      <c r="A1610" s="21">
        <f t="shared" si="29"/>
        <v>117</v>
      </c>
      <c r="B1610" s="14" t="s">
        <v>2262</v>
      </c>
      <c r="C1610" s="85" t="str">
        <f ca="1">IFERROR(__xludf.DUMMYFUNCTION("GOOGLETRANSLATE(B1610:B1625,""RU"",""UK"")"),"Різець токарний прохідний відігнутий ВК8 12х12х80")</f>
        <v>Різець токарний прохідний відігнутий ВК8 12х12х80</v>
      </c>
      <c r="D1610" s="15" t="s">
        <v>6</v>
      </c>
      <c r="E1610" s="15">
        <v>20</v>
      </c>
      <c r="F1610" s="91" t="s">
        <v>167</v>
      </c>
      <c r="G1610" s="4"/>
      <c r="H1610" s="4"/>
      <c r="I1610" s="4"/>
    </row>
    <row r="1611" spans="1:9" ht="15">
      <c r="A1611" s="21">
        <f t="shared" si="29"/>
        <v>118</v>
      </c>
      <c r="B1611" s="14" t="s">
        <v>2263</v>
      </c>
      <c r="C1611" s="85" t="str">
        <f ca="1">IFERROR(__xludf.DUMMYFUNCTION("GOOGLETRANSLATE(B1611:B1626,""RU"",""UK"")"),"Різець токарний прохідний упорний відігнутий ВК8 12х12х40")</f>
        <v>Різець токарний прохідний упорний відігнутий ВК8 12х12х40</v>
      </c>
      <c r="D1611" s="15" t="s">
        <v>6</v>
      </c>
      <c r="E1611" s="15">
        <v>8</v>
      </c>
      <c r="F1611" s="91" t="s">
        <v>134</v>
      </c>
      <c r="G1611" s="4"/>
      <c r="H1611" s="4"/>
      <c r="I1611" s="4"/>
    </row>
    <row r="1612" spans="1:9" ht="15">
      <c r="A1612" s="21">
        <f t="shared" si="29"/>
        <v>119</v>
      </c>
      <c r="B1612" s="14" t="s">
        <v>2264</v>
      </c>
      <c r="C1612" s="85" t="str">
        <f ca="1">IFERROR(__xludf.DUMMYFUNCTION("GOOGLETRANSLATE(B1612:B1627,""RU"",""UK"")"),"Різець токарний прохідний упорний відігнутий ВК8 12х12х70лев")</f>
        <v>Різець токарний прохідний упорний відігнутий ВК8 12х12х70лев</v>
      </c>
      <c r="D1612" s="15" t="s">
        <v>6</v>
      </c>
      <c r="E1612" s="15">
        <v>19</v>
      </c>
      <c r="F1612" s="91" t="s">
        <v>248</v>
      </c>
      <c r="G1612" s="4"/>
      <c r="H1612" s="4"/>
      <c r="I1612" s="4"/>
    </row>
    <row r="1613" spans="1:9" ht="15">
      <c r="A1613" s="21">
        <f t="shared" si="29"/>
        <v>120</v>
      </c>
      <c r="B1613" s="14" t="s">
        <v>2265</v>
      </c>
      <c r="C1613" s="85" t="str">
        <f ca="1">IFERROR(__xludf.DUMMYFUNCTION("GOOGLETRANSLATE(B1613:B1628,""RU"",""UK"")"),"Різець токарний прохідний упорний відігнутий ВК8 16х12х120/18х20х90")</f>
        <v>Різець токарний прохідний упорний відігнутий ВК8 16х12х120/18х20х90</v>
      </c>
      <c r="D1613" s="15" t="s">
        <v>6</v>
      </c>
      <c r="E1613" s="15" t="s">
        <v>793</v>
      </c>
      <c r="F1613" s="91" t="s">
        <v>253</v>
      </c>
      <c r="G1613" s="4"/>
      <c r="H1613" s="4"/>
      <c r="I1613" s="4"/>
    </row>
    <row r="1614" spans="1:9" ht="15">
      <c r="A1614" s="21">
        <f t="shared" si="29"/>
        <v>121</v>
      </c>
      <c r="B1614" s="14" t="s">
        <v>2266</v>
      </c>
      <c r="C1614" s="85" t="str">
        <f ca="1">IFERROR(__xludf.DUMMYFUNCTION("GOOGLETRANSLATE(B1614:B1629,""RU"",""UK"")"),"Різець токарний прохідний відігнутий ВК8 16х16х65")</f>
        <v>Різець токарний прохідний відігнутий ВК8 16х16х65</v>
      </c>
      <c r="D1614" s="15" t="s">
        <v>6</v>
      </c>
      <c r="E1614" s="15">
        <v>7</v>
      </c>
      <c r="F1614" s="91" t="s">
        <v>596</v>
      </c>
      <c r="G1614" s="4"/>
      <c r="H1614" s="4"/>
      <c r="I1614" s="4"/>
    </row>
    <row r="1615" spans="1:9" ht="15">
      <c r="A1615" s="21">
        <f t="shared" si="29"/>
        <v>122</v>
      </c>
      <c r="B1615" s="14" t="s">
        <v>2267</v>
      </c>
      <c r="C1615" s="85" t="str">
        <f ca="1">IFERROR(__xludf.DUMMYFUNCTION("GOOGLETRANSLATE(B1615:B1630,""RU"",""UK"")"),"Різець токарний прохідний відігнутий ВК8 20х12х120")</f>
        <v>Різець токарний прохідний відігнутий ВК8 20х12х120</v>
      </c>
      <c r="D1615" s="15" t="s">
        <v>6</v>
      </c>
      <c r="E1615" s="15">
        <v>1</v>
      </c>
      <c r="F1615" s="91" t="s">
        <v>255</v>
      </c>
      <c r="G1615" s="4"/>
      <c r="H1615" s="4"/>
      <c r="I1615" s="4"/>
    </row>
    <row r="1616" spans="1:9" ht="15">
      <c r="A1616" s="21">
        <f t="shared" si="29"/>
        <v>123</v>
      </c>
      <c r="B1616" s="14" t="s">
        <v>2268</v>
      </c>
      <c r="C1616" s="85" t="str">
        <f ca="1">IFERROR(__xludf.DUMMYFUNCTION("GOOGLETRANSLATE(B1616:B1631,""RU"",""UK"")"),"Різець токарний прохідний упорний відігнутий ВК8 20х12х120")</f>
        <v>Різець токарний прохідний упорний відігнутий ВК8 20х12х120</v>
      </c>
      <c r="D1616" s="15" t="s">
        <v>6</v>
      </c>
      <c r="E1616" s="15">
        <v>2</v>
      </c>
      <c r="F1616" s="91" t="s">
        <v>183</v>
      </c>
      <c r="G1616" s="4"/>
      <c r="H1616" s="4"/>
      <c r="I1616" s="4"/>
    </row>
    <row r="1617" spans="1:9" ht="15">
      <c r="A1617" s="21">
        <f t="shared" si="29"/>
        <v>124</v>
      </c>
      <c r="B1617" s="14" t="s">
        <v>2269</v>
      </c>
      <c r="C1617" s="85" t="str">
        <f ca="1">IFERROR(__xludf.DUMMYFUNCTION("GOOGLETRANSLATE(B1617:B1632,""RU"",""UK"")"),"Різець токарний прохідний упорний відігнутий ВК8 20х12х120 лев")</f>
        <v>Різець токарний прохідний упорний відігнутий ВК8 20х12х120 лев</v>
      </c>
      <c r="D1617" s="15" t="s">
        <v>6</v>
      </c>
      <c r="E1617" s="15">
        <v>19</v>
      </c>
      <c r="F1617" s="91" t="s">
        <v>371</v>
      </c>
      <c r="G1617" s="4"/>
      <c r="H1617" s="4"/>
      <c r="I1617" s="4"/>
    </row>
    <row r="1618" spans="1:9" ht="15">
      <c r="A1618" s="21">
        <f t="shared" si="29"/>
        <v>125</v>
      </c>
      <c r="B1618" s="14" t="s">
        <v>2270</v>
      </c>
      <c r="C1618" s="85" t="str">
        <f ca="1">IFERROR(__xludf.DUMMYFUNCTION("GOOGLETRANSLATE(B1618:B1633,""RU"",""UK"")"),"Різець токарний прохідний відігнутий ВК8 20х16х120/20х20х110лев.")</f>
        <v>Різець токарний прохідний відігнутий ВК8 20х16х120/20х20х110лев.</v>
      </c>
      <c r="D1618" s="15" t="s">
        <v>6</v>
      </c>
      <c r="E1618" s="15" t="s">
        <v>2271</v>
      </c>
      <c r="F1618" s="91" t="s">
        <v>257</v>
      </c>
      <c r="G1618" s="4"/>
      <c r="H1618" s="4"/>
      <c r="I1618" s="4"/>
    </row>
    <row r="1619" spans="1:9" ht="15">
      <c r="A1619" s="21">
        <f t="shared" si="29"/>
        <v>126</v>
      </c>
      <c r="B1619" s="14" t="s">
        <v>2272</v>
      </c>
      <c r="C1619" s="85" t="str">
        <f ca="1">IFERROR(__xludf.DUMMYFUNCTION("GOOGLETRANSLATE(B1619:B1634,""RU"",""UK"")"),"Різець токарний прохідний упорний відігнутий ВК8 20х16х120/лев")</f>
        <v>Різець токарний прохідний упорний відігнутий ВК8 20х16х120/лев</v>
      </c>
      <c r="D1619" s="15" t="s">
        <v>6</v>
      </c>
      <c r="E1619" s="15" t="s">
        <v>2273</v>
      </c>
      <c r="F1619" s="91" t="s">
        <v>371</v>
      </c>
      <c r="G1619" s="4"/>
      <c r="H1619" s="4"/>
      <c r="I1619" s="4"/>
    </row>
    <row r="1620" spans="1:9" ht="15">
      <c r="A1620" s="21">
        <f t="shared" si="29"/>
        <v>127</v>
      </c>
      <c r="B1620" s="14" t="s">
        <v>2274</v>
      </c>
      <c r="C1620" s="85" t="str">
        <f ca="1">IFERROR(__xludf.DUMMYFUNCTION("GOOGLETRANSLATE(B1620:B1635,""RU"",""UK"")"),"Різець токарний прохідний упорний відігнутий ВК8 20х20х190")</f>
        <v>Різець токарний прохідний упорний відігнутий ВК8 20х20х190</v>
      </c>
      <c r="D1620" s="15" t="s">
        <v>6</v>
      </c>
      <c r="E1620" s="15">
        <v>4</v>
      </c>
      <c r="F1620" s="91" t="s">
        <v>338</v>
      </c>
      <c r="G1620" s="4"/>
      <c r="H1620" s="4"/>
      <c r="I1620" s="4"/>
    </row>
    <row r="1621" spans="1:9" ht="15">
      <c r="A1621" s="21">
        <f t="shared" si="29"/>
        <v>128</v>
      </c>
      <c r="B1621" s="14" t="s">
        <v>2275</v>
      </c>
      <c r="C1621" s="85" t="str">
        <f ca="1">IFERROR(__xludf.DUMMYFUNCTION("GOOGLETRANSLATE(B1621:B1636,""RU"",""UK"")"),"Різець токарний прохідний відігнутий ВК8 25х16х140/лев")</f>
        <v>Різець токарний прохідний відігнутий ВК8 25х16х140/лев</v>
      </c>
      <c r="D1621" s="15" t="s">
        <v>6</v>
      </c>
      <c r="E1621" s="15" t="s">
        <v>2276</v>
      </c>
      <c r="F1621" s="91" t="s">
        <v>2277</v>
      </c>
      <c r="G1621" s="4"/>
      <c r="H1621" s="4"/>
      <c r="I1621" s="4"/>
    </row>
    <row r="1622" spans="1:9" ht="15">
      <c r="A1622" s="21">
        <f t="shared" si="29"/>
        <v>129</v>
      </c>
      <c r="B1622" s="14" t="s">
        <v>2278</v>
      </c>
      <c r="C1622" s="85" t="str">
        <f ca="1">IFERROR(__xludf.DUMMYFUNCTION("GOOGLETRANSLATE(B1622:B1637,""RU"",""UK"")"),"Різець токарний прохідний упорний прямий ВК8 25х16х120")</f>
        <v>Різець токарний прохідний упорний прямий ВК8 25х16х120</v>
      </c>
      <c r="D1622" s="15" t="s">
        <v>6</v>
      </c>
      <c r="E1622" s="15">
        <v>25</v>
      </c>
      <c r="F1622" s="91" t="s">
        <v>136</v>
      </c>
      <c r="G1622" s="4"/>
      <c r="H1622" s="4"/>
      <c r="I1622" s="4"/>
    </row>
    <row r="1623" spans="1:9" ht="15">
      <c r="A1623" s="21">
        <f t="shared" si="29"/>
        <v>130</v>
      </c>
      <c r="B1623" s="14" t="s">
        <v>2279</v>
      </c>
      <c r="C1623" s="85" t="str">
        <f ca="1">IFERROR(__xludf.DUMMYFUNCTION("GOOGLETRANSLATE(B1623:B1638,""RU"",""UK"")"),"Різець токарний прохідний упорний відігнутий ВК8 25х16х140")</f>
        <v>Різець токарний прохідний упорний відігнутий ВК8 25х16х140</v>
      </c>
      <c r="D1623" s="15" t="s">
        <v>6</v>
      </c>
      <c r="E1623" s="15">
        <v>538</v>
      </c>
      <c r="F1623" s="91" t="s">
        <v>136</v>
      </c>
      <c r="G1623" s="4"/>
      <c r="H1623" s="4"/>
      <c r="I1623" s="4"/>
    </row>
    <row r="1624" spans="1:9" ht="15">
      <c r="A1624" s="21">
        <f t="shared" ref="A1624:A1687" si="30">A1623+1</f>
        <v>131</v>
      </c>
      <c r="B1624" s="14" t="s">
        <v>2280</v>
      </c>
      <c r="C1624" s="85" t="str">
        <f ca="1">IFERROR(__xludf.DUMMYFUNCTION("GOOGLETRANSLATE(B1624:B1639,""RU"",""UK"")"),"Різець токарний прохідний упорний відігнутий ВК8 25х16х140 лев")</f>
        <v>Різець токарний прохідний упорний відігнутий ВК8 25х16х140 лев</v>
      </c>
      <c r="D1624" s="15" t="s">
        <v>6</v>
      </c>
      <c r="E1624" s="15">
        <v>31</v>
      </c>
      <c r="F1624" s="91" t="s">
        <v>344</v>
      </c>
      <c r="G1624" s="4"/>
      <c r="H1624" s="4"/>
      <c r="I1624" s="4"/>
    </row>
    <row r="1625" spans="1:9" ht="15">
      <c r="A1625" s="21">
        <f t="shared" si="30"/>
        <v>132</v>
      </c>
      <c r="B1625" s="14" t="s">
        <v>2281</v>
      </c>
      <c r="C1625" s="85" t="str">
        <f ca="1">IFERROR(__xludf.DUMMYFUNCTION("GOOGLETRANSLATE(B1625:B1640,""RU"",""UK"")"),"Різець токарний прохідний упорний відігнутий ВК8 25х20х140")</f>
        <v>Різець токарний прохідний упорний відігнутий ВК8 25х20х140</v>
      </c>
      <c r="D1625" s="15" t="s">
        <v>6</v>
      </c>
      <c r="E1625" s="15">
        <v>13</v>
      </c>
      <c r="F1625" s="91" t="s">
        <v>344</v>
      </c>
      <c r="G1625" s="4"/>
      <c r="H1625" s="4"/>
      <c r="I1625" s="4"/>
    </row>
    <row r="1626" spans="1:9" ht="15">
      <c r="A1626" s="21">
        <f t="shared" si="30"/>
        <v>133</v>
      </c>
      <c r="B1626" s="14" t="s">
        <v>2282</v>
      </c>
      <c r="C1626" s="85" t="str">
        <f ca="1">IFERROR(__xludf.DUMMYFUNCTION("GOOGLETRANSLATE(B1626:B1641,""RU"",""UK"")"),"Різець токарний прохідний відігнутий ВК8 25х20х140/ВК4")</f>
        <v>Різець токарний прохідний відігнутий ВК8 25х20х140/ВК4</v>
      </c>
      <c r="D1626" s="15" t="s">
        <v>6</v>
      </c>
      <c r="E1626" s="15" t="s">
        <v>2283</v>
      </c>
      <c r="F1626" s="91" t="s">
        <v>344</v>
      </c>
      <c r="G1626" s="4"/>
      <c r="H1626" s="4"/>
      <c r="I1626" s="4"/>
    </row>
    <row r="1627" spans="1:9" ht="15">
      <c r="A1627" s="21">
        <f t="shared" si="30"/>
        <v>134</v>
      </c>
      <c r="B1627" s="14" t="s">
        <v>2284</v>
      </c>
      <c r="C1627" s="85" t="str">
        <f ca="1">IFERROR(__xludf.DUMMYFUNCTION("GOOGLETRANSLATE(B1627:B1642,""RU"",""UK"")"),"Різець токарний прохідний відігнутий ВК8 25х20х180")</f>
        <v>Різець токарний прохідний відігнутий ВК8 25х20х180</v>
      </c>
      <c r="D1627" s="15" t="s">
        <v>6</v>
      </c>
      <c r="E1627" s="15">
        <v>16</v>
      </c>
      <c r="F1627" s="91" t="s">
        <v>557</v>
      </c>
      <c r="G1627" s="4"/>
      <c r="H1627" s="4"/>
      <c r="I1627" s="4"/>
    </row>
    <row r="1628" spans="1:9" ht="15">
      <c r="A1628" s="21">
        <f t="shared" si="30"/>
        <v>135</v>
      </c>
      <c r="B1628" s="14" t="s">
        <v>2285</v>
      </c>
      <c r="C1628" s="85" t="str">
        <f ca="1">IFERROR(__xludf.DUMMYFUNCTION("GOOGLETRANSLATE(B1628:B1643,""RU"",""UK"")"),"Різець токарний прохідний відігнутий ВК8 32х25х140/32х20х170")</f>
        <v>Різець токарний прохідний відігнутий ВК8 32х25х140/32х20х170</v>
      </c>
      <c r="D1628" s="15" t="s">
        <v>6</v>
      </c>
      <c r="E1628" s="15" t="s">
        <v>2286</v>
      </c>
      <c r="F1628" s="91" t="s">
        <v>194</v>
      </c>
      <c r="G1628" s="4"/>
      <c r="H1628" s="4"/>
      <c r="I1628" s="4"/>
    </row>
    <row r="1629" spans="1:9" ht="15">
      <c r="A1629" s="21">
        <f t="shared" si="30"/>
        <v>136</v>
      </c>
      <c r="B1629" s="14" t="s">
        <v>2287</v>
      </c>
      <c r="C1629" s="85" t="str">
        <f ca="1">IFERROR(__xludf.DUMMYFUNCTION("GOOGLETRANSLATE(B1629:B1644,""RU"",""UK"")"),"Різець токарний прохідний відігнутий ВК8 32х25х160лев")</f>
        <v>Різець токарний прохідний відігнутий ВК8 32х25х160лев</v>
      </c>
      <c r="D1629" s="15" t="s">
        <v>6</v>
      </c>
      <c r="E1629" s="15">
        <v>7</v>
      </c>
      <c r="F1629" s="91" t="s">
        <v>319</v>
      </c>
      <c r="G1629" s="4"/>
      <c r="H1629" s="4"/>
      <c r="I1629" s="4"/>
    </row>
    <row r="1630" spans="1:9" ht="15">
      <c r="A1630" s="21">
        <f t="shared" si="30"/>
        <v>137</v>
      </c>
      <c r="B1630" s="14" t="s">
        <v>2288</v>
      </c>
      <c r="C1630" s="85" t="str">
        <f ca="1">IFERROR(__xludf.DUMMYFUNCTION("GOOGLETRANSLATE(B1630:B1645,""RU"",""UK"")"),"Різець токарний прохідний упорний відігнутий ВК8 32х20х170")</f>
        <v>Різець токарний прохідний упорний відігнутий ВК8 32х20х170</v>
      </c>
      <c r="D1630" s="15" t="s">
        <v>6</v>
      </c>
      <c r="E1630" s="15">
        <v>410</v>
      </c>
      <c r="F1630" s="91" t="s">
        <v>348</v>
      </c>
      <c r="G1630" s="4"/>
      <c r="H1630" s="4"/>
      <c r="I1630" s="4"/>
    </row>
    <row r="1631" spans="1:9" ht="15">
      <c r="A1631" s="21">
        <f t="shared" si="30"/>
        <v>138</v>
      </c>
      <c r="B1631" s="19" t="s">
        <v>2289</v>
      </c>
      <c r="C1631" s="85" t="str">
        <f ca="1">IFERROR(__xludf.DUMMYFUNCTION("GOOGLETRANSLATE(B1631:B1646,""RU"",""UK"")"),"Різець токарний прохідний упорний відігнутий ВК8 32х20х170 лев")</f>
        <v>Різець токарний прохідний упорний відігнутий ВК8 32х20х170 лев</v>
      </c>
      <c r="D1631" s="15" t="s">
        <v>6</v>
      </c>
      <c r="E1631" s="15">
        <v>0</v>
      </c>
      <c r="F1631" s="91" t="s">
        <v>319</v>
      </c>
      <c r="G1631" s="4"/>
      <c r="H1631" s="4"/>
      <c r="I1631" s="4"/>
    </row>
    <row r="1632" spans="1:9" ht="15">
      <c r="A1632" s="21">
        <f t="shared" si="30"/>
        <v>139</v>
      </c>
      <c r="B1632" s="14" t="s">
        <v>2290</v>
      </c>
      <c r="C1632" s="85" t="str">
        <f ca="1">IFERROR(__xludf.DUMMYFUNCTION("GOOGLETRANSLATE(B1632:B1647,""RU"",""UK"")"),"Різець токарний прохідний відігнутий ВК8 32х20х170")</f>
        <v>Різець токарний прохідний відігнутий ВК8 32х20х170</v>
      </c>
      <c r="D1632" s="15" t="s">
        <v>6</v>
      </c>
      <c r="E1632" s="15">
        <v>33</v>
      </c>
      <c r="F1632" s="91" t="s">
        <v>194</v>
      </c>
      <c r="G1632" s="4"/>
      <c r="H1632" s="4"/>
      <c r="I1632" s="4"/>
    </row>
    <row r="1633" spans="1:9" ht="15">
      <c r="A1633" s="21">
        <f t="shared" si="30"/>
        <v>140</v>
      </c>
      <c r="B1633" s="14" t="s">
        <v>2291</v>
      </c>
      <c r="C1633" s="85" t="str">
        <f ca="1">IFERROR(__xludf.DUMMYFUNCTION("GOOGLETRANSLATE(B1633:B1648,""RU"",""UK"")"),"Різець токарний прохідний відігнутий ВК8 32х28х200лев.")</f>
        <v>Різець токарний прохідний відігнутий ВК8 32х28х200лев.</v>
      </c>
      <c r="D1633" s="15" t="s">
        <v>6</v>
      </c>
      <c r="E1633" s="15">
        <v>1</v>
      </c>
      <c r="F1633" s="91" t="s">
        <v>319</v>
      </c>
      <c r="G1633" s="4"/>
      <c r="H1633" s="4"/>
      <c r="I1633" s="4"/>
    </row>
    <row r="1634" spans="1:9" ht="15">
      <c r="A1634" s="21">
        <f t="shared" si="30"/>
        <v>141</v>
      </c>
      <c r="B1634" s="14" t="s">
        <v>2292</v>
      </c>
      <c r="C1634" s="85" t="str">
        <f ca="1">IFERROR(__xludf.DUMMYFUNCTION("GOOGLETRANSLATE(B1634:B1649,""RU"",""UK"")"),"Різець токарний прохідний упорний прямий ВК8 32х20х170")</f>
        <v>Різець токарний прохідний упорний прямий ВК8 32х20х170</v>
      </c>
      <c r="D1634" s="15" t="s">
        <v>6</v>
      </c>
      <c r="E1634" s="15">
        <v>24</v>
      </c>
      <c r="F1634" s="91" t="s">
        <v>185</v>
      </c>
      <c r="G1634" s="4"/>
      <c r="H1634" s="4"/>
      <c r="I1634" s="4"/>
    </row>
    <row r="1635" spans="1:9" ht="15">
      <c r="A1635" s="21">
        <f t="shared" si="30"/>
        <v>142</v>
      </c>
      <c r="B1635" s="19" t="s">
        <v>2293</v>
      </c>
      <c r="C1635" s="85" t="str">
        <f ca="1">IFERROR(__xludf.DUMMYFUNCTION("GOOGLETRANSLATE(B1635:B1650,""RU"",""UK"")"),"Різець токарний прохідний відігнутий ВК8 40х25х200")</f>
        <v>Різець токарний прохідний відігнутий ВК8 40х25х200</v>
      </c>
      <c r="D1635" s="15" t="s">
        <v>6</v>
      </c>
      <c r="E1635" s="15">
        <v>0</v>
      </c>
      <c r="F1635" s="91" t="s">
        <v>140</v>
      </c>
      <c r="G1635" s="4"/>
      <c r="H1635" s="4"/>
      <c r="I1635" s="4"/>
    </row>
    <row r="1636" spans="1:9" ht="15">
      <c r="A1636" s="21">
        <f t="shared" si="30"/>
        <v>143</v>
      </c>
      <c r="B1636" s="14" t="s">
        <v>2294</v>
      </c>
      <c r="C1636" s="85" t="str">
        <f ca="1">IFERROR(__xludf.DUMMYFUNCTION("GOOGLETRANSLATE(B1636:B1651,""RU"",""UK"")"),"Різець токарний прохідний відігнутий ВК8 40х25х200 лев")</f>
        <v>Різець токарний прохідний відігнутий ВК8 40х25х200 лев</v>
      </c>
      <c r="D1636" s="15" t="s">
        <v>6</v>
      </c>
      <c r="E1636" s="15">
        <v>0</v>
      </c>
      <c r="F1636" s="91" t="s">
        <v>20</v>
      </c>
      <c r="G1636" s="4"/>
      <c r="H1636" s="4"/>
      <c r="I1636" s="4"/>
    </row>
    <row r="1637" spans="1:9" ht="15">
      <c r="A1637" s="21">
        <f t="shared" si="30"/>
        <v>144</v>
      </c>
      <c r="B1637" s="14" t="s">
        <v>2295</v>
      </c>
      <c r="C1637" s="85" t="str">
        <f ca="1">IFERROR(__xludf.DUMMYFUNCTION("GOOGLETRANSLATE(B1637:B1652,""RU"",""UK"")"),"Різець токарний прохідний відігнутий ВК8 40х30х300")</f>
        <v>Різець токарний прохідний відігнутий ВК8 40х30х300</v>
      </c>
      <c r="D1637" s="15" t="s">
        <v>6</v>
      </c>
      <c r="E1637" s="15">
        <v>0</v>
      </c>
      <c r="F1637" s="91" t="s">
        <v>20</v>
      </c>
      <c r="G1637" s="4"/>
      <c r="H1637" s="4"/>
      <c r="I1637" s="4"/>
    </row>
    <row r="1638" spans="1:9" ht="15">
      <c r="A1638" s="21">
        <f t="shared" si="30"/>
        <v>145</v>
      </c>
      <c r="B1638" s="16" t="s">
        <v>2296</v>
      </c>
      <c r="C1638" s="85" t="str">
        <f ca="1">IFERROR(__xludf.DUMMYFUNCTION("GOOGLETRANSLATE(B1638:B1653,""RU"",""UK"")"),"Різець токарний прохідний упорний відігнутий ВК8 40х25х200")</f>
        <v>Різець токарний прохідний упорний відігнутий ВК8 40х25х200</v>
      </c>
      <c r="D1638" s="15" t="s">
        <v>6</v>
      </c>
      <c r="E1638" s="15">
        <v>0</v>
      </c>
      <c r="F1638" s="91" t="s">
        <v>510</v>
      </c>
      <c r="G1638" s="4"/>
      <c r="H1638" s="4"/>
      <c r="I1638" s="4"/>
    </row>
    <row r="1639" spans="1:9" ht="15">
      <c r="A1639" s="21">
        <f t="shared" si="30"/>
        <v>146</v>
      </c>
      <c r="B1639" s="14" t="s">
        <v>2297</v>
      </c>
      <c r="C1639" s="85" t="str">
        <f ca="1">IFERROR(__xludf.DUMMYFUNCTION("GOOGLETRANSLATE(B1639:B1654,""RU"",""UK"")"),"Різець токарний прохідний упорний відігнутий ВК8 40х25х200лев")</f>
        <v>Різець токарний прохідний упорний відігнутий ВК8 40х25х200лев</v>
      </c>
      <c r="D1639" s="15" t="s">
        <v>6</v>
      </c>
      <c r="E1639" s="15">
        <v>0</v>
      </c>
      <c r="F1639" s="91" t="s">
        <v>20</v>
      </c>
      <c r="G1639" s="4"/>
      <c r="H1639" s="4"/>
      <c r="I1639" s="4"/>
    </row>
    <row r="1640" spans="1:9" ht="15">
      <c r="A1640" s="21">
        <f t="shared" si="30"/>
        <v>147</v>
      </c>
      <c r="B1640" s="14" t="s">
        <v>2298</v>
      </c>
      <c r="C1640" s="85" t="str">
        <f ca="1">IFERROR(__xludf.DUMMYFUNCTION("GOOGLETRANSLATE(B1640:B1655,""RU"",""UK"")"),"Різець токарний прохідний упорний відігнутий ВК8 (?) 40х40х300")</f>
        <v>Різець токарний прохідний упорний відігнутий ВК8 (?) 40х40х300</v>
      </c>
      <c r="D1640" s="15" t="s">
        <v>6</v>
      </c>
      <c r="E1640" s="15">
        <v>0</v>
      </c>
      <c r="F1640" s="91" t="s">
        <v>24</v>
      </c>
      <c r="G1640" s="4"/>
      <c r="H1640" s="4"/>
      <c r="I1640" s="4"/>
    </row>
    <row r="1641" spans="1:9" ht="15">
      <c r="A1641" s="21">
        <f t="shared" si="30"/>
        <v>148</v>
      </c>
      <c r="B1641" s="14" t="s">
        <v>2299</v>
      </c>
      <c r="C1641" s="85" t="str">
        <f ca="1">IFERROR(__xludf.DUMMYFUNCTION("GOOGLETRANSLATE(B1641:B1656,""RU"",""UK"")"),"Різець токарний прохідний відігнутий Р6М5 20х16х12/25х16х140")</f>
        <v>Різець токарний прохідний відігнутий Р6М5 20х16х12/25х16х140</v>
      </c>
      <c r="D1641" s="15" t="s">
        <v>6</v>
      </c>
      <c r="E1641" s="15" t="s">
        <v>1580</v>
      </c>
      <c r="F1641" s="91" t="s">
        <v>253</v>
      </c>
      <c r="G1641" s="4"/>
      <c r="H1641" s="4"/>
      <c r="I1641" s="4"/>
    </row>
    <row r="1642" spans="1:9" ht="15">
      <c r="A1642" s="21">
        <f t="shared" si="30"/>
        <v>149</v>
      </c>
      <c r="B1642" s="14" t="s">
        <v>2300</v>
      </c>
      <c r="C1642" s="85" t="str">
        <f ca="1">IFERROR(__xludf.DUMMYFUNCTION("GOOGLETRANSLATE(B1642:B1657,""RU"",""UK"")"),"Різець токарний прохідний відігнутий Р6М5 32х20х170")</f>
        <v>Різець токарний прохідний відігнутий Р6М5 32х20х170</v>
      </c>
      <c r="D1642" s="15" t="s">
        <v>6</v>
      </c>
      <c r="E1642" s="15">
        <v>15</v>
      </c>
      <c r="F1642" s="91" t="s">
        <v>596</v>
      </c>
      <c r="G1642" s="4"/>
      <c r="H1642" s="4"/>
      <c r="I1642" s="4"/>
    </row>
    <row r="1643" spans="1:9" ht="15">
      <c r="A1643" s="21">
        <f t="shared" si="30"/>
        <v>150</v>
      </c>
      <c r="B1643" s="14" t="s">
        <v>2301</v>
      </c>
      <c r="C1643" s="85" t="str">
        <f ca="1">IFERROR(__xludf.DUMMYFUNCTION("GOOGLETRANSLATE(B1643:B1658,""RU"",""UK"")"),"Різець токарний прох. прямий Р9 16х16х150")</f>
        <v>Різець токарний прох. прямий Р9 16х16х150</v>
      </c>
      <c r="D1643" s="15" t="s">
        <v>6</v>
      </c>
      <c r="E1643" s="15">
        <v>4</v>
      </c>
      <c r="F1643" s="91" t="s">
        <v>169</v>
      </c>
      <c r="G1643" s="4"/>
      <c r="H1643" s="4"/>
      <c r="I1643" s="4"/>
    </row>
    <row r="1644" spans="1:9" ht="15">
      <c r="A1644" s="21">
        <f t="shared" si="30"/>
        <v>151</v>
      </c>
      <c r="B1644" s="14" t="s">
        <v>2302</v>
      </c>
      <c r="C1644" s="85" t="str">
        <f ca="1">IFERROR(__xludf.DUMMYFUNCTION("GOOGLETRANSLATE(B1644:B1659,""RU"",""UK"")"),"Різець токарний прох. прямий Р6М5 20х20х140")</f>
        <v>Різець токарний прох. прямий Р6М5 20х20х140</v>
      </c>
      <c r="D1644" s="15" t="s">
        <v>6</v>
      </c>
      <c r="E1644" s="15">
        <v>2</v>
      </c>
      <c r="F1644" s="91" t="s">
        <v>169</v>
      </c>
      <c r="G1644" s="4"/>
      <c r="H1644" s="4"/>
      <c r="I1644" s="4"/>
    </row>
    <row r="1645" spans="1:9" ht="15">
      <c r="A1645" s="21">
        <f t="shared" si="30"/>
        <v>152</v>
      </c>
      <c r="B1645" s="14" t="s">
        <v>2303</v>
      </c>
      <c r="C1645" s="85" t="str">
        <f ca="1">IFERROR(__xludf.DUMMYFUNCTION("GOOGLETRANSLATE(B1645:B1660,""RU"",""UK"")"),"Різець токарний прох. прямий Р6М5 32х20х150")</f>
        <v>Різець токарний прох. прямий Р6М5 32х20х150</v>
      </c>
      <c r="D1645" s="15" t="s">
        <v>6</v>
      </c>
      <c r="E1645" s="15">
        <v>5</v>
      </c>
      <c r="F1645" s="91" t="s">
        <v>136</v>
      </c>
      <c r="G1645" s="4"/>
      <c r="H1645" s="4"/>
      <c r="I1645" s="4"/>
    </row>
    <row r="1646" spans="1:9" ht="15">
      <c r="A1646" s="21">
        <f t="shared" si="30"/>
        <v>153</v>
      </c>
      <c r="B1646" s="14" t="s">
        <v>2304</v>
      </c>
      <c r="C1646" s="85" t="str">
        <f ca="1">IFERROR(__xludf.DUMMYFUNCTION("GOOGLETRANSLATE(B1646:B1661,""RU"",""UK"")"),"Різець токарний прох. прямий мон-ний Р6М5 20х20х150")</f>
        <v>Різець токарний прох. прямий мон-ний Р6М5 20х20х150</v>
      </c>
      <c r="D1646" s="15" t="s">
        <v>6</v>
      </c>
      <c r="E1646" s="15">
        <v>33</v>
      </c>
      <c r="F1646" s="91" t="s">
        <v>16</v>
      </c>
      <c r="G1646" s="4"/>
      <c r="H1646" s="4"/>
      <c r="I1646" s="4"/>
    </row>
    <row r="1647" spans="1:9" ht="15">
      <c r="A1647" s="21">
        <f t="shared" si="30"/>
        <v>154</v>
      </c>
      <c r="B1647" s="14" t="s">
        <v>2305</v>
      </c>
      <c r="C1647" s="85" t="str">
        <f ca="1">IFERROR(__xludf.DUMMYFUNCTION("GOOGLETRANSLATE(B1647:B1662,""RU"",""UK"")"),"Різець токарний прох. прямий мон-ний Р6М5 20х12х125")</f>
        <v>Різець токарний прох. прямий мон-ний Р6М5 20х12х125</v>
      </c>
      <c r="D1647" s="15" t="s">
        <v>6</v>
      </c>
      <c r="E1647" s="15">
        <v>8</v>
      </c>
      <c r="F1647" s="91" t="s">
        <v>140</v>
      </c>
      <c r="G1647" s="4"/>
      <c r="H1647" s="4"/>
      <c r="I1647" s="4"/>
    </row>
    <row r="1648" spans="1:9" ht="15">
      <c r="A1648" s="21">
        <f t="shared" si="30"/>
        <v>155</v>
      </c>
      <c r="B1648" s="14" t="s">
        <v>2306</v>
      </c>
      <c r="C1648" s="85" t="str">
        <f ca="1">IFERROR(__xludf.DUMMYFUNCTION("GOOGLETRANSLATE(B1648:B1663,""RU"",""UK"")"),"Різець токарний прох. прямий мон-ний Р6М5 16х12х70/Р9")</f>
        <v>Різець токарний прох. прямий мон-ний Р6М5 16х12х70/Р9</v>
      </c>
      <c r="D1648" s="15" t="s">
        <v>6</v>
      </c>
      <c r="E1648" s="15" t="s">
        <v>2307</v>
      </c>
      <c r="F1648" s="91" t="s">
        <v>185</v>
      </c>
      <c r="G1648" s="4"/>
      <c r="H1648" s="4"/>
      <c r="I1648" s="4"/>
    </row>
    <row r="1649" spans="1:9" ht="15">
      <c r="A1649" s="21">
        <f t="shared" si="30"/>
        <v>156</v>
      </c>
      <c r="B1649" s="14" t="s">
        <v>2308</v>
      </c>
      <c r="C1649" s="85" t="str">
        <f ca="1">IFERROR(__xludf.DUMMYFUNCTION("GOOGLETRANSLATE(B1649:B1664,""RU"",""UK"")"),"Різець токарний прох. прямий мон-ний Р6М5 16х16х70/16х16х80")</f>
        <v>Різець токарний прох. прямий мон-ний Р6М5 16х16х70/16х16х80</v>
      </c>
      <c r="D1649" s="15" t="s">
        <v>6</v>
      </c>
      <c r="E1649" s="15" t="s">
        <v>2309</v>
      </c>
      <c r="F1649" s="91" t="s">
        <v>319</v>
      </c>
      <c r="G1649" s="4"/>
      <c r="H1649" s="4"/>
      <c r="I1649" s="4"/>
    </row>
    <row r="1650" spans="1:9" ht="15">
      <c r="A1650" s="21">
        <f t="shared" si="30"/>
        <v>157</v>
      </c>
      <c r="B1650" s="14" t="s">
        <v>2310</v>
      </c>
      <c r="C1650" s="85" t="str">
        <f ca="1">IFERROR(__xludf.DUMMYFUNCTION("GOOGLETRANSLATE(B1650:B1665,""RU"",""UK"")"),"Різець токарний прох. прямий Р6М5 16х16х125")</f>
        <v>Різець токарний прох. прямий Р6М5 16х16х125</v>
      </c>
      <c r="D1650" s="15" t="s">
        <v>6</v>
      </c>
      <c r="E1650" s="15">
        <v>6</v>
      </c>
      <c r="F1650" s="91" t="s">
        <v>255</v>
      </c>
      <c r="G1650" s="4"/>
      <c r="H1650" s="4"/>
      <c r="I1650" s="4"/>
    </row>
    <row r="1651" spans="1:9" ht="15">
      <c r="A1651" s="21">
        <f t="shared" si="30"/>
        <v>158</v>
      </c>
      <c r="B1651" s="14" t="s">
        <v>2311</v>
      </c>
      <c r="C1651" s="85" t="str">
        <f ca="1">IFERROR(__xludf.DUMMYFUNCTION("GOOGLETRANSLATE(B1651:B1666,""RU"",""UK"")"),"Різець токарний прох. прямий мон-ний Р6М5 16х16х140")</f>
        <v>Різець токарний прох. прямий мон-ний Р6М5 16х16х140</v>
      </c>
      <c r="D1651" s="15" t="s">
        <v>6</v>
      </c>
      <c r="E1651" s="15">
        <v>12</v>
      </c>
      <c r="F1651" s="91" t="s">
        <v>24</v>
      </c>
      <c r="G1651" s="4"/>
      <c r="H1651" s="4"/>
      <c r="I1651" s="4"/>
    </row>
    <row r="1652" spans="1:9" ht="15">
      <c r="A1652" s="21">
        <f t="shared" si="30"/>
        <v>159</v>
      </c>
      <c r="B1652" s="45" t="s">
        <v>2312</v>
      </c>
      <c r="C1652" s="85" t="str">
        <f ca="1">IFERROR(__xludf.DUMMYFUNCTION("GOOGLETRANSLATE(B1652:B1667,""RU"",""UK"")"),"Різець токарний прох. прямий мон-ний Р6М5 16х16х150")</f>
        <v>Різець токарний прох. прямий мон-ний Р6М5 16х16х150</v>
      </c>
      <c r="D1652" s="15" t="s">
        <v>6</v>
      </c>
      <c r="E1652" s="15">
        <v>23</v>
      </c>
      <c r="F1652" s="91" t="s">
        <v>162</v>
      </c>
      <c r="G1652" s="4"/>
      <c r="H1652" s="4"/>
      <c r="I1652" s="4"/>
    </row>
    <row r="1653" spans="1:9" ht="15">
      <c r="A1653" s="21">
        <f t="shared" si="30"/>
        <v>160</v>
      </c>
      <c r="B1653" s="14" t="s">
        <v>2313</v>
      </c>
      <c r="C1653" s="85" t="str">
        <f ca="1">IFERROR(__xludf.DUMMYFUNCTION("GOOGLETRANSLATE(B1653:B1668,""RU"",""UK"")"),"Різець токарний прох. прямий мон-ний Р6М5 16х16х80/16х12х85")</f>
        <v>Різець токарний прох. прямий мон-ний Р6М5 16х16х80/16х12х85</v>
      </c>
      <c r="D1653" s="15" t="s">
        <v>6</v>
      </c>
      <c r="E1653" s="15" t="s">
        <v>749</v>
      </c>
      <c r="F1653" s="91" t="s">
        <v>136</v>
      </c>
      <c r="G1653" s="4"/>
      <c r="H1653" s="4"/>
      <c r="I1653" s="4"/>
    </row>
    <row r="1654" spans="1:9" ht="15">
      <c r="A1654" s="21">
        <f t="shared" si="30"/>
        <v>161</v>
      </c>
      <c r="B1654" s="14" t="s">
        <v>2314</v>
      </c>
      <c r="C1654" s="85" t="str">
        <f ca="1">IFERROR(__xludf.DUMMYFUNCTION("GOOGLETRANSLATE(B1654:B1669,""RU"",""UK"")"),"Різець токарний прох. прямий мон-ний Р18 16х12х110/Р18 16х12х110лев")</f>
        <v>Різець токарний прох. прямий мон-ний Р18 16х12х110/Р18 16х12х110лев</v>
      </c>
      <c r="D1654" s="15" t="s">
        <v>6</v>
      </c>
      <c r="E1654" s="15" t="s">
        <v>2315</v>
      </c>
      <c r="F1654" s="91" t="s">
        <v>119</v>
      </c>
      <c r="G1654" s="4"/>
      <c r="H1654" s="4"/>
      <c r="I1654" s="4"/>
    </row>
    <row r="1655" spans="1:9" ht="15">
      <c r="A1655" s="21">
        <f t="shared" si="30"/>
        <v>162</v>
      </c>
      <c r="B1655" s="14" t="s">
        <v>2316</v>
      </c>
      <c r="C1655" s="85" t="str">
        <f ca="1">IFERROR(__xludf.DUMMYFUNCTION("GOOGLETRANSLATE(B1655:B1670,""RU"",""UK"")"),"Різець токарний прох. прямий мон-ний Р6М5 12х12х150")</f>
        <v>Різець токарний прох. прямий мон-ний Р6М5 12х12х150</v>
      </c>
      <c r="D1655" s="15" t="s">
        <v>6</v>
      </c>
      <c r="E1655" s="15">
        <v>16</v>
      </c>
      <c r="F1655" s="91" t="s">
        <v>119</v>
      </c>
      <c r="G1655" s="4"/>
      <c r="H1655" s="4"/>
      <c r="I1655" s="4"/>
    </row>
    <row r="1656" spans="1:9" ht="15">
      <c r="A1656" s="21">
        <f t="shared" si="30"/>
        <v>163</v>
      </c>
      <c r="B1656" s="14" t="s">
        <v>2317</v>
      </c>
      <c r="C1656" s="85" t="str">
        <f ca="1">IFERROR(__xludf.DUMMYFUNCTION("GOOGLETRANSLATE(B1656:B1671,""RU"",""UK"")"),"Різець токарний прох. прямий мон-ний Р6М5 12х12х100/12х12х120")</f>
        <v>Різець токарний прох. прямий мон-ний Р6М5 12х12х100/12х12х120</v>
      </c>
      <c r="D1656" s="15" t="s">
        <v>6</v>
      </c>
      <c r="E1656" s="15" t="s">
        <v>2318</v>
      </c>
      <c r="F1656" s="91" t="s">
        <v>319</v>
      </c>
      <c r="G1656" s="4"/>
      <c r="H1656" s="4"/>
      <c r="I1656" s="4"/>
    </row>
    <row r="1657" spans="1:9" ht="15">
      <c r="A1657" s="21">
        <f t="shared" si="30"/>
        <v>164</v>
      </c>
      <c r="B1657" s="14" t="s">
        <v>2319</v>
      </c>
      <c r="C1657" s="85" t="str">
        <f ca="1">IFERROR(__xludf.DUMMYFUNCTION("GOOGLETRANSLATE(B1657:B1672,""RU"",""UK"")"),"Різець токарний прох. прямий мон-ний Р6М5 12х12х40/12х12х50")</f>
        <v>Різець токарний прох. прямий мон-ний Р6М5 12х12х40/12х12х50</v>
      </c>
      <c r="D1657" s="15" t="s">
        <v>6</v>
      </c>
      <c r="E1657" s="15" t="s">
        <v>740</v>
      </c>
      <c r="F1657" s="91" t="s">
        <v>255</v>
      </c>
      <c r="G1657" s="4"/>
      <c r="H1657" s="4"/>
      <c r="I1657" s="4"/>
    </row>
    <row r="1658" spans="1:9" ht="15">
      <c r="A1658" s="21">
        <f t="shared" si="30"/>
        <v>165</v>
      </c>
      <c r="B1658" s="14" t="s">
        <v>2320</v>
      </c>
      <c r="C1658" s="85" t="str">
        <f ca="1">IFERROR(__xludf.DUMMYFUNCTION("GOOGLETRANSLATE(B1658:B1673,""RU"",""UK"")"),"Різець токарний прох. прямий мон-ний Р6М5 12х12х70/12х12х80")</f>
        <v>Різець токарний прох. прямий мон-ний Р6М5 12х12х70/12х12х80</v>
      </c>
      <c r="D1658" s="15" t="s">
        <v>6</v>
      </c>
      <c r="E1658" s="15" t="s">
        <v>715</v>
      </c>
      <c r="F1658" s="91" t="s">
        <v>338</v>
      </c>
      <c r="G1658" s="4"/>
      <c r="H1658" s="4"/>
      <c r="I1658" s="4"/>
    </row>
    <row r="1659" spans="1:9" ht="15">
      <c r="A1659" s="21">
        <f t="shared" si="30"/>
        <v>166</v>
      </c>
      <c r="B1659" s="14" t="s">
        <v>2321</v>
      </c>
      <c r="C1659" s="85" t="str">
        <f ca="1">IFERROR(__xludf.DUMMYFUNCTION("GOOGLETRANSLATE(B1659:B1674,""RU"",""UK"")"),"Різець токарний прох. прямий мон-ний Р6М5 10х10х120")</f>
        <v>Різець токарний прох. прямий мон-ний Р6М5 10х10х120</v>
      </c>
      <c r="D1659" s="15" t="s">
        <v>6</v>
      </c>
      <c r="E1659" s="15">
        <v>127</v>
      </c>
      <c r="F1659" s="91" t="s">
        <v>194</v>
      </c>
      <c r="G1659" s="4"/>
      <c r="H1659" s="4"/>
      <c r="I1659" s="4"/>
    </row>
    <row r="1660" spans="1:9" ht="15">
      <c r="A1660" s="21">
        <f t="shared" si="30"/>
        <v>167</v>
      </c>
      <c r="B1660" s="14" t="s">
        <v>2322</v>
      </c>
      <c r="C1660" s="85" t="str">
        <f ca="1">IFERROR(__xludf.DUMMYFUNCTION("GOOGLETRANSLATE(B1660:B1675,""RU"",""UK"")"),"Різець токарний прох. прямий мон-ний Р6М5 10х10х150")</f>
        <v>Різець токарний прох. прямий мон-ний Р6М5 10х10х150</v>
      </c>
      <c r="D1660" s="15" t="s">
        <v>6</v>
      </c>
      <c r="E1660" s="15">
        <v>52</v>
      </c>
      <c r="F1660" s="91" t="s">
        <v>319</v>
      </c>
      <c r="G1660" s="4"/>
      <c r="H1660" s="4"/>
      <c r="I1660" s="4"/>
    </row>
    <row r="1661" spans="1:9" ht="15">
      <c r="A1661" s="21">
        <f t="shared" si="30"/>
        <v>168</v>
      </c>
      <c r="B1661" s="14" t="s">
        <v>2323</v>
      </c>
      <c r="C1661" s="85" t="str">
        <f ca="1">IFERROR(__xludf.DUMMYFUNCTION("GOOGLETRANSLATE(B1661:B1676,""RU"",""UK"")"),"Різець токарний прох. прямий Р6М5 10х10х120")</f>
        <v>Різець токарний прох. прямий Р6М5 10х10х120</v>
      </c>
      <c r="D1661" s="15" t="s">
        <v>6</v>
      </c>
      <c r="E1661" s="15">
        <v>4</v>
      </c>
      <c r="F1661" s="91" t="s">
        <v>124</v>
      </c>
      <c r="G1661" s="4"/>
      <c r="H1661" s="4"/>
      <c r="I1661" s="4"/>
    </row>
    <row r="1662" spans="1:9" ht="15">
      <c r="A1662" s="21">
        <f t="shared" si="30"/>
        <v>169</v>
      </c>
      <c r="B1662" s="14" t="s">
        <v>2324</v>
      </c>
      <c r="C1662" s="85" t="str">
        <f ca="1">IFERROR(__xludf.DUMMYFUNCTION("GOOGLETRANSLATE(B1662:B1677,""RU"",""UK"")"),"Різець токарний прох. прямий мон-ний Р6М5 10х10х50/10х10х60")</f>
        <v>Різець токарний прох. прямий мон-ний Р6М5 10х10х50/10х10х60</v>
      </c>
      <c r="D1662" s="15" t="s">
        <v>6</v>
      </c>
      <c r="E1662" s="15" t="s">
        <v>686</v>
      </c>
      <c r="F1662" s="91" t="s">
        <v>209</v>
      </c>
      <c r="G1662" s="4"/>
      <c r="H1662" s="4"/>
      <c r="I1662" s="4"/>
    </row>
    <row r="1663" spans="1:9" ht="15">
      <c r="A1663" s="21">
        <f t="shared" si="30"/>
        <v>170</v>
      </c>
      <c r="B1663" s="14" t="s">
        <v>2325</v>
      </c>
      <c r="C1663" s="85" t="str">
        <f ca="1">IFERROR(__xludf.DUMMYFUNCTION("GOOGLETRANSLATE(B1663:B1678,""RU"",""UK"")"),"Різець токарний прох. прямий мон-ний Р6М5 8х8х80")</f>
        <v>Різець токарний прох. прямий мон-ний Р6М5 8х8х80</v>
      </c>
      <c r="D1663" s="15" t="s">
        <v>6</v>
      </c>
      <c r="E1663" s="15">
        <v>1</v>
      </c>
      <c r="F1663" s="91" t="s">
        <v>169</v>
      </c>
      <c r="G1663" s="4"/>
      <c r="H1663" s="4"/>
      <c r="I1663" s="4"/>
    </row>
    <row r="1664" spans="1:9" ht="15">
      <c r="A1664" s="21">
        <f t="shared" si="30"/>
        <v>171</v>
      </c>
      <c r="B1664" s="14" t="s">
        <v>2326</v>
      </c>
      <c r="C1664" s="85" t="str">
        <f ca="1">IFERROR(__xludf.DUMMYFUNCTION("GOOGLETRANSLATE(B1664:B1679,""RU"",""UK"")"),"Різець токарний прох. прямий мон-ний Р6М5 8х8х120")</f>
        <v>Різець токарний прох. прямий мон-ний Р6М5 8х8х120</v>
      </c>
      <c r="D1664" s="15" t="s">
        <v>6</v>
      </c>
      <c r="E1664" s="15">
        <v>184</v>
      </c>
      <c r="F1664" s="91" t="s">
        <v>226</v>
      </c>
      <c r="G1664" s="4"/>
      <c r="H1664" s="4"/>
      <c r="I1664" s="4"/>
    </row>
    <row r="1665" spans="1:9" ht="15">
      <c r="A1665" s="21">
        <f t="shared" si="30"/>
        <v>172</v>
      </c>
      <c r="B1665" s="14" t="s">
        <v>2327</v>
      </c>
      <c r="C1665" s="85" t="str">
        <f ca="1">IFERROR(__xludf.DUMMYFUNCTION("GOOGLETRANSLATE(B1665:B1680,""RU"",""UK"")"),"Різець токарний прох. прямий мон-ний Р6М5 8х8х150")</f>
        <v>Різець токарний прох. прямий мон-ний Р6М5 8х8х150</v>
      </c>
      <c r="D1665" s="15" t="s">
        <v>6</v>
      </c>
      <c r="E1665" s="15">
        <v>251</v>
      </c>
      <c r="F1665" s="91" t="s">
        <v>338</v>
      </c>
      <c r="G1665" s="4"/>
      <c r="H1665" s="4"/>
      <c r="I1665" s="4"/>
    </row>
    <row r="1666" spans="1:9" ht="15">
      <c r="A1666" s="21">
        <f t="shared" si="30"/>
        <v>173</v>
      </c>
      <c r="B1666" s="14" t="s">
        <v>2328</v>
      </c>
      <c r="C1666" s="85" t="str">
        <f ca="1">IFERROR(__xludf.DUMMYFUNCTION("GOOGLETRANSLATE(B1666:B1681,""RU"",""UK"")"),"Різець токарний підрізний прямий Т5К10 12х12х120")</f>
        <v>Різець токарний підрізний прямий Т5К10 12х12х120</v>
      </c>
      <c r="D1666" s="15" t="s">
        <v>6</v>
      </c>
      <c r="E1666" s="15">
        <v>13</v>
      </c>
      <c r="F1666" s="91" t="s">
        <v>169</v>
      </c>
      <c r="G1666" s="4"/>
      <c r="H1666" s="4"/>
      <c r="I1666" s="4"/>
    </row>
    <row r="1667" spans="1:9" ht="15">
      <c r="A1667" s="21">
        <f t="shared" si="30"/>
        <v>174</v>
      </c>
      <c r="B1667" s="14" t="s">
        <v>2329</v>
      </c>
      <c r="C1667" s="85" t="str">
        <f ca="1">IFERROR(__xludf.DUMMYFUNCTION("GOOGLETRANSLATE(B1667:B1682,""RU"",""UK"")"),"Різець токарний підрізний відігнутий Т5К10 20х12х120 лев")</f>
        <v>Різець токарний підрізний відігнутий Т5К10 20х12х120 лев</v>
      </c>
      <c r="D1667" s="15" t="s">
        <v>6</v>
      </c>
      <c r="E1667" s="15">
        <v>2</v>
      </c>
      <c r="F1667" s="91" t="s">
        <v>181</v>
      </c>
      <c r="G1667" s="4"/>
      <c r="H1667" s="4"/>
      <c r="I1667" s="4"/>
    </row>
    <row r="1668" spans="1:9" ht="15">
      <c r="A1668" s="21">
        <f t="shared" si="30"/>
        <v>175</v>
      </c>
      <c r="B1668" s="14" t="s">
        <v>2330</v>
      </c>
      <c r="C1668" s="85" t="str">
        <f ca="1">IFERROR(__xludf.DUMMYFUNCTION("GOOGLETRANSLATE(B1668:B1683,""RU"",""UK"")"),"Різець токарний підрізний відігнутий Т5К10 20х16х120")</f>
        <v>Різець токарний підрізний відігнутий Т5К10 20х16х120</v>
      </c>
      <c r="D1668" s="15" t="s">
        <v>6</v>
      </c>
      <c r="E1668" s="15">
        <v>379</v>
      </c>
      <c r="F1668" s="91" t="s">
        <v>371</v>
      </c>
      <c r="G1668" s="4"/>
      <c r="H1668" s="4"/>
      <c r="I1668" s="4"/>
    </row>
    <row r="1669" spans="1:9" ht="15">
      <c r="A1669" s="21">
        <f t="shared" si="30"/>
        <v>176</v>
      </c>
      <c r="B1669" s="14" t="s">
        <v>2331</v>
      </c>
      <c r="C1669" s="85" t="str">
        <f ca="1">IFERROR(__xludf.DUMMYFUNCTION("GOOGLETRANSLATE(B1669:B1684,""RU"",""UK"")"),"Різець токарний підрізний відігнутий Т5К10 25х16х140")</f>
        <v>Різець токарний підрізний відігнутий Т5К10 25х16х140</v>
      </c>
      <c r="D1669" s="15" t="s">
        <v>6</v>
      </c>
      <c r="E1669" s="15">
        <v>452</v>
      </c>
      <c r="F1669" s="91" t="s">
        <v>136</v>
      </c>
      <c r="G1669" s="4"/>
      <c r="H1669" s="4"/>
      <c r="I1669" s="4"/>
    </row>
    <row r="1670" spans="1:9" ht="15">
      <c r="A1670" s="21">
        <f t="shared" si="30"/>
        <v>177</v>
      </c>
      <c r="B1670" s="14" t="s">
        <v>2332</v>
      </c>
      <c r="C1670" s="85" t="str">
        <f ca="1">IFERROR(__xludf.DUMMYFUNCTION("GOOGLETRANSLATE(B1670:B1685,""RU"",""UK"")"),"Різець токарний підрізний відігнутий Т5К10 25х16х140 лев")</f>
        <v>Різець токарний підрізний відігнутий Т5К10 25х16х140 лев</v>
      </c>
      <c r="D1670" s="15" t="s">
        <v>6</v>
      </c>
      <c r="E1670" s="15">
        <v>9</v>
      </c>
      <c r="F1670" s="91" t="s">
        <v>344</v>
      </c>
      <c r="G1670" s="4"/>
      <c r="H1670" s="4"/>
      <c r="I1670" s="4"/>
    </row>
    <row r="1671" spans="1:9" ht="15">
      <c r="A1671" s="21">
        <f t="shared" si="30"/>
        <v>178</v>
      </c>
      <c r="B1671" s="14" t="s">
        <v>2333</v>
      </c>
      <c r="C1671" s="85" t="str">
        <f ca="1">IFERROR(__xludf.DUMMYFUNCTION("GOOGLETRANSLATE(B1671:B1686,""RU"",""UK"")"),"Різець токарний підрізний відігнутий Т5К10 32х25х170/32х20х200")</f>
        <v>Різець токарний підрізний відігнутий Т5К10 32х25х170/32х20х200</v>
      </c>
      <c r="D1671" s="15" t="s">
        <v>6</v>
      </c>
      <c r="E1671" s="15" t="s">
        <v>793</v>
      </c>
      <c r="F1671" s="91" t="s">
        <v>317</v>
      </c>
      <c r="G1671" s="4"/>
      <c r="H1671" s="4"/>
      <c r="I1671" s="4"/>
    </row>
    <row r="1672" spans="1:9" ht="15">
      <c r="A1672" s="21">
        <f t="shared" si="30"/>
        <v>179</v>
      </c>
      <c r="B1672" s="14" t="s">
        <v>2334</v>
      </c>
      <c r="C1672" s="85" t="str">
        <f ca="1">IFERROR(__xludf.DUMMYFUNCTION("GOOGLETRANSLATE(B1672:B1687,""RU"",""UK"")"),"Різець токарний підрізний відігнутий Т15К6 16х12х100")</f>
        <v>Різець токарний підрізний відігнутий Т15К6 16х12х100</v>
      </c>
      <c r="D1672" s="15" t="s">
        <v>6</v>
      </c>
      <c r="E1672" s="15">
        <v>1</v>
      </c>
      <c r="F1672" s="91" t="s">
        <v>181</v>
      </c>
      <c r="G1672" s="4"/>
      <c r="H1672" s="4"/>
      <c r="I1672" s="4"/>
    </row>
    <row r="1673" spans="1:9" ht="15">
      <c r="A1673" s="21">
        <f t="shared" si="30"/>
        <v>180</v>
      </c>
      <c r="B1673" s="14" t="s">
        <v>2335</v>
      </c>
      <c r="C1673" s="85" t="str">
        <f ca="1">IFERROR(__xludf.DUMMYFUNCTION("GOOGLETRANSLATE(B1673:B1688,""RU"",""UK"")"),"Різець токарний підрізний відігнутий Т15К6 20х16х120")</f>
        <v>Різець токарний підрізний відігнутий Т15К6 20х16х120</v>
      </c>
      <c r="D1673" s="15" t="s">
        <v>6</v>
      </c>
      <c r="E1673" s="15">
        <v>55</v>
      </c>
      <c r="F1673" s="91" t="s">
        <v>371</v>
      </c>
      <c r="G1673" s="4"/>
      <c r="H1673" s="4"/>
      <c r="I1673" s="4"/>
    </row>
    <row r="1674" spans="1:9" ht="15">
      <c r="A1674" s="21">
        <f t="shared" si="30"/>
        <v>181</v>
      </c>
      <c r="B1674" s="14" t="s">
        <v>2336</v>
      </c>
      <c r="C1674" s="85" t="str">
        <f ca="1">IFERROR(__xludf.DUMMYFUNCTION("GOOGLETRANSLATE(B1674:B1689,""RU"",""UK"")"),"Різець токарний підрізний відігнутий Т15К6 25х16х140")</f>
        <v>Різець токарний підрізний відігнутий Т15К6 25х16х140</v>
      </c>
      <c r="D1674" s="15" t="s">
        <v>6</v>
      </c>
      <c r="E1674" s="15">
        <v>52</v>
      </c>
      <c r="F1674" s="91" t="s">
        <v>136</v>
      </c>
      <c r="G1674" s="4"/>
      <c r="H1674" s="4"/>
      <c r="I1674" s="4"/>
    </row>
    <row r="1675" spans="1:9" ht="15">
      <c r="A1675" s="21">
        <f t="shared" si="30"/>
        <v>182</v>
      </c>
      <c r="B1675" s="14" t="s">
        <v>2337</v>
      </c>
      <c r="C1675" s="85" t="str">
        <f ca="1">IFERROR(__xludf.DUMMYFUNCTION("GOOGLETRANSLATE(B1675:B1690,""RU"",""UK"")"),"Різець токарний підрізний відігнутий Т15К6 25х16х140 лев")</f>
        <v>Різець токарний підрізний відігнутий Т15К6 25х16х140 лев</v>
      </c>
      <c r="D1675" s="15" t="s">
        <v>6</v>
      </c>
      <c r="E1675" s="15">
        <v>16</v>
      </c>
      <c r="F1675" s="91" t="s">
        <v>194</v>
      </c>
      <c r="G1675" s="4"/>
      <c r="H1675" s="4"/>
      <c r="I1675" s="4"/>
    </row>
    <row r="1676" spans="1:9" ht="15">
      <c r="A1676" s="21">
        <f t="shared" si="30"/>
        <v>183</v>
      </c>
      <c r="B1676" s="14" t="s">
        <v>2338</v>
      </c>
      <c r="C1676" s="85" t="str">
        <f ca="1">IFERROR(__xludf.DUMMYFUNCTION("GOOGLETRANSLATE(B1676:B1691,""RU"",""UK"")"),"Різець токарний підрізний відігнутий Т14К8 25х16х140")</f>
        <v>Різець токарний підрізний відігнутий Т14К8 25х16х140</v>
      </c>
      <c r="D1676" s="15" t="s">
        <v>6</v>
      </c>
      <c r="E1676" s="15">
        <v>49</v>
      </c>
      <c r="F1676" s="91" t="s">
        <v>136</v>
      </c>
      <c r="G1676" s="4"/>
      <c r="H1676" s="4"/>
      <c r="I1676" s="4"/>
    </row>
    <row r="1677" spans="1:9" ht="15">
      <c r="A1677" s="21">
        <f t="shared" si="30"/>
        <v>184</v>
      </c>
      <c r="B1677" s="14" t="s">
        <v>2339</v>
      </c>
      <c r="C1677" s="85" t="str">
        <f ca="1">IFERROR(__xludf.DUMMYFUNCTION("GOOGLETRANSLATE(B1677:B1692,""RU"",""UK"")"),"Різець токарний підрізний відігнутий Т15К6 32х20х170")</f>
        <v>Різець токарний підрізний відігнутий Т15К6 32х20х170</v>
      </c>
      <c r="D1677" s="15" t="s">
        <v>6</v>
      </c>
      <c r="E1677" s="15">
        <v>0</v>
      </c>
      <c r="F1677" s="91" t="s">
        <v>631</v>
      </c>
      <c r="G1677" s="4"/>
      <c r="H1677" s="4"/>
      <c r="I1677" s="4"/>
    </row>
    <row r="1678" spans="1:9" ht="15">
      <c r="A1678" s="21">
        <f t="shared" si="30"/>
        <v>185</v>
      </c>
      <c r="B1678" s="14" t="s">
        <v>2340</v>
      </c>
      <c r="C1678" s="85" t="str">
        <f ca="1">IFERROR(__xludf.DUMMYFUNCTION("GOOGLETRANSLATE(B1678:B1693,""RU"",""UK"")"),"Різець токарний підрізний відігнутий Т14К8 32х20х170")</f>
        <v>Різець токарний підрізний відігнутий Т14К8 32х20х170</v>
      </c>
      <c r="D1678" s="15" t="s">
        <v>6</v>
      </c>
      <c r="E1678" s="15">
        <v>33</v>
      </c>
      <c r="F1678" s="91" t="s">
        <v>319</v>
      </c>
      <c r="G1678" s="4"/>
      <c r="H1678" s="4"/>
      <c r="I1678" s="4"/>
    </row>
    <row r="1679" spans="1:9" ht="15">
      <c r="A1679" s="21">
        <f t="shared" si="30"/>
        <v>186</v>
      </c>
      <c r="B1679" s="14" t="s">
        <v>2341</v>
      </c>
      <c r="C1679" s="85" t="str">
        <f ca="1">IFERROR(__xludf.DUMMYFUNCTION("GOOGLETRANSLATE(B1679:B1694,""RU"",""UK"")"),"Різець токарний підрізний відігнутий Т15К6 40х30х200")</f>
        <v>Різець токарний підрізний відігнутий Т15К6 40х30х200</v>
      </c>
      <c r="D1679" s="15" t="s">
        <v>6</v>
      </c>
      <c r="E1679" s="15">
        <v>20</v>
      </c>
      <c r="F1679" s="91" t="s">
        <v>327</v>
      </c>
      <c r="G1679" s="4"/>
      <c r="H1679" s="4"/>
      <c r="I1679" s="4"/>
    </row>
    <row r="1680" spans="1:9" ht="15">
      <c r="A1680" s="21">
        <f t="shared" si="30"/>
        <v>187</v>
      </c>
      <c r="B1680" s="14" t="s">
        <v>2342</v>
      </c>
      <c r="C1680" s="85" t="str">
        <f ca="1">IFERROR(__xludf.DUMMYFUNCTION("GOOGLETRANSLATE(B1680:B1695,""RU"",""UK"")"),"Різець токарний підрізний прямий. ВК8 d10х70")</f>
        <v>Різець токарний підрізний прямий. ВК8 d10х70</v>
      </c>
      <c r="D1680" s="15" t="s">
        <v>6</v>
      </c>
      <c r="E1680" s="15">
        <v>10</v>
      </c>
      <c r="F1680" s="91" t="s">
        <v>2343</v>
      </c>
      <c r="G1680" s="4"/>
      <c r="H1680" s="4"/>
      <c r="I1680" s="4"/>
    </row>
    <row r="1681" spans="1:9" ht="15">
      <c r="A1681" s="21">
        <f t="shared" si="30"/>
        <v>188</v>
      </c>
      <c r="B1681" s="14" t="s">
        <v>2344</v>
      </c>
      <c r="C1681" s="85" t="str">
        <f ca="1">IFERROR(__xludf.DUMMYFUNCTION("GOOGLETRANSLATE(B1681:B1696,""RU"",""UK"")"),"Різець токарний підрізний прямий. ВК8 12х12х50/d16х50")</f>
        <v>Різець токарний підрізний прямий. ВК8 12х12х50/d16х50</v>
      </c>
      <c r="D1681" s="15" t="s">
        <v>6</v>
      </c>
      <c r="E1681" s="15" t="s">
        <v>707</v>
      </c>
      <c r="F1681" s="91" t="s">
        <v>2345</v>
      </c>
      <c r="G1681" s="4"/>
      <c r="H1681" s="4"/>
      <c r="I1681" s="4"/>
    </row>
    <row r="1682" spans="1:9" ht="15">
      <c r="A1682" s="21">
        <f t="shared" si="30"/>
        <v>189</v>
      </c>
      <c r="B1682" s="14" t="s">
        <v>2346</v>
      </c>
      <c r="C1682" s="85" t="str">
        <f ca="1">IFERROR(__xludf.DUMMYFUNCTION("GOOGLETRANSLATE(B1682:B1697,""RU"",""UK"")"),"Різець токарний підрізний прямий. ВК8 12х12х70")</f>
        <v>Різець токарний підрізний прямий. ВК8 12х12х70</v>
      </c>
      <c r="D1682" s="15" t="s">
        <v>6</v>
      </c>
      <c r="E1682" s="15">
        <v>1</v>
      </c>
      <c r="F1682" s="91" t="s">
        <v>124</v>
      </c>
      <c r="G1682" s="4"/>
      <c r="H1682" s="4"/>
      <c r="I1682" s="4"/>
    </row>
    <row r="1683" spans="1:9" ht="15">
      <c r="A1683" s="21">
        <f t="shared" si="30"/>
        <v>190</v>
      </c>
      <c r="B1683" s="14" t="s">
        <v>2347</v>
      </c>
      <c r="C1683" s="85" t="str">
        <f ca="1">IFERROR(__xludf.DUMMYFUNCTION("GOOGLETRANSLATE(B1683:B1698,""RU"",""UK"")"),"Різець токарний підрізний прямий. ВК8 16х16х70лев")</f>
        <v>Різець токарний підрізний прямий. ВК8 16х16х70лев</v>
      </c>
      <c r="D1683" s="15" t="s">
        <v>6</v>
      </c>
      <c r="E1683" s="15">
        <v>11</v>
      </c>
      <c r="F1683" s="91" t="s">
        <v>1073</v>
      </c>
      <c r="G1683" s="4"/>
      <c r="H1683" s="4"/>
      <c r="I1683" s="4"/>
    </row>
    <row r="1684" spans="1:9" ht="15">
      <c r="A1684" s="21">
        <f t="shared" si="30"/>
        <v>191</v>
      </c>
      <c r="B1684" s="14" t="s">
        <v>2348</v>
      </c>
      <c r="C1684" s="85" t="str">
        <f ca="1">IFERROR(__xludf.DUMMYFUNCTION("GOOGLETRANSLATE(B1684:B1699,""RU"",""UK"")"),"Різець токарний підрізний прямий. ВК8 16х16х100")</f>
        <v>Різець токарний підрізний прямий. ВК8 16х16х100</v>
      </c>
      <c r="D1684" s="15" t="s">
        <v>6</v>
      </c>
      <c r="E1684" s="15">
        <v>4</v>
      </c>
      <c r="F1684" s="91" t="s">
        <v>201</v>
      </c>
      <c r="G1684" s="4"/>
      <c r="H1684" s="4"/>
      <c r="I1684" s="4"/>
    </row>
    <row r="1685" spans="1:9" ht="15">
      <c r="A1685" s="21">
        <f t="shared" si="30"/>
        <v>192</v>
      </c>
      <c r="B1685" s="14" t="s">
        <v>2349</v>
      </c>
      <c r="C1685" s="85" t="str">
        <f ca="1">IFERROR(__xludf.DUMMYFUNCTION("GOOGLETRANSLATE(B1685:B1700,""RU"",""UK"")"),"Різець токарний підрізний прямий. ВК8 22х22х130/25х25х100")</f>
        <v>Різець токарний підрізний прямий. ВК8 22х22х130/25х25х100</v>
      </c>
      <c r="D1685" s="15" t="s">
        <v>6</v>
      </c>
      <c r="E1685" s="15" t="s">
        <v>2117</v>
      </c>
      <c r="F1685" s="91" t="s">
        <v>226</v>
      </c>
      <c r="G1685" s="4"/>
      <c r="H1685" s="4"/>
      <c r="I1685" s="4"/>
    </row>
    <row r="1686" spans="1:9" ht="15">
      <c r="A1686" s="21">
        <f t="shared" si="30"/>
        <v>193</v>
      </c>
      <c r="B1686" s="14" t="s">
        <v>2350</v>
      </c>
      <c r="C1686" s="85" t="str">
        <f ca="1">IFERROR(__xludf.DUMMYFUNCTION("GOOGLETRANSLATE(B1686:B1701,""RU"",""UK"")"),"Різець токарний підрізний прямий. ВК8 25х16х100лев")</f>
        <v>Різець токарний підрізний прямий. ВК8 25х16х100лев</v>
      </c>
      <c r="D1686" s="15" t="s">
        <v>6</v>
      </c>
      <c r="E1686" s="15">
        <v>1</v>
      </c>
      <c r="F1686" s="91" t="s">
        <v>371</v>
      </c>
      <c r="G1686" s="4"/>
      <c r="H1686" s="4"/>
      <c r="I1686" s="4"/>
    </row>
    <row r="1687" spans="1:9" ht="15">
      <c r="A1687" s="21">
        <f t="shared" si="30"/>
        <v>194</v>
      </c>
      <c r="B1687" s="14" t="s">
        <v>2351</v>
      </c>
      <c r="C1687" s="85" t="str">
        <f ca="1">IFERROR(__xludf.DUMMYFUNCTION("GOOGLETRANSLATE(B1687:B1702,""RU"",""UK"")"),"Різець токарний підрізний прямий. ВК8 32х20х140/32х20х100лев")</f>
        <v>Різець токарний підрізний прямий. ВК8 32х20х140/32х20х100лев</v>
      </c>
      <c r="D1687" s="15" t="s">
        <v>6</v>
      </c>
      <c r="E1687" s="15" t="s">
        <v>2352</v>
      </c>
      <c r="F1687" s="91" t="s">
        <v>2106</v>
      </c>
      <c r="G1687" s="4"/>
      <c r="H1687" s="4"/>
      <c r="I1687" s="4"/>
    </row>
    <row r="1688" spans="1:9" ht="15">
      <c r="A1688" s="21">
        <f t="shared" ref="A1688:A1751" si="31">A1687+1</f>
        <v>195</v>
      </c>
      <c r="B1688" s="14" t="s">
        <v>2353</v>
      </c>
      <c r="C1688" s="85" t="str">
        <f ca="1">IFERROR(__xludf.DUMMYFUNCTION("GOOGLETRANSLATE(B1688:B1703,""RU"",""UK"")"),"Різець токарний підрізний прямий ВК8 d-20х90/d-16х50лев/d-16х60лев")</f>
        <v>Різець токарний підрізний прямий ВК8 d-20х90/d-16х50лев/d-16х60лев</v>
      </c>
      <c r="D1688" s="15" t="s">
        <v>6</v>
      </c>
      <c r="E1688" s="15" t="s">
        <v>2354</v>
      </c>
      <c r="F1688" s="91" t="s">
        <v>2355</v>
      </c>
      <c r="G1688" s="4"/>
      <c r="H1688" s="4"/>
      <c r="I1688" s="4"/>
    </row>
    <row r="1689" spans="1:9" ht="15">
      <c r="A1689" s="21">
        <f t="shared" si="31"/>
        <v>196</v>
      </c>
      <c r="B1689" s="14" t="s">
        <v>2356</v>
      </c>
      <c r="C1689" s="85" t="str">
        <f ca="1">IFERROR(__xludf.DUMMYFUNCTION("GOOGLETRANSLATE(B1689:B1704,""RU"",""UK"")"),"Різець токарний підрізний відігнутий ВК8 10х12х90")</f>
        <v>Різець токарний підрізний відігнутий ВК8 10х12х90</v>
      </c>
      <c r="D1689" s="15" t="s">
        <v>6</v>
      </c>
      <c r="E1689" s="15">
        <v>11</v>
      </c>
      <c r="F1689" s="91" t="s">
        <v>2357</v>
      </c>
      <c r="G1689" s="4"/>
      <c r="H1689" s="4"/>
      <c r="I1689" s="4"/>
    </row>
    <row r="1690" spans="1:9" ht="15">
      <c r="A1690" s="21">
        <f t="shared" si="31"/>
        <v>197</v>
      </c>
      <c r="B1690" s="14" t="s">
        <v>2358</v>
      </c>
      <c r="C1690" s="85" t="str">
        <f ca="1">IFERROR(__xludf.DUMMYFUNCTION("GOOGLETRANSLATE(B1690:B1705,""RU"",""UK"")"),"Різець токарний підрізний відігнутий ВК8 16х10х100 /16х12х100/16х12х120")</f>
        <v>Різець токарний підрізний відігнутий ВК8 16х10х100 /16х12х100/16х12х120</v>
      </c>
      <c r="D1690" s="15" t="s">
        <v>6</v>
      </c>
      <c r="E1690" s="15" t="s">
        <v>2359</v>
      </c>
      <c r="F1690" s="91" t="s">
        <v>255</v>
      </c>
      <c r="G1690" s="4"/>
      <c r="H1690" s="4"/>
      <c r="I1690" s="4"/>
    </row>
    <row r="1691" spans="1:9" ht="15">
      <c r="A1691" s="21">
        <f t="shared" si="31"/>
        <v>198</v>
      </c>
      <c r="B1691" s="14" t="s">
        <v>2360</v>
      </c>
      <c r="C1691" s="85" t="str">
        <f ca="1">IFERROR(__xludf.DUMMYFUNCTION("GOOGLETRANSLATE(B1691:B1706,""RU"",""UK"")"),"Різець токарний підрізний відігнутий ВК8 16х16х85/16х16х100 лев")</f>
        <v>Різець токарний підрізний відігнутий ВК8 16х16х85/16х16х100 лев</v>
      </c>
      <c r="D1691" s="15" t="s">
        <v>6</v>
      </c>
      <c r="E1691" s="15" t="s">
        <v>2361</v>
      </c>
      <c r="F1691" s="91" t="s">
        <v>209</v>
      </c>
      <c r="G1691" s="4"/>
      <c r="H1691" s="4"/>
      <c r="I1691" s="4"/>
    </row>
    <row r="1692" spans="1:9" ht="15">
      <c r="A1692" s="21">
        <f t="shared" si="31"/>
        <v>199</v>
      </c>
      <c r="B1692" s="14" t="s">
        <v>2362</v>
      </c>
      <c r="C1692" s="85" t="str">
        <f ca="1">IFERROR(__xludf.DUMMYFUNCTION("GOOGLETRANSLATE(B1692:B1707,""RU"",""UK"")"),"Різець токарний підрізний відігнутий ВК8 16х16х160 пр/лев")</f>
        <v>Різець токарний підрізний відігнутий ВК8 16х16х160 пр/лев</v>
      </c>
      <c r="D1692" s="15" t="s">
        <v>6</v>
      </c>
      <c r="E1692" s="15">
        <v>10</v>
      </c>
      <c r="F1692" s="91" t="s">
        <v>257</v>
      </c>
      <c r="G1692" s="4"/>
      <c r="H1692" s="4"/>
      <c r="I1692" s="4"/>
    </row>
    <row r="1693" spans="1:9" ht="15">
      <c r="A1693" s="21">
        <f t="shared" si="31"/>
        <v>200</v>
      </c>
      <c r="B1693" s="14" t="s">
        <v>2363</v>
      </c>
      <c r="C1693" s="85" t="str">
        <f ca="1">IFERROR(__xludf.DUMMYFUNCTION("GOOGLETRANSLATE(B1693:B1708,""RU"",""UK"")"),"Різець токарний підрізний відігнутий ВК8 20х12х120")</f>
        <v>Різець токарний підрізний відігнутий ВК8 20х12х120</v>
      </c>
      <c r="D1693" s="15" t="s">
        <v>6</v>
      </c>
      <c r="E1693" s="15">
        <v>23</v>
      </c>
      <c r="F1693" s="91" t="s">
        <v>104</v>
      </c>
      <c r="G1693" s="4"/>
      <c r="H1693" s="4"/>
      <c r="I1693" s="4"/>
    </row>
    <row r="1694" spans="1:9" ht="15">
      <c r="A1694" s="21">
        <f t="shared" si="31"/>
        <v>201</v>
      </c>
      <c r="B1694" s="14" t="s">
        <v>2364</v>
      </c>
      <c r="C1694" s="85" t="str">
        <f ca="1">IFERROR(__xludf.DUMMYFUNCTION("GOOGLETRANSLATE(B1694:B1709,""RU"",""UK"")"),"Різець токарний підрізний відігнутий ВК8 20х16х120")</f>
        <v>Різець токарний підрізний відігнутий ВК8 20х16х120</v>
      </c>
      <c r="D1694" s="15" t="s">
        <v>6</v>
      </c>
      <c r="E1694" s="15">
        <v>88</v>
      </c>
      <c r="F1694" s="91" t="s">
        <v>338</v>
      </c>
      <c r="G1694" s="4"/>
      <c r="H1694" s="4"/>
      <c r="I1694" s="4"/>
    </row>
    <row r="1695" spans="1:9" ht="15">
      <c r="A1695" s="21">
        <f t="shared" si="31"/>
        <v>202</v>
      </c>
      <c r="B1695" s="14" t="s">
        <v>2365</v>
      </c>
      <c r="C1695" s="85" t="str">
        <f ca="1">IFERROR(__xludf.DUMMYFUNCTION("GOOGLETRANSLATE(B1695:B1710,""RU"",""UK"")"),"Різець токарний підрізний відігнутий ВК8 25х16х140/25х16х140 лев")</f>
        <v>Різець токарний підрізний відігнутий ВК8 25х16х140/25х16х140 лев</v>
      </c>
      <c r="D1695" s="15" t="s">
        <v>6</v>
      </c>
      <c r="E1695" s="15" t="s">
        <v>2366</v>
      </c>
      <c r="F1695" s="91" t="s">
        <v>136</v>
      </c>
      <c r="G1695" s="4"/>
      <c r="H1695" s="4"/>
      <c r="I1695" s="4"/>
    </row>
    <row r="1696" spans="1:9" ht="15">
      <c r="A1696" s="21">
        <f t="shared" si="31"/>
        <v>203</v>
      </c>
      <c r="B1696" s="14" t="s">
        <v>2367</v>
      </c>
      <c r="C1696" s="85" t="str">
        <f ca="1">IFERROR(__xludf.DUMMYFUNCTION("GOOGLETRANSLATE(B1696:B1711,""RU"",""UK"")"),"Різець токарний підрізний відігнутий двосторін. ВК8 25х16х140")</f>
        <v>Різець токарний підрізний відігнутий двосторін. ВК8 25х16х140</v>
      </c>
      <c r="D1696" s="15" t="s">
        <v>6</v>
      </c>
      <c r="E1696" s="15">
        <v>13</v>
      </c>
      <c r="F1696" s="91" t="s">
        <v>557</v>
      </c>
      <c r="G1696" s="4"/>
      <c r="H1696" s="4"/>
      <c r="I1696" s="4"/>
    </row>
    <row r="1697" spans="1:9" ht="15">
      <c r="A1697" s="21">
        <f t="shared" si="31"/>
        <v>204</v>
      </c>
      <c r="B1697" s="14" t="s">
        <v>2368</v>
      </c>
      <c r="C1697" s="85" t="str">
        <f ca="1">IFERROR(__xludf.DUMMYFUNCTION("GOOGLETRANSLATE(B1697:B1712,""RU"",""UK"")"),"Різець токарний підрізний відігнутий ВК8 25х20х140")</f>
        <v>Різець токарний підрізний відігнутий ВК8 25х20х140</v>
      </c>
      <c r="D1697" s="15" t="s">
        <v>6</v>
      </c>
      <c r="E1697" s="15">
        <v>217</v>
      </c>
      <c r="F1697" s="91" t="s">
        <v>344</v>
      </c>
      <c r="G1697" s="4"/>
      <c r="H1697" s="4"/>
      <c r="I1697" s="4"/>
    </row>
    <row r="1698" spans="1:9" ht="15">
      <c r="A1698" s="21">
        <f t="shared" si="31"/>
        <v>205</v>
      </c>
      <c r="B1698" s="14" t="s">
        <v>2369</v>
      </c>
      <c r="C1698" s="85" t="str">
        <f ca="1">IFERROR(__xludf.DUMMYFUNCTION("GOOGLETRANSLATE(B1698:B1713,""RU"",""UK"")"),"Різець токарний підрізний відігнутий ВК8 25х20х160")</f>
        <v>Різець токарний підрізний відігнутий ВК8 25х20х160</v>
      </c>
      <c r="D1698" s="15" t="s">
        <v>6</v>
      </c>
      <c r="E1698" s="15">
        <v>75</v>
      </c>
      <c r="F1698" s="91" t="s">
        <v>557</v>
      </c>
      <c r="G1698" s="4"/>
      <c r="H1698" s="4"/>
      <c r="I1698" s="4"/>
    </row>
    <row r="1699" spans="1:9" ht="15">
      <c r="A1699" s="21">
        <f t="shared" si="31"/>
        <v>206</v>
      </c>
      <c r="B1699" s="14" t="s">
        <v>2370</v>
      </c>
      <c r="C1699" s="85" t="str">
        <f ca="1">IFERROR(__xludf.DUMMYFUNCTION("GOOGLETRANSLATE(B1699:B1714,""RU"",""UK"")"),"Різець токарний підрізний відігнутий ВК8 32х20х170/32х20х170 лев.")</f>
        <v>Різець токарний підрізний відігнутий ВК8 32х20х170/32х20х170 лев.</v>
      </c>
      <c r="D1699" s="15" t="s">
        <v>6</v>
      </c>
      <c r="E1699" s="15" t="s">
        <v>2371</v>
      </c>
      <c r="F1699" s="91" t="s">
        <v>317</v>
      </c>
      <c r="G1699" s="4"/>
      <c r="H1699" s="4"/>
      <c r="I1699" s="4"/>
    </row>
    <row r="1700" spans="1:9" ht="15">
      <c r="A1700" s="21">
        <f t="shared" si="31"/>
        <v>207</v>
      </c>
      <c r="B1700" s="14" t="s">
        <v>2372</v>
      </c>
      <c r="C1700" s="85" t="str">
        <f ca="1">IFERROR(__xludf.DUMMYFUNCTION("GOOGLETRANSLATE(B1700:B1715,""RU"",""UK"")"),"Різець токарний підрізний відігнутий ВК8 32х25х170")</f>
        <v>Різець токарний підрізний відігнутий ВК8 32х25х170</v>
      </c>
      <c r="D1700" s="15" t="s">
        <v>6</v>
      </c>
      <c r="E1700" s="15">
        <v>65</v>
      </c>
      <c r="F1700" s="91" t="s">
        <v>317</v>
      </c>
      <c r="G1700" s="4"/>
      <c r="H1700" s="4"/>
      <c r="I1700" s="4"/>
    </row>
    <row r="1701" spans="1:9" ht="15">
      <c r="A1701" s="21">
        <f t="shared" si="31"/>
        <v>208</v>
      </c>
      <c r="B1701" s="14" t="s">
        <v>2373</v>
      </c>
      <c r="C1701" s="85" t="str">
        <f ca="1">IFERROR(__xludf.DUMMYFUNCTION("GOOGLETRANSLATE(B1701:B1716,""RU"",""UK"")"),"Різець токарний підрізний відігнутий ВК8 32х25х220 лев.")</f>
        <v>Різець токарний підрізний відігнутий ВК8 32х25х220 лев.</v>
      </c>
      <c r="D1701" s="15" t="s">
        <v>6</v>
      </c>
      <c r="E1701" s="15">
        <v>3</v>
      </c>
      <c r="F1701" s="91" t="s">
        <v>319</v>
      </c>
      <c r="G1701" s="4"/>
      <c r="H1701" s="4"/>
      <c r="I1701" s="4"/>
    </row>
    <row r="1702" spans="1:9" ht="15">
      <c r="A1702" s="21">
        <f t="shared" si="31"/>
        <v>209</v>
      </c>
      <c r="B1702" s="14" t="s">
        <v>2374</v>
      </c>
      <c r="C1702" s="85" t="str">
        <f ca="1">IFERROR(__xludf.DUMMYFUNCTION("GOOGLETRANSLATE(B1702:B1717,""RU"",""UK"")"),"Різець токарний підрізний відігнутий ВК8 32х20х110 лев.")</f>
        <v>Різець токарний підрізний відігнутий ВК8 32х20х110 лев.</v>
      </c>
      <c r="D1702" s="15" t="s">
        <v>6</v>
      </c>
      <c r="E1702" s="15">
        <v>26</v>
      </c>
      <c r="F1702" s="91" t="s">
        <v>319</v>
      </c>
      <c r="G1702" s="4"/>
      <c r="H1702" s="4"/>
      <c r="I1702" s="4"/>
    </row>
    <row r="1703" spans="1:9" ht="15">
      <c r="A1703" s="21">
        <f t="shared" si="31"/>
        <v>210</v>
      </c>
      <c r="B1703" s="14" t="s">
        <v>2375</v>
      </c>
      <c r="C1703" s="85" t="str">
        <f ca="1">IFERROR(__xludf.DUMMYFUNCTION("GOOGLETRANSLATE(B1703:B1718,""RU"",""UK"")"),"Різець токарний підрізний радіусний ВК8 32х25х170")</f>
        <v>Різець токарний підрізний радіусний ВК8 32х25х170</v>
      </c>
      <c r="D1703" s="15" t="s">
        <v>6</v>
      </c>
      <c r="E1703" s="15">
        <v>10</v>
      </c>
      <c r="F1703" s="91" t="s">
        <v>348</v>
      </c>
      <c r="G1703" s="4"/>
      <c r="H1703" s="4"/>
      <c r="I1703" s="4"/>
    </row>
    <row r="1704" spans="1:9" ht="15">
      <c r="A1704" s="21">
        <f t="shared" si="31"/>
        <v>211</v>
      </c>
      <c r="B1704" s="14" t="s">
        <v>2376</v>
      </c>
      <c r="C1704" s="85" t="str">
        <f ca="1">IFERROR(__xludf.DUMMYFUNCTION("GOOGLETRANSLATE(B1704:B1719,""RU"",""UK"")"),"Різець токарний підрізний відігнутий ВК8 40х25х200")</f>
        <v>Різець токарний підрізний відігнутий ВК8 40х25х200</v>
      </c>
      <c r="D1704" s="15" t="s">
        <v>6</v>
      </c>
      <c r="E1704" s="15">
        <v>18</v>
      </c>
      <c r="F1704" s="91" t="s">
        <v>140</v>
      </c>
      <c r="G1704" s="4"/>
      <c r="H1704" s="4"/>
      <c r="I1704" s="4"/>
    </row>
    <row r="1705" spans="1:9" ht="15">
      <c r="A1705" s="21">
        <f t="shared" si="31"/>
        <v>212</v>
      </c>
      <c r="B1705" s="14" t="s">
        <v>2377</v>
      </c>
      <c r="C1705" s="85" t="str">
        <f ca="1">IFERROR(__xludf.DUMMYFUNCTION("GOOGLETRANSLATE(B1705:B1720,""RU"",""UK"")"),"Різець токарний підрізний відігнутий ВК8 40х30х230")</f>
        <v>Різець токарний підрізний відігнутий ВК8 40х30х230</v>
      </c>
      <c r="D1705" s="15" t="s">
        <v>6</v>
      </c>
      <c r="E1705" s="15">
        <v>5</v>
      </c>
      <c r="F1705" s="91" t="s">
        <v>20</v>
      </c>
      <c r="G1705" s="4"/>
      <c r="H1705" s="4"/>
      <c r="I1705" s="4"/>
    </row>
    <row r="1706" spans="1:9" ht="15">
      <c r="A1706" s="21">
        <f t="shared" si="31"/>
        <v>213</v>
      </c>
      <c r="B1706" s="14" t="s">
        <v>2378</v>
      </c>
      <c r="C1706" s="85" t="str">
        <f ca="1">IFERROR(__xludf.DUMMYFUNCTION("GOOGLETRANSLATE(B1706:B1721,""RU"",""UK"")"),"Різець токарний підрізний Р6М5 25х20х140/Р18 40х25х190")</f>
        <v>Різець токарний підрізний Р6М5 25х20х140/Р18 40х25х190</v>
      </c>
      <c r="D1706" s="15" t="s">
        <v>6</v>
      </c>
      <c r="E1706" s="15" t="s">
        <v>899</v>
      </c>
      <c r="F1706" s="91" t="s">
        <v>226</v>
      </c>
      <c r="G1706" s="4"/>
      <c r="H1706" s="4"/>
      <c r="I1706" s="4"/>
    </row>
    <row r="1707" spans="1:9" ht="15">
      <c r="A1707" s="21">
        <f t="shared" si="31"/>
        <v>214</v>
      </c>
      <c r="B1707" s="14" t="s">
        <v>2379</v>
      </c>
      <c r="C1707" s="85" t="str">
        <f ca="1">IFERROR(__xludf.DUMMYFUNCTION("GOOGLETRANSLATE(B1707:B1722,""RU"",""UK"")"),"Різець токарний різьбовий Т15К6 16х12х120/20х12х120")</f>
        <v>Різець токарний різьбовий Т15К6 16х12х120/20х12х120</v>
      </c>
      <c r="D1707" s="15" t="s">
        <v>6</v>
      </c>
      <c r="E1707" s="15" t="s">
        <v>2380</v>
      </c>
      <c r="F1707" s="91" t="s">
        <v>564</v>
      </c>
      <c r="G1707" s="4"/>
      <c r="H1707" s="4"/>
      <c r="I1707" s="4"/>
    </row>
    <row r="1708" spans="1:9" ht="15">
      <c r="A1708" s="21">
        <f t="shared" si="31"/>
        <v>215</v>
      </c>
      <c r="B1708" s="16" t="s">
        <v>2381</v>
      </c>
      <c r="C1708" s="85" t="str">
        <f ca="1">IFERROR(__xludf.DUMMYFUNCTION("GOOGLETRANSLATE(B1708:B1723,""RU"",""UK"")"),"Різець токарний різьбовий Т15К6 25х16х140")</f>
        <v>Різець токарний різьбовий Т15К6 25х16х140</v>
      </c>
      <c r="D1708" s="15" t="s">
        <v>6</v>
      </c>
      <c r="E1708" s="15">
        <v>53</v>
      </c>
      <c r="F1708" s="91" t="s">
        <v>344</v>
      </c>
      <c r="G1708" s="4"/>
      <c r="H1708" s="4"/>
      <c r="I1708" s="4"/>
    </row>
    <row r="1709" spans="1:9" ht="15">
      <c r="A1709" s="21">
        <f t="shared" si="31"/>
        <v>216</v>
      </c>
      <c r="B1709" s="14" t="s">
        <v>2382</v>
      </c>
      <c r="C1709" s="85" t="str">
        <f ca="1">IFERROR(__xludf.DUMMYFUNCTION("GOOGLETRANSLATE(B1709:B1724,""RU"",""UK"")"),"Різець токарний різьбовий Т15К6 32х20х170")</f>
        <v>Різець токарний різьбовий Т15К6 32х20х170</v>
      </c>
      <c r="D1709" s="15" t="s">
        <v>6</v>
      </c>
      <c r="E1709" s="15">
        <v>87</v>
      </c>
      <c r="F1709" s="91" t="s">
        <v>319</v>
      </c>
      <c r="G1709" s="4"/>
      <c r="H1709" s="4"/>
      <c r="I1709" s="4"/>
    </row>
    <row r="1710" spans="1:9" ht="15">
      <c r="A1710" s="21">
        <f t="shared" si="31"/>
        <v>217</v>
      </c>
      <c r="B1710" s="14" t="s">
        <v>2383</v>
      </c>
      <c r="C1710" s="85" t="str">
        <f ca="1">IFERROR(__xludf.DUMMYFUNCTION("GOOGLETRANSLATE(B1710:B1725,""RU"",""UK"")"),"Різець токарний різьбовий Т15К6 внутр. 12х12х110")</f>
        <v>Різець токарний різьбовий Т15К6 внутр. 12х12х110</v>
      </c>
      <c r="D1710" s="15" t="s">
        <v>6</v>
      </c>
      <c r="E1710" s="15">
        <v>1</v>
      </c>
      <c r="F1710" s="91" t="s">
        <v>371</v>
      </c>
      <c r="G1710" s="4"/>
      <c r="H1710" s="4"/>
      <c r="I1710" s="4"/>
    </row>
    <row r="1711" spans="1:9" ht="15">
      <c r="A1711" s="21">
        <f t="shared" si="31"/>
        <v>218</v>
      </c>
      <c r="B1711" s="14" t="s">
        <v>2384</v>
      </c>
      <c r="C1711" s="85" t="str">
        <f ca="1">IFERROR(__xludf.DUMMYFUNCTION("GOOGLETRANSLATE(B1711:B1726,""RU"",""UK"")"),"Різець токарний різьбовий Т15К6 внутр. 16х16х170")</f>
        <v>Різець токарний різьбовий Т15К6 внутр. 16х16х170</v>
      </c>
      <c r="D1711" s="15" t="s">
        <v>6</v>
      </c>
      <c r="E1711" s="15">
        <v>72</v>
      </c>
      <c r="F1711" s="91" t="s">
        <v>194</v>
      </c>
      <c r="G1711" s="4"/>
      <c r="H1711" s="4"/>
      <c r="I1711" s="4"/>
    </row>
    <row r="1712" spans="1:9" ht="15">
      <c r="A1712" s="21">
        <f t="shared" si="31"/>
        <v>219</v>
      </c>
      <c r="B1712" s="14" t="s">
        <v>2385</v>
      </c>
      <c r="C1712" s="85" t="str">
        <f ca="1">IFERROR(__xludf.DUMMYFUNCTION("GOOGLETRANSLATE(B1712:B1727,""RU"",""UK"")"),"Різець токарний різьбовий Т15К6 внутр. 25х16х140")</f>
        <v>Різець токарний різьбовий Т15К6 внутр. 25х16х140</v>
      </c>
      <c r="D1712" s="15" t="s">
        <v>6</v>
      </c>
      <c r="E1712" s="15">
        <v>3</v>
      </c>
      <c r="F1712" s="91" t="s">
        <v>557</v>
      </c>
      <c r="G1712" s="4"/>
      <c r="H1712" s="4"/>
      <c r="I1712" s="4"/>
    </row>
    <row r="1713" spans="1:9" ht="15">
      <c r="A1713" s="21">
        <f t="shared" si="31"/>
        <v>220</v>
      </c>
      <c r="B1713" s="14" t="s">
        <v>2386</v>
      </c>
      <c r="C1713" s="85" t="str">
        <f ca="1">IFERROR(__xludf.DUMMYFUNCTION("GOOGLETRANSLATE(B1713:B1728,""RU"",""UK"")"),"Різець токарний різьбовий Т15К6 внутр. 20х20х170/25х16х170")</f>
        <v>Різець токарний різьбовий Т15К6 внутр. 20х20х170/25х16х170</v>
      </c>
      <c r="D1713" s="15" t="s">
        <v>6</v>
      </c>
      <c r="E1713" s="15" t="s">
        <v>459</v>
      </c>
      <c r="F1713" s="91" t="s">
        <v>348</v>
      </c>
      <c r="G1713" s="4"/>
      <c r="H1713" s="4"/>
      <c r="I1713" s="4"/>
    </row>
    <row r="1714" spans="1:9" ht="15">
      <c r="A1714" s="21">
        <f t="shared" si="31"/>
        <v>221</v>
      </c>
      <c r="B1714" s="14" t="s">
        <v>2387</v>
      </c>
      <c r="C1714" s="85" t="str">
        <f ca="1">IFERROR(__xludf.DUMMYFUNCTION("GOOGLETRANSLATE(B1714:B1729,""RU"",""UK"")"),"Різець токарний різьбовий Т15К6 внутр. 20х20х200")</f>
        <v>Різець токарний різьбовий Т15К6 внутр. 20х20х200</v>
      </c>
      <c r="D1714" s="15" t="s">
        <v>6</v>
      </c>
      <c r="E1714" s="15">
        <v>19</v>
      </c>
      <c r="F1714" s="91" t="s">
        <v>348</v>
      </c>
      <c r="G1714" s="4"/>
      <c r="H1714" s="4"/>
      <c r="I1714" s="4"/>
    </row>
    <row r="1715" spans="1:9" ht="15">
      <c r="A1715" s="21">
        <f t="shared" si="31"/>
        <v>222</v>
      </c>
      <c r="B1715" s="14" t="s">
        <v>2388</v>
      </c>
      <c r="C1715" s="85" t="str">
        <f ca="1">IFERROR(__xludf.DUMMYFUNCTION("GOOGLETRANSLATE(B1715:B1730,""RU"",""UK"")"),"Різець токарний різьбовий Т15К6 внутр. 25х25х240")</f>
        <v>Різець токарний різьбовий Т15К6 внутр. 25х25х240</v>
      </c>
      <c r="D1715" s="15" t="s">
        <v>6</v>
      </c>
      <c r="E1715" s="15">
        <v>1</v>
      </c>
      <c r="F1715" s="91" t="s">
        <v>319</v>
      </c>
      <c r="G1715" s="4"/>
      <c r="H1715" s="4"/>
      <c r="I1715" s="4"/>
    </row>
    <row r="1716" spans="1:9" ht="15">
      <c r="A1716" s="21">
        <f t="shared" si="31"/>
        <v>223</v>
      </c>
      <c r="B1716" s="14" t="s">
        <v>2389</v>
      </c>
      <c r="C1716" s="85" t="str">
        <f ca="1">IFERROR(__xludf.DUMMYFUNCTION("GOOGLETRANSLATE(B1716:B1731,""RU"",""UK"")"),"Різець токарний різьбовий ВК8 d16х90/16х10х100")</f>
        <v>Різець токарний різьбовий ВК8 d16х90/16х10х100</v>
      </c>
      <c r="D1716" s="15" t="s">
        <v>6</v>
      </c>
      <c r="E1716" s="15" t="s">
        <v>686</v>
      </c>
      <c r="F1716" s="91" t="s">
        <v>253</v>
      </c>
      <c r="G1716" s="4"/>
      <c r="H1716" s="4"/>
      <c r="I1716" s="4"/>
    </row>
    <row r="1717" spans="1:9" ht="15">
      <c r="A1717" s="21">
        <f t="shared" si="31"/>
        <v>224</v>
      </c>
      <c r="B1717" s="14" t="s">
        <v>2390</v>
      </c>
      <c r="C1717" s="85" t="str">
        <f ca="1">IFERROR(__xludf.DUMMYFUNCTION("GOOGLETRANSLATE(B1717:B1732,""RU"",""UK"")"),"Різець токарний різьбовий ВК8 20х12х120")</f>
        <v>Різець токарний різьбовий ВК8 20х12х120</v>
      </c>
      <c r="D1717" s="15" t="s">
        <v>6</v>
      </c>
      <c r="E1717" s="15">
        <v>40</v>
      </c>
      <c r="F1717" s="91" t="s">
        <v>564</v>
      </c>
      <c r="G1717" s="4"/>
      <c r="H1717" s="4"/>
      <c r="I1717" s="4"/>
    </row>
    <row r="1718" spans="1:9" ht="15">
      <c r="A1718" s="21">
        <f t="shared" si="31"/>
        <v>225</v>
      </c>
      <c r="B1718" s="14" t="s">
        <v>2391</v>
      </c>
      <c r="C1718" s="85" t="str">
        <f ca="1">IFERROR(__xludf.DUMMYFUNCTION("GOOGLETRANSLATE(B1718:B1733,""RU"",""UK"")"),"Різець токарний різьбовий ВК8 25х16х140")</f>
        <v>Різець токарний різьбовий ВК8 25х16х140</v>
      </c>
      <c r="D1718" s="15" t="s">
        <v>6</v>
      </c>
      <c r="E1718" s="15">
        <v>476</v>
      </c>
      <c r="F1718" s="91" t="s">
        <v>344</v>
      </c>
      <c r="G1718" s="4"/>
      <c r="H1718" s="4"/>
      <c r="I1718" s="4"/>
    </row>
    <row r="1719" spans="1:9" ht="15">
      <c r="A1719" s="21">
        <f t="shared" si="31"/>
        <v>226</v>
      </c>
      <c r="B1719" s="14" t="s">
        <v>2392</v>
      </c>
      <c r="C1719" s="85" t="str">
        <f ca="1">IFERROR(__xludf.DUMMYFUNCTION("GOOGLETRANSLATE(B1719:B1734,""RU"",""UK"")"),"Різець токарний різьбовий ВК8 25х20х140")</f>
        <v>Різець токарний різьбовий ВК8 25х20х140</v>
      </c>
      <c r="D1719" s="15" t="s">
        <v>6</v>
      </c>
      <c r="E1719" s="15">
        <v>11</v>
      </c>
      <c r="F1719" s="91" t="s">
        <v>344</v>
      </c>
      <c r="G1719" s="4"/>
      <c r="H1719" s="4"/>
      <c r="I1719" s="4"/>
    </row>
    <row r="1720" spans="1:9" ht="15">
      <c r="A1720" s="21">
        <f t="shared" si="31"/>
        <v>227</v>
      </c>
      <c r="B1720" s="14" t="s">
        <v>2393</v>
      </c>
      <c r="C1720" s="85" t="str">
        <f ca="1">IFERROR(__xludf.DUMMYFUNCTION("GOOGLETRANSLATE(B1720:B1735,""RU"",""UK"")"),"Різець токарний різьбовий ВК8 25х25х140")</f>
        <v>Різець токарний різьбовий ВК8 25х25х140</v>
      </c>
      <c r="D1720" s="15" t="s">
        <v>6</v>
      </c>
      <c r="E1720" s="15">
        <v>2</v>
      </c>
      <c r="F1720" s="91" t="s">
        <v>557</v>
      </c>
      <c r="G1720" s="4"/>
      <c r="H1720" s="4"/>
      <c r="I1720" s="4"/>
    </row>
    <row r="1721" spans="1:9" ht="15">
      <c r="A1721" s="21">
        <f t="shared" si="31"/>
        <v>228</v>
      </c>
      <c r="B1721" s="14" t="s">
        <v>2394</v>
      </c>
      <c r="C1721" s="85" t="str">
        <f ca="1">IFERROR(__xludf.DUMMYFUNCTION("GOOGLETRANSLATE(B1721:B1736,""RU"",""UK"")"),"Різець токарний різьбовий ВК8 25х20х170")</f>
        <v>Різець токарний різьбовий ВК8 25х20х170</v>
      </c>
      <c r="D1721" s="15" t="s">
        <v>6</v>
      </c>
      <c r="E1721" s="15">
        <v>34</v>
      </c>
      <c r="F1721" s="91" t="s">
        <v>317</v>
      </c>
      <c r="G1721" s="4"/>
      <c r="H1721" s="4"/>
      <c r="I1721" s="4"/>
    </row>
    <row r="1722" spans="1:9" ht="15">
      <c r="A1722" s="21">
        <f t="shared" si="31"/>
        <v>229</v>
      </c>
      <c r="B1722" s="14" t="s">
        <v>2395</v>
      </c>
      <c r="C1722" s="85" t="str">
        <f ca="1">IFERROR(__xludf.DUMMYFUNCTION("GOOGLETRANSLATE(B1722:B1737,""RU"",""UK"")"),"Різець токарний різьбовий ВК8 32х20х170")</f>
        <v>Різець токарний різьбовий ВК8 32х20х170</v>
      </c>
      <c r="D1722" s="15" t="s">
        <v>6</v>
      </c>
      <c r="E1722" s="15">
        <v>127</v>
      </c>
      <c r="F1722" s="91" t="s">
        <v>319</v>
      </c>
      <c r="G1722" s="4"/>
      <c r="H1722" s="4"/>
      <c r="I1722" s="4"/>
    </row>
    <row r="1723" spans="1:9" ht="15">
      <c r="A1723" s="21">
        <f t="shared" si="31"/>
        <v>230</v>
      </c>
      <c r="B1723" s="14" t="s">
        <v>2396</v>
      </c>
      <c r="C1723" s="85" t="str">
        <f ca="1">IFERROR(__xludf.DUMMYFUNCTION("GOOGLETRANSLATE(B1723:B1738,""RU"",""UK"")"),"Різець токарний різьбовий ВК8 внутр. 12х12х110/12х12х130")</f>
        <v>Різець токарний різьбовий ВК8 внутр. 12х12х110/12х12х130</v>
      </c>
      <c r="D1723" s="15" t="s">
        <v>6</v>
      </c>
      <c r="E1723" s="15" t="s">
        <v>2031</v>
      </c>
      <c r="F1723" s="91" t="s">
        <v>371</v>
      </c>
      <c r="G1723" s="4"/>
      <c r="H1723" s="4"/>
      <c r="I1723" s="4"/>
    </row>
    <row r="1724" spans="1:9" ht="15">
      <c r="A1724" s="21">
        <f t="shared" si="31"/>
        <v>231</v>
      </c>
      <c r="B1724" s="14" t="s">
        <v>2397</v>
      </c>
      <c r="C1724" s="85" t="str">
        <f ca="1">IFERROR(__xludf.DUMMYFUNCTION("GOOGLETRANSLATE(B1724:B1739,""RU"",""UK"")"),"Різець токарний різьбовий ВК8 внутр. 16х16х170/d25х90мм")</f>
        <v>Різець токарний різьбовий ВК8 внутр. 16х16х170/d25х90мм</v>
      </c>
      <c r="D1724" s="15" t="s">
        <v>6</v>
      </c>
      <c r="E1724" s="15" t="s">
        <v>2398</v>
      </c>
      <c r="F1724" s="91" t="s">
        <v>194</v>
      </c>
      <c r="G1724" s="4"/>
      <c r="H1724" s="4"/>
      <c r="I1724" s="4"/>
    </row>
    <row r="1725" spans="1:9" ht="15">
      <c r="A1725" s="21">
        <f t="shared" si="31"/>
        <v>232</v>
      </c>
      <c r="B1725" s="14" t="s">
        <v>2399</v>
      </c>
      <c r="C1725" s="85" t="str">
        <f ca="1">IFERROR(__xludf.DUMMYFUNCTION("GOOGLETRANSLATE(B1725:B1740,""RU"",""UK"")"),"Різець токарний різьбовий ВК8 внутр. 25х20х120/25х25х140")</f>
        <v>Різець токарний різьбовий ВК8 внутр. 25х20х120/25х25х140</v>
      </c>
      <c r="D1725" s="15" t="s">
        <v>6</v>
      </c>
      <c r="E1725" s="15" t="s">
        <v>793</v>
      </c>
      <c r="F1725" s="91" t="s">
        <v>348</v>
      </c>
      <c r="G1725" s="4"/>
      <c r="H1725" s="4"/>
      <c r="I1725" s="4"/>
    </row>
    <row r="1726" spans="1:9" ht="15">
      <c r="A1726" s="21">
        <f t="shared" si="31"/>
        <v>233</v>
      </c>
      <c r="B1726" s="14" t="s">
        <v>2400</v>
      </c>
      <c r="C1726" s="85" t="str">
        <f ca="1">IFERROR(__xludf.DUMMYFUNCTION("GOOGLETRANSLATE(B1726:B1741,""RU"",""UK"")"),"Різець токарний різьбовий ВК8 внутр. 20х20х170/25х16х170")</f>
        <v>Різець токарний різьбовий ВК8 внутр. 20х20х170/25х16х170</v>
      </c>
      <c r="D1726" s="15" t="s">
        <v>6</v>
      </c>
      <c r="E1726" s="15" t="s">
        <v>2401</v>
      </c>
      <c r="F1726" s="91" t="s">
        <v>539</v>
      </c>
      <c r="G1726" s="4"/>
      <c r="H1726" s="4"/>
      <c r="I1726" s="4"/>
    </row>
    <row r="1727" spans="1:9" ht="15">
      <c r="A1727" s="21">
        <f t="shared" si="31"/>
        <v>234</v>
      </c>
      <c r="B1727" s="14" t="s">
        <v>2402</v>
      </c>
      <c r="C1727" s="85" t="str">
        <f ca="1">IFERROR(__xludf.DUMMYFUNCTION("GOOGLETRANSLATE(B1727:B1742,""RU"",""UK"")"),"Різець токарний різьбовий ВК8 внутр. 20х20х200/25х25х200")</f>
        <v>Різець токарний різьбовий ВК8 внутр. 20х20х200/25х25х200</v>
      </c>
      <c r="D1727" s="15" t="s">
        <v>6</v>
      </c>
      <c r="E1727" s="15" t="s">
        <v>2403</v>
      </c>
      <c r="F1727" s="91" t="s">
        <v>2404</v>
      </c>
      <c r="G1727" s="4"/>
      <c r="H1727" s="4"/>
      <c r="I1727" s="4"/>
    </row>
    <row r="1728" spans="1:9" ht="15">
      <c r="A1728" s="21">
        <f t="shared" si="31"/>
        <v>235</v>
      </c>
      <c r="B1728" s="14" t="s">
        <v>2405</v>
      </c>
      <c r="C1728" s="85" t="str">
        <f ca="1">IFERROR(__xludf.DUMMYFUNCTION("GOOGLETRANSLATE(B1728:B1743,""RU"",""UK"")"),"Різець токарний різьбовий ВК8 внутр. 25х25х230")</f>
        <v>Різець токарний різьбовий ВК8 внутр. 25х25х230</v>
      </c>
      <c r="D1728" s="15" t="s">
        <v>6</v>
      </c>
      <c r="E1728" s="15">
        <v>38</v>
      </c>
      <c r="F1728" s="91" t="s">
        <v>539</v>
      </c>
      <c r="G1728" s="4"/>
      <c r="H1728" s="4"/>
      <c r="I1728" s="4"/>
    </row>
    <row r="1729" spans="1:9" ht="15">
      <c r="A1729" s="21">
        <f t="shared" si="31"/>
        <v>236</v>
      </c>
      <c r="B1729" s="14" t="s">
        <v>2406</v>
      </c>
      <c r="C1729" s="85" t="str">
        <f ca="1">IFERROR(__xludf.DUMMYFUNCTION("GOOGLETRANSLATE(B1729:B1744,""RU"",""UK"")"),"Різець токарний різьбовий ВК8 внутр. 25х25х250 / 25х25х250лев")</f>
        <v>Різець токарний різьбовий ВК8 внутр. 25х25х250 / 25х25х250лев</v>
      </c>
      <c r="D1729" s="15" t="s">
        <v>6</v>
      </c>
      <c r="E1729" s="15" t="s">
        <v>2245</v>
      </c>
      <c r="F1729" s="91" t="s">
        <v>319</v>
      </c>
      <c r="G1729" s="4"/>
      <c r="H1729" s="4"/>
      <c r="I1729" s="4"/>
    </row>
    <row r="1730" spans="1:9" ht="15">
      <c r="A1730" s="21">
        <f t="shared" si="31"/>
        <v>237</v>
      </c>
      <c r="B1730" s="14" t="s">
        <v>2407</v>
      </c>
      <c r="C1730" s="85" t="str">
        <f ca="1">IFERROR(__xludf.DUMMYFUNCTION("GOOGLETRANSLATE(B1730:B1745,""RU"",""UK"")"),"Різець токарний різьбовий ВК8 внутр. 32х20х180")</f>
        <v>Різець токарний різьбовий ВК8 внутр. 32х20х180</v>
      </c>
      <c r="D1730" s="15" t="s">
        <v>6</v>
      </c>
      <c r="E1730" s="15">
        <v>1</v>
      </c>
      <c r="F1730" s="91" t="s">
        <v>351</v>
      </c>
      <c r="G1730" s="4"/>
      <c r="H1730" s="4"/>
      <c r="I1730" s="4"/>
    </row>
    <row r="1731" spans="1:9" ht="15">
      <c r="A1731" s="21">
        <f t="shared" si="31"/>
        <v>238</v>
      </c>
      <c r="B1731" s="14" t="s">
        <v>2408</v>
      </c>
      <c r="C1731" s="85" t="str">
        <f ca="1">IFERROR(__xludf.DUMMYFUNCTION("GOOGLETRANSLATE(B1731:B1746,""RU"",""UK"")"),"Різець токарний різьбовий Т5К10 20х12х120")</f>
        <v>Різець токарний різьбовий Т5К10 20х12х120</v>
      </c>
      <c r="D1731" s="15" t="s">
        <v>6</v>
      </c>
      <c r="E1731" s="15">
        <v>170</v>
      </c>
      <c r="F1731" s="91" t="s">
        <v>564</v>
      </c>
      <c r="G1731" s="4"/>
      <c r="H1731" s="4"/>
      <c r="I1731" s="4"/>
    </row>
    <row r="1732" spans="1:9" ht="15">
      <c r="A1732" s="21">
        <f t="shared" si="31"/>
        <v>239</v>
      </c>
      <c r="B1732" s="14" t="s">
        <v>2409</v>
      </c>
      <c r="C1732" s="85" t="str">
        <f ca="1">IFERROR(__xludf.DUMMYFUNCTION("GOOGLETRANSLATE(B1732:B1747,""RU"",""UK"")"),"Різець токарний різьбовий Т5К10 25х16х140")</f>
        <v>Різець токарний різьбовий Т5К10 25х16х140</v>
      </c>
      <c r="D1732" s="15" t="s">
        <v>6</v>
      </c>
      <c r="E1732" s="15">
        <v>135</v>
      </c>
      <c r="F1732" s="91" t="s">
        <v>344</v>
      </c>
      <c r="G1732" s="4"/>
      <c r="H1732" s="4"/>
      <c r="I1732" s="4"/>
    </row>
    <row r="1733" spans="1:9" ht="15">
      <c r="A1733" s="21">
        <f t="shared" si="31"/>
        <v>240</v>
      </c>
      <c r="B1733" s="14" t="s">
        <v>2410</v>
      </c>
      <c r="C1733" s="85" t="str">
        <f ca="1">IFERROR(__xludf.DUMMYFUNCTION("GOOGLETRANSLATE(B1733:B1748,""RU"",""UK"")"),"Різець токарний різьбовий Т5К10 32х20х170")</f>
        <v>Різець токарний різьбовий Т5К10 32х20х170</v>
      </c>
      <c r="D1733" s="15" t="s">
        <v>6</v>
      </c>
      <c r="E1733" s="15">
        <v>26</v>
      </c>
      <c r="F1733" s="91" t="s">
        <v>319</v>
      </c>
      <c r="G1733" s="4"/>
      <c r="H1733" s="4"/>
      <c r="I1733" s="4"/>
    </row>
    <row r="1734" spans="1:9" ht="15">
      <c r="A1734" s="21">
        <f t="shared" si="31"/>
        <v>241</v>
      </c>
      <c r="B1734" s="14" t="s">
        <v>2411</v>
      </c>
      <c r="C1734" s="85" t="str">
        <f ca="1">IFERROR(__xludf.DUMMYFUNCTION("GOOGLETRANSLATE(B1734:B1749,""RU"",""UK"")"),"Різець токарний різьбовий Т5К10 внутр. 16х16х170")</f>
        <v>Різець токарний різьбовий Т5К10 внутр. 16х16х170</v>
      </c>
      <c r="D1734" s="15" t="s">
        <v>6</v>
      </c>
      <c r="E1734" s="15">
        <v>73</v>
      </c>
      <c r="F1734" s="91" t="s">
        <v>194</v>
      </c>
      <c r="G1734" s="4"/>
      <c r="H1734" s="4"/>
      <c r="I1734" s="4"/>
    </row>
    <row r="1735" spans="1:9" ht="15">
      <c r="A1735" s="21">
        <f t="shared" si="31"/>
        <v>242</v>
      </c>
      <c r="B1735" s="14" t="s">
        <v>2412</v>
      </c>
      <c r="C1735" s="85" t="str">
        <f ca="1">IFERROR(__xludf.DUMMYFUNCTION("GOOGLETRANSLATE(B1735:B1750,""RU"",""UK"")"),"Різець токарний різьбовий Т5К10 внутр. 25х16х170")</f>
        <v>Різець токарний різьбовий Т5К10 внутр. 25х16х170</v>
      </c>
      <c r="D1735" s="15" t="s">
        <v>6</v>
      </c>
      <c r="E1735" s="15">
        <v>7</v>
      </c>
      <c r="F1735" s="91" t="s">
        <v>557</v>
      </c>
      <c r="G1735" s="4"/>
      <c r="H1735" s="4"/>
      <c r="I1735" s="4"/>
    </row>
    <row r="1736" spans="1:9" ht="15">
      <c r="A1736" s="21">
        <f t="shared" si="31"/>
        <v>243</v>
      </c>
      <c r="B1736" s="14" t="s">
        <v>2413</v>
      </c>
      <c r="C1736" s="85" t="str">
        <f ca="1">IFERROR(__xludf.DUMMYFUNCTION("GOOGLETRANSLATE(B1736:B1751,""RU"",""UK"")"),"Різець токарний різьбовий Т5К10 внутр. 20х20х200")</f>
        <v>Різець токарний різьбовий Т5К10 внутр. 20х20х200</v>
      </c>
      <c r="D1736" s="15" t="s">
        <v>6</v>
      </c>
      <c r="E1736" s="15">
        <v>0</v>
      </c>
      <c r="F1736" s="91" t="s">
        <v>539</v>
      </c>
      <c r="G1736" s="4"/>
      <c r="H1736" s="4"/>
      <c r="I1736" s="4"/>
    </row>
    <row r="1737" spans="1:9" ht="15">
      <c r="A1737" s="21">
        <f t="shared" si="31"/>
        <v>244</v>
      </c>
      <c r="B1737" s="14" t="s">
        <v>2414</v>
      </c>
      <c r="C1737" s="85" t="str">
        <f ca="1">IFERROR(__xludf.DUMMYFUNCTION("GOOGLETRANSLATE(B1737:B1752,""RU"",""UK"")"),"Різець токарний різьбовий Т5К10 внутр. 25х25х240")</f>
        <v>Різець токарний різьбовий Т5К10 внутр. 25х25х240</v>
      </c>
      <c r="D1737" s="15" t="s">
        <v>6</v>
      </c>
      <c r="E1737" s="15">
        <v>1</v>
      </c>
      <c r="F1737" s="91" t="s">
        <v>319</v>
      </c>
      <c r="G1737" s="4"/>
      <c r="H1737" s="4"/>
      <c r="I1737" s="4"/>
    </row>
    <row r="1738" spans="1:9" ht="15">
      <c r="A1738" s="21">
        <f t="shared" si="31"/>
        <v>245</v>
      </c>
      <c r="B1738" s="14" t="s">
        <v>2415</v>
      </c>
      <c r="C1738" s="85" t="str">
        <f ca="1">IFERROR(__xludf.DUMMYFUNCTION("GOOGLETRANSLATE(B1738:B1753,""RU"",""UK"")"),"Різець токарний різьбовий Т5К10 внутр. 40х30х200")</f>
        <v>Різець токарний різьбовий Т5К10 внутр. 40х30х200</v>
      </c>
      <c r="D1738" s="15" t="s">
        <v>6</v>
      </c>
      <c r="E1738" s="15">
        <v>1</v>
      </c>
      <c r="F1738" s="91" t="s">
        <v>119</v>
      </c>
      <c r="G1738" s="4"/>
      <c r="H1738" s="4"/>
      <c r="I1738" s="4"/>
    </row>
    <row r="1739" spans="1:9" ht="15">
      <c r="A1739" s="21">
        <f t="shared" si="31"/>
        <v>246</v>
      </c>
      <c r="B1739" s="14" t="s">
        <v>2416</v>
      </c>
      <c r="C1739" s="85" t="str">
        <f ca="1">IFERROR(__xludf.DUMMYFUNCTION("GOOGLETRANSLATE(B1739:B1754,""RU"",""UK"")"),"Різець токарний відрізний Т15К6 12х12х100")</f>
        <v>Різець токарний відрізний Т15К6 12х12х100</v>
      </c>
      <c r="D1739" s="15" t="s">
        <v>6</v>
      </c>
      <c r="E1739" s="15">
        <v>2</v>
      </c>
      <c r="F1739" s="91" t="s">
        <v>314</v>
      </c>
      <c r="G1739" s="4"/>
      <c r="H1739" s="4"/>
      <c r="I1739" s="4"/>
    </row>
    <row r="1740" spans="1:9" ht="15">
      <c r="A1740" s="21">
        <f t="shared" si="31"/>
        <v>247</v>
      </c>
      <c r="B1740" s="14" t="s">
        <v>2417</v>
      </c>
      <c r="C1740" s="85" t="str">
        <f ca="1">IFERROR(__xludf.DUMMYFUNCTION("GOOGLETRANSLATE(B1740:B1755,""RU"",""UK"")"),"Різець токарний відрізний Т15К6 16х10х100")</f>
        <v>Різець токарний відрізний Т15К6 16х10х100</v>
      </c>
      <c r="D1740" s="15" t="s">
        <v>6</v>
      </c>
      <c r="E1740" s="15">
        <v>6</v>
      </c>
      <c r="F1740" s="91" t="s">
        <v>183</v>
      </c>
      <c r="G1740" s="4"/>
      <c r="H1740" s="4"/>
      <c r="I1740" s="4"/>
    </row>
    <row r="1741" spans="1:9" ht="15">
      <c r="A1741" s="21">
        <f t="shared" si="31"/>
        <v>248</v>
      </c>
      <c r="B1741" s="14" t="s">
        <v>2418</v>
      </c>
      <c r="C1741" s="85" t="str">
        <f ca="1">IFERROR(__xludf.DUMMYFUNCTION("GOOGLETRANSLATE(B1741:B1756,""RU"",""UK"")"),"Різець токарний відрізний Т15К6 16х12х110")</f>
        <v>Різець токарний відрізний Т15К6 16х12х110</v>
      </c>
      <c r="D1741" s="15" t="s">
        <v>6</v>
      </c>
      <c r="E1741" s="15">
        <v>103</v>
      </c>
      <c r="F1741" s="91" t="s">
        <v>371</v>
      </c>
      <c r="G1741" s="4"/>
      <c r="H1741" s="4"/>
      <c r="I1741" s="4"/>
    </row>
    <row r="1742" spans="1:9" ht="15">
      <c r="A1742" s="21">
        <f t="shared" si="31"/>
        <v>249</v>
      </c>
      <c r="B1742" s="14" t="s">
        <v>2419</v>
      </c>
      <c r="C1742" s="85" t="str">
        <f ca="1">IFERROR(__xludf.DUMMYFUNCTION("GOOGLETRANSLATE(B1742:B1757,""RU"",""UK"")"),"Різець токарний відрізний Т15К6 20х12х120")</f>
        <v>Різець токарний відрізний Т15К6 20х12х120</v>
      </c>
      <c r="D1742" s="15" t="s">
        <v>6</v>
      </c>
      <c r="E1742" s="15">
        <v>36</v>
      </c>
      <c r="F1742" s="91" t="s">
        <v>338</v>
      </c>
      <c r="G1742" s="4"/>
      <c r="H1742" s="4"/>
      <c r="I1742" s="4"/>
    </row>
    <row r="1743" spans="1:9" ht="15">
      <c r="A1743" s="21">
        <f t="shared" si="31"/>
        <v>250</v>
      </c>
      <c r="B1743" s="14" t="s">
        <v>2420</v>
      </c>
      <c r="C1743" s="85" t="str">
        <f ca="1">IFERROR(__xludf.DUMMYFUNCTION("GOOGLETRANSLATE(B1743:B1758,""RU"",""UK"")"),"Різець токарний відрізний Т15К6 25х16х140")</f>
        <v>Різець токарний відрізний Т15К6 25х16х140</v>
      </c>
      <c r="D1743" s="15" t="s">
        <v>6</v>
      </c>
      <c r="E1743" s="15">
        <v>41</v>
      </c>
      <c r="F1743" s="91" t="s">
        <v>2277</v>
      </c>
      <c r="G1743" s="4"/>
      <c r="H1743" s="4"/>
      <c r="I1743" s="4"/>
    </row>
    <row r="1744" spans="1:9" ht="15">
      <c r="A1744" s="21">
        <f t="shared" si="31"/>
        <v>251</v>
      </c>
      <c r="B1744" s="19" t="s">
        <v>2421</v>
      </c>
      <c r="C1744" s="85" t="str">
        <f ca="1">IFERROR(__xludf.DUMMYFUNCTION("GOOGLETRANSLATE(B1744:B1759,""RU"",""UK"")"),"Різець токарний відрізний Т15К6 32х20х170")</f>
        <v>Різець токарний відрізний Т15К6 32х20х170</v>
      </c>
      <c r="D1744" s="15" t="s">
        <v>6</v>
      </c>
      <c r="E1744" s="15">
        <v>0</v>
      </c>
      <c r="F1744" s="91" t="s">
        <v>317</v>
      </c>
      <c r="G1744" s="4"/>
      <c r="H1744" s="4"/>
      <c r="I1744" s="4"/>
    </row>
    <row r="1745" spans="1:9" ht="15">
      <c r="A1745" s="21">
        <f t="shared" si="31"/>
        <v>252</v>
      </c>
      <c r="B1745" s="14" t="s">
        <v>2422</v>
      </c>
      <c r="C1745" s="85" t="str">
        <f ca="1">IFERROR(__xludf.DUMMYFUNCTION("GOOGLETRANSLATE(B1745:B1760,""RU"",""UK"")"),"Різець токарний відрізний Т15К6 40х25х200")</f>
        <v>Різець токарний відрізний Т15К6 40х25х200</v>
      </c>
      <c r="D1745" s="15" t="s">
        <v>6</v>
      </c>
      <c r="E1745" s="15">
        <v>35</v>
      </c>
      <c r="F1745" s="91" t="s">
        <v>2423</v>
      </c>
      <c r="G1745" s="4"/>
      <c r="H1745" s="4"/>
      <c r="I1745" s="4"/>
    </row>
    <row r="1746" spans="1:9" ht="15">
      <c r="A1746" s="21">
        <f t="shared" si="31"/>
        <v>253</v>
      </c>
      <c r="B1746" s="16" t="s">
        <v>2424</v>
      </c>
      <c r="C1746" s="85" t="str">
        <f ca="1">IFERROR(__xludf.DUMMYFUNCTION("GOOGLETRANSLATE(B1746:B1761,""RU"",""UK"")"),"Різець токарний відрізний ВК8 12х12х100")</f>
        <v>Різець токарний відрізний ВК8 12х12х100</v>
      </c>
      <c r="D1746" s="15" t="s">
        <v>6</v>
      </c>
      <c r="E1746" s="15">
        <v>3</v>
      </c>
      <c r="F1746" s="91" t="s">
        <v>314</v>
      </c>
      <c r="G1746" s="4"/>
      <c r="H1746" s="4"/>
      <c r="I1746" s="4"/>
    </row>
    <row r="1747" spans="1:9" ht="15">
      <c r="A1747" s="21">
        <f t="shared" si="31"/>
        <v>254</v>
      </c>
      <c r="B1747" s="16" t="s">
        <v>2425</v>
      </c>
      <c r="C1747" s="85" t="str">
        <f ca="1">IFERROR(__xludf.DUMMYFUNCTION("GOOGLETRANSLATE(B1747:B1762,""RU"",""UK"")"),"Різець токарний відрізний ВК8 16х10х100")</f>
        <v>Різець токарний відрізний ВК8 16х10х100</v>
      </c>
      <c r="D1747" s="15" t="s">
        <v>6</v>
      </c>
      <c r="E1747" s="15">
        <v>10</v>
      </c>
      <c r="F1747" s="91" t="s">
        <v>209</v>
      </c>
      <c r="G1747" s="4"/>
      <c r="H1747" s="4"/>
      <c r="I1747" s="4"/>
    </row>
    <row r="1748" spans="1:9" ht="15">
      <c r="A1748" s="21">
        <f t="shared" si="31"/>
        <v>255</v>
      </c>
      <c r="B1748" s="16" t="s">
        <v>2426</v>
      </c>
      <c r="C1748" s="85" t="str">
        <f ca="1">IFERROR(__xludf.DUMMYFUNCTION("GOOGLETRANSLATE(B1748:B1763,""RU"",""UK"")"),"Різець токарний відрізний ВК8 20х12х120")</f>
        <v>Різець токарний відрізний ВК8 20х12х120</v>
      </c>
      <c r="D1748" s="15" t="s">
        <v>6</v>
      </c>
      <c r="E1748" s="15">
        <v>0</v>
      </c>
      <c r="F1748" s="91" t="s">
        <v>614</v>
      </c>
      <c r="G1748" s="4"/>
      <c r="H1748" s="4"/>
      <c r="I1748" s="4"/>
    </row>
    <row r="1749" spans="1:9" ht="15">
      <c r="A1749" s="21">
        <f t="shared" si="31"/>
        <v>256</v>
      </c>
      <c r="B1749" s="16" t="s">
        <v>2427</v>
      </c>
      <c r="C1749" s="85" t="str">
        <f ca="1">IFERROR(__xludf.DUMMYFUNCTION("GOOGLETRANSLATE(B1749:B1764,""RU"",""UK"")"),"Різець токарний відрізний ВК8 25х16х140")</f>
        <v>Різець токарний відрізний ВК8 25х16х140</v>
      </c>
      <c r="D1749" s="15" t="s">
        <v>6</v>
      </c>
      <c r="E1749" s="15">
        <v>52</v>
      </c>
      <c r="F1749" s="91" t="s">
        <v>2277</v>
      </c>
      <c r="G1749" s="4"/>
      <c r="H1749" s="4"/>
      <c r="I1749" s="4"/>
    </row>
    <row r="1750" spans="1:9" ht="15">
      <c r="A1750" s="21">
        <f t="shared" si="31"/>
        <v>257</v>
      </c>
      <c r="B1750" s="16" t="s">
        <v>2428</v>
      </c>
      <c r="C1750" s="85" t="str">
        <f ca="1">IFERROR(__xludf.DUMMYFUNCTION("GOOGLETRANSLATE(B1750:B1765,""RU"",""UK"")"),"Різець токарний відрізний ВК8 25х16х170 двостор.")</f>
        <v>Різець токарний відрізний ВК8 25х16х170 двостор.</v>
      </c>
      <c r="D1750" s="15" t="s">
        <v>6</v>
      </c>
      <c r="E1750" s="15">
        <v>3</v>
      </c>
      <c r="F1750" s="91" t="s">
        <v>218</v>
      </c>
      <c r="G1750" s="4"/>
      <c r="H1750" s="4"/>
      <c r="I1750" s="4"/>
    </row>
    <row r="1751" spans="1:9" ht="15">
      <c r="A1751" s="21">
        <f t="shared" si="31"/>
        <v>258</v>
      </c>
      <c r="B1751" s="14" t="s">
        <v>2429</v>
      </c>
      <c r="C1751" s="85" t="str">
        <f ca="1">IFERROR(__xludf.DUMMYFUNCTION("GOOGLETRANSLATE(B1751:B1766,""RU"",""UK"")"),"Різець токарний відрізний ВК8 32х20х170")</f>
        <v>Різець токарний відрізний ВК8 32х20х170</v>
      </c>
      <c r="D1751" s="15" t="s">
        <v>6</v>
      </c>
      <c r="E1751" s="15">
        <v>17</v>
      </c>
      <c r="F1751" s="91" t="s">
        <v>2430</v>
      </c>
      <c r="G1751" s="4"/>
      <c r="H1751" s="4"/>
      <c r="I1751" s="4"/>
    </row>
    <row r="1752" spans="1:9" ht="15">
      <c r="A1752" s="21">
        <f t="shared" ref="A1752:A1815" si="32">A1751+1</f>
        <v>259</v>
      </c>
      <c r="B1752" s="14" t="s">
        <v>2431</v>
      </c>
      <c r="C1752" s="85" t="str">
        <f ca="1">IFERROR(__xludf.DUMMYFUNCTION("GOOGLETRANSLATE(B1752:B1767,""RU"",""UK"")"),"Різець токарний відрізний ВК8 32х25х200")</f>
        <v>Різець токарний відрізний ВК8 32х25х200</v>
      </c>
      <c r="D1752" s="15" t="s">
        <v>6</v>
      </c>
      <c r="E1752" s="15">
        <v>4</v>
      </c>
      <c r="F1752" s="91" t="s">
        <v>317</v>
      </c>
      <c r="G1752" s="4"/>
      <c r="H1752" s="4"/>
      <c r="I1752" s="4"/>
    </row>
    <row r="1753" spans="1:9" ht="15">
      <c r="A1753" s="21">
        <f t="shared" si="32"/>
        <v>260</v>
      </c>
      <c r="B1753" s="14" t="s">
        <v>2432</v>
      </c>
      <c r="C1753" s="85" t="str">
        <f ca="1">IFERROR(__xludf.DUMMYFUNCTION("GOOGLETRANSLATE(B1753:B1768,""RU"",""UK"")"),"Різець токарний відрізний ВК8 40х25х200")</f>
        <v>Різець токарний відрізний ВК8 40х25х200</v>
      </c>
      <c r="D1753" s="15" t="s">
        <v>6</v>
      </c>
      <c r="E1753" s="15">
        <v>21</v>
      </c>
      <c r="F1753" s="91" t="s">
        <v>263</v>
      </c>
      <c r="G1753" s="4"/>
      <c r="H1753" s="4"/>
      <c r="I1753" s="4"/>
    </row>
    <row r="1754" spans="1:9" ht="15">
      <c r="A1754" s="21">
        <f t="shared" si="32"/>
        <v>261</v>
      </c>
      <c r="B1754" s="16" t="s">
        <v>2433</v>
      </c>
      <c r="C1754" s="85" t="str">
        <f ca="1">IFERROR(__xludf.DUMMYFUNCTION("GOOGLETRANSLATE(B1754:B1769,""RU"",""UK"")"),"Різець токарний відрізний Т5К10 12х12х100")</f>
        <v>Різець токарний відрізний Т5К10 12х12х100</v>
      </c>
      <c r="D1754" s="15" t="s">
        <v>6</v>
      </c>
      <c r="E1754" s="15">
        <v>4</v>
      </c>
      <c r="F1754" s="91" t="s">
        <v>314</v>
      </c>
      <c r="G1754" s="4"/>
      <c r="H1754" s="4"/>
      <c r="I1754" s="4"/>
    </row>
    <row r="1755" spans="1:9" ht="15">
      <c r="A1755" s="21">
        <f t="shared" si="32"/>
        <v>262</v>
      </c>
      <c r="B1755" s="14" t="s">
        <v>2434</v>
      </c>
      <c r="C1755" s="85" t="str">
        <f ca="1">IFERROR(__xludf.DUMMYFUNCTION("GOOGLETRANSLATE(B1755:B1770,""RU"",""UK"")"),"Різець токарний відрізний Т5К10 20х12х120")</f>
        <v>Різець токарний відрізний Т5К10 20х12х120</v>
      </c>
      <c r="D1755" s="15" t="s">
        <v>6</v>
      </c>
      <c r="E1755" s="15">
        <v>54</v>
      </c>
      <c r="F1755" s="91" t="s">
        <v>614</v>
      </c>
      <c r="G1755" s="4"/>
      <c r="H1755" s="4"/>
      <c r="I1755" s="4"/>
    </row>
    <row r="1756" spans="1:9" ht="15">
      <c r="A1756" s="21">
        <f t="shared" si="32"/>
        <v>263</v>
      </c>
      <c r="B1756" s="16" t="s">
        <v>2435</v>
      </c>
      <c r="C1756" s="85" t="str">
        <f ca="1">IFERROR(__xludf.DUMMYFUNCTION("GOOGLETRANSLATE(B1756:B1771,""RU"",""UK"")"),"Різець токарний відрізний Т5К10 25х16х140")</f>
        <v>Різець токарний відрізний Т5К10 25х16х140</v>
      </c>
      <c r="D1756" s="15" t="s">
        <v>6</v>
      </c>
      <c r="E1756" s="15">
        <v>42</v>
      </c>
      <c r="F1756" s="91" t="s">
        <v>2277</v>
      </c>
      <c r="G1756" s="4"/>
      <c r="H1756" s="4"/>
      <c r="I1756" s="4"/>
    </row>
    <row r="1757" spans="1:9" ht="15">
      <c r="A1757" s="21">
        <f t="shared" si="32"/>
        <v>264</v>
      </c>
      <c r="B1757" s="16" t="s">
        <v>2436</v>
      </c>
      <c r="C1757" s="85" t="str">
        <f ca="1">IFERROR(__xludf.DUMMYFUNCTION("GOOGLETRANSLATE(B1757:B1772,""RU"",""UK"")"),"Різець токарний відрізний Т5К10 25х16х140 двостор.")</f>
        <v>Різець токарний відрізний Т5К10 25х16х140 двостор.</v>
      </c>
      <c r="D1757" s="15" t="s">
        <v>6</v>
      </c>
      <c r="E1757" s="15">
        <v>1</v>
      </c>
      <c r="F1757" s="91" t="s">
        <v>2437</v>
      </c>
      <c r="G1757" s="4"/>
      <c r="H1757" s="4"/>
      <c r="I1757" s="4"/>
    </row>
    <row r="1758" spans="1:9" ht="15">
      <c r="A1758" s="21">
        <f t="shared" si="32"/>
        <v>265</v>
      </c>
      <c r="B1758" s="19" t="s">
        <v>2438</v>
      </c>
      <c r="C1758" s="85" t="str">
        <f ca="1">IFERROR(__xludf.DUMMYFUNCTION("GOOGLETRANSLATE(B1758:B1773,""RU"",""UK"")"),"Різець токарний відрізний Т5К10 32х20х170")</f>
        <v>Різець токарний відрізний Т5К10 32х20х170</v>
      </c>
      <c r="D1758" s="15" t="s">
        <v>6</v>
      </c>
      <c r="E1758" s="15">
        <v>0</v>
      </c>
      <c r="F1758" s="91" t="s">
        <v>317</v>
      </c>
      <c r="G1758" s="4"/>
      <c r="H1758" s="4"/>
      <c r="I1758" s="4"/>
    </row>
    <row r="1759" spans="1:9" ht="15">
      <c r="A1759" s="21">
        <f t="shared" si="32"/>
        <v>266</v>
      </c>
      <c r="B1759" s="14" t="s">
        <v>2439</v>
      </c>
      <c r="C1759" s="85" t="str">
        <f ca="1">IFERROR(__xludf.DUMMYFUNCTION("GOOGLETRANSLATE(B1759:B1774,""RU"",""UK"")"),"Різець токарний відрізний Т5К10 40х20х200")</f>
        <v>Різець токарний відрізний Т5К10 40х20х200</v>
      </c>
      <c r="D1759" s="15" t="s">
        <v>6</v>
      </c>
      <c r="E1759" s="15">
        <v>2</v>
      </c>
      <c r="F1759" s="91" t="s">
        <v>263</v>
      </c>
      <c r="G1759" s="4"/>
      <c r="H1759" s="4"/>
      <c r="I1759" s="4"/>
    </row>
    <row r="1760" spans="1:9" ht="15">
      <c r="A1760" s="21">
        <f t="shared" si="32"/>
        <v>267</v>
      </c>
      <c r="B1760" s="14" t="s">
        <v>2440</v>
      </c>
      <c r="C1760" s="85" t="str">
        <f ca="1">IFERROR(__xludf.DUMMYFUNCTION("GOOGLETRANSLATE(B1760:B1775,""RU"",""UK"")"),"Різець токарний відрізний Р6М5 моноліт 8х8х120")</f>
        <v>Різець токарний відрізний Р6М5 моноліт 8х8х120</v>
      </c>
      <c r="D1760" s="15" t="s">
        <v>6</v>
      </c>
      <c r="E1760" s="15">
        <v>376</v>
      </c>
      <c r="F1760" s="91" t="s">
        <v>371</v>
      </c>
      <c r="G1760" s="4"/>
      <c r="H1760" s="4"/>
      <c r="I1760" s="4"/>
    </row>
    <row r="1761" spans="1:9" ht="15">
      <c r="A1761" s="21">
        <f t="shared" si="32"/>
        <v>268</v>
      </c>
      <c r="B1761" s="14" t="s">
        <v>2441</v>
      </c>
      <c r="C1761" s="85" t="str">
        <f ca="1">IFERROR(__xludf.DUMMYFUNCTION("GOOGLETRANSLATE(B1761:B1776,""RU"",""UK"")"),"Різець токарний відрізний Р6М5 моноліт 10х4х100")</f>
        <v>Різець токарний відрізний Р6М5 моноліт 10х4х100</v>
      </c>
      <c r="D1761" s="15" t="s">
        <v>6</v>
      </c>
      <c r="E1761" s="15">
        <v>75</v>
      </c>
      <c r="F1761" s="91" t="s">
        <v>598</v>
      </c>
      <c r="G1761" s="4"/>
      <c r="H1761" s="4"/>
      <c r="I1761" s="4"/>
    </row>
    <row r="1762" spans="1:9" ht="15">
      <c r="A1762" s="21">
        <f t="shared" si="32"/>
        <v>269</v>
      </c>
      <c r="B1762" s="14" t="s">
        <v>2442</v>
      </c>
      <c r="C1762" s="85" t="str">
        <f ca="1">IFERROR(__xludf.DUMMYFUNCTION("GOOGLETRANSLATE(B1762:B1777,""RU"",""UK"")"),"Різець токарний відрізний Р6М5 моноліт 10х4х120")</f>
        <v>Різець токарний відрізний Р6М5 моноліт 10х4х120</v>
      </c>
      <c r="D1762" s="15" t="s">
        <v>6</v>
      </c>
      <c r="E1762" s="15">
        <v>17</v>
      </c>
      <c r="F1762" s="91" t="s">
        <v>257</v>
      </c>
      <c r="G1762" s="4"/>
      <c r="H1762" s="4"/>
      <c r="I1762" s="4"/>
    </row>
    <row r="1763" spans="1:9" ht="15">
      <c r="A1763" s="21">
        <f t="shared" si="32"/>
        <v>270</v>
      </c>
      <c r="B1763" s="14" t="s">
        <v>2443</v>
      </c>
      <c r="C1763" s="85" t="str">
        <f ca="1">IFERROR(__xludf.DUMMYFUNCTION("GOOGLETRANSLATE(B1763:B1778,""RU"",""UK"")"),"Різець токарний відрізний Р6М5 моноліт 10х4х150")</f>
        <v>Різець токарний відрізний Р6М5 моноліт 10х4х150</v>
      </c>
      <c r="D1763" s="15" t="s">
        <v>6</v>
      </c>
      <c r="E1763" s="15">
        <v>2</v>
      </c>
      <c r="F1763" s="91" t="s">
        <v>104</v>
      </c>
      <c r="G1763" s="4"/>
      <c r="H1763" s="4"/>
      <c r="I1763" s="4"/>
    </row>
    <row r="1764" spans="1:9" ht="15">
      <c r="A1764" s="21">
        <f t="shared" si="32"/>
        <v>271</v>
      </c>
      <c r="B1764" s="14" t="s">
        <v>2444</v>
      </c>
      <c r="C1764" s="85" t="str">
        <f ca="1">IFERROR(__xludf.DUMMYFUNCTION("GOOGLETRANSLATE(B1764:B1779,""RU"",""UK"")"),"Різець токарний відрізний Р6М5 моноліт 10х10х60 SP-25")</f>
        <v>Різець токарний відрізний Р6М5 моноліт 10х10х60 SP-25</v>
      </c>
      <c r="D1764" s="15" t="s">
        <v>6</v>
      </c>
      <c r="E1764" s="15">
        <v>20</v>
      </c>
      <c r="F1764" s="91" t="s">
        <v>201</v>
      </c>
      <c r="G1764" s="4"/>
      <c r="H1764" s="4"/>
      <c r="I1764" s="4"/>
    </row>
    <row r="1765" spans="1:9" ht="15">
      <c r="A1765" s="21">
        <f t="shared" si="32"/>
        <v>272</v>
      </c>
      <c r="B1765" s="14" t="s">
        <v>2445</v>
      </c>
      <c r="C1765" s="85" t="str">
        <f ca="1">IFERROR(__xludf.DUMMYFUNCTION("GOOGLETRANSLATE(B1765:B1780,""RU"",""UK"")"),"Різець токарний відрізний Р6М5 моноліт 10х10х120")</f>
        <v>Різець токарний відрізний Р6М5 моноліт 10х10х120</v>
      </c>
      <c r="D1765" s="15" t="s">
        <v>6</v>
      </c>
      <c r="E1765" s="26">
        <v>99</v>
      </c>
      <c r="F1765" s="91" t="s">
        <v>136</v>
      </c>
      <c r="G1765" s="4"/>
      <c r="H1765" s="4"/>
      <c r="I1765" s="4"/>
    </row>
    <row r="1766" spans="1:9" ht="15">
      <c r="A1766" s="21">
        <f t="shared" si="32"/>
        <v>273</v>
      </c>
      <c r="B1766" s="14" t="s">
        <v>2446</v>
      </c>
      <c r="C1766" s="85" t="str">
        <f ca="1">IFERROR(__xludf.DUMMYFUNCTION("GOOGLETRANSLATE(B1766:B1781,""RU"",""UK"")"),"Різець токарний відрізний Р6М5 моноліт 12х3х125 ласт. хв.")</f>
        <v>Різець токарний відрізний Р6М5 моноліт 12х3х125 ласт. хв.</v>
      </c>
      <c r="D1766" s="15" t="s">
        <v>6</v>
      </c>
      <c r="E1766" s="17">
        <v>1</v>
      </c>
      <c r="F1766" s="91" t="s">
        <v>181</v>
      </c>
      <c r="G1766" s="4"/>
      <c r="H1766" s="4"/>
      <c r="I1766" s="4"/>
    </row>
    <row r="1767" spans="1:9" ht="15">
      <c r="A1767" s="21">
        <f t="shared" si="32"/>
        <v>274</v>
      </c>
      <c r="B1767" s="14" t="s">
        <v>2447</v>
      </c>
      <c r="C1767" s="85" t="str">
        <f ca="1">IFERROR(__xludf.DUMMYFUNCTION("GOOGLETRANSLATE(B1767:B1782,""RU"",""UK"")"),"Різець токарний відрізний Р6М5 моноліт 12х12х100")</f>
        <v>Різець токарний відрізний Р6М5 моноліт 12х12х100</v>
      </c>
      <c r="D1767" s="15" t="s">
        <v>6</v>
      </c>
      <c r="E1767" s="17">
        <v>2</v>
      </c>
      <c r="F1767" s="91" t="s">
        <v>136</v>
      </c>
      <c r="G1767" s="4"/>
      <c r="H1767" s="4"/>
      <c r="I1767" s="4"/>
    </row>
    <row r="1768" spans="1:9" ht="15">
      <c r="A1768" s="21">
        <f t="shared" si="32"/>
        <v>275</v>
      </c>
      <c r="B1768" s="14" t="s">
        <v>2448</v>
      </c>
      <c r="C1768" s="85" t="str">
        <f ca="1">IFERROR(__xludf.DUMMYFUNCTION("GOOGLETRANSLATE(B1768:B1783,""RU"",""UK"")"),"Різець токарний відрізний Р6М5 моноліт 14х4х120")</f>
        <v>Різець токарний відрізний Р6М5 моноліт 14х4х120</v>
      </c>
      <c r="D1768" s="15" t="s">
        <v>6</v>
      </c>
      <c r="E1768" s="15">
        <v>86</v>
      </c>
      <c r="F1768" s="91" t="s">
        <v>136</v>
      </c>
      <c r="G1768" s="4"/>
      <c r="H1768" s="4"/>
      <c r="I1768" s="4"/>
    </row>
    <row r="1769" spans="1:9" ht="15">
      <c r="A1769" s="21">
        <f t="shared" si="32"/>
        <v>276</v>
      </c>
      <c r="B1769" s="14" t="s">
        <v>2449</v>
      </c>
      <c r="C1769" s="85" t="str">
        <f ca="1">IFERROR(__xludf.DUMMYFUNCTION("GOOGLETRANSLATE(B1769:B1784,""RU"",""UK"")"),"Різець токарний відрізний Р6М5 моноліт 14х6х120")</f>
        <v>Різець токарний відрізний Р6М5 моноліт 14х6х120</v>
      </c>
      <c r="D1769" s="15" t="s">
        <v>6</v>
      </c>
      <c r="E1769" s="15">
        <v>97</v>
      </c>
      <c r="F1769" s="91" t="s">
        <v>136</v>
      </c>
      <c r="G1769" s="4"/>
      <c r="H1769" s="4"/>
      <c r="I1769" s="4"/>
    </row>
    <row r="1770" spans="1:9" ht="15">
      <c r="A1770" s="21">
        <f t="shared" si="32"/>
        <v>277</v>
      </c>
      <c r="B1770" s="14" t="s">
        <v>2450</v>
      </c>
      <c r="C1770" s="85" t="str">
        <f ca="1">IFERROR(__xludf.DUMMYFUNCTION("GOOGLETRANSLATE(B1770:B1785,""RU"",""UK"")"),"Різець токарний відрізний Р6М5 моноліт 14х6х160/14х14х70")</f>
        <v>Різець токарний відрізний Р6М5 моноліт 14х6х160/14х14х70</v>
      </c>
      <c r="D1770" s="15" t="s">
        <v>6</v>
      </c>
      <c r="E1770" s="15" t="s">
        <v>700</v>
      </c>
      <c r="F1770" s="91" t="s">
        <v>344</v>
      </c>
      <c r="G1770" s="4"/>
      <c r="H1770" s="4"/>
      <c r="I1770" s="4"/>
    </row>
    <row r="1771" spans="1:9" ht="15">
      <c r="A1771" s="21">
        <f t="shared" si="32"/>
        <v>278</v>
      </c>
      <c r="B1771" s="14" t="s">
        <v>2451</v>
      </c>
      <c r="C1771" s="85" t="str">
        <f ca="1">IFERROR(__xludf.DUMMYFUNCTION("GOOGLETRANSLATE(B1771:B1786,""RU"",""UK"")"),"Різець токарний відрізний Р6М5 моноліт 16х16х140")</f>
        <v>Різець токарний відрізний Р6М5 моноліт 16х16х140</v>
      </c>
      <c r="D1771" s="15" t="s">
        <v>6</v>
      </c>
      <c r="E1771" s="15">
        <v>2</v>
      </c>
      <c r="F1771" s="91" t="s">
        <v>327</v>
      </c>
      <c r="G1771" s="4"/>
      <c r="H1771" s="4"/>
      <c r="I1771" s="4"/>
    </row>
    <row r="1772" spans="1:9" ht="15">
      <c r="A1772" s="21">
        <f t="shared" si="32"/>
        <v>279</v>
      </c>
      <c r="B1772" s="16" t="s">
        <v>2452</v>
      </c>
      <c r="C1772" s="85" t="str">
        <f ca="1">IFERROR(__xludf.DUMMYFUNCTION("GOOGLETRANSLATE(B1772:B1787,""RU"",""UK"")"),"Різець токарний відрізний Р6М5 моноліт 18х4х120прям.")</f>
        <v>Різець токарний відрізний Р6М5 моноліт 18х4х120прям.</v>
      </c>
      <c r="D1772" s="15" t="s">
        <v>6</v>
      </c>
      <c r="E1772" s="15">
        <v>17</v>
      </c>
      <c r="F1772" s="91" t="s">
        <v>319</v>
      </c>
      <c r="G1772" s="4"/>
      <c r="H1772" s="4"/>
      <c r="I1772" s="4"/>
    </row>
    <row r="1773" spans="1:9" ht="15">
      <c r="A1773" s="21">
        <f t="shared" si="32"/>
        <v>280</v>
      </c>
      <c r="B1773" s="16" t="s">
        <v>2453</v>
      </c>
      <c r="C1773" s="85" t="str">
        <f ca="1">IFERROR(__xludf.DUMMYFUNCTION("GOOGLETRANSLATE(B1773:B1788,""RU"",""UK"")"),"Різець токарний відрізний Р6М5 моноліт 20х6х100/20х6х115")</f>
        <v>Різець токарний відрізний Р6М5 моноліт 20х6х100/20х6х115</v>
      </c>
      <c r="D1773" s="15" t="s">
        <v>6</v>
      </c>
      <c r="E1773" s="15" t="s">
        <v>2454</v>
      </c>
      <c r="F1773" s="91" t="s">
        <v>119</v>
      </c>
      <c r="G1773" s="4"/>
      <c r="H1773" s="4"/>
      <c r="I1773" s="4"/>
    </row>
    <row r="1774" spans="1:9" ht="15">
      <c r="A1774" s="21">
        <f t="shared" si="32"/>
        <v>281</v>
      </c>
      <c r="B1774" s="16" t="s">
        <v>2455</v>
      </c>
      <c r="C1774" s="85" t="str">
        <f ca="1">IFERROR(__xludf.DUMMYFUNCTION("GOOGLETRANSLATE(B1774:B1789,""RU"",""UK"")"),"Різець токарний відрізний Р6М5 моноліт 20х12х140")</f>
        <v>Різець токарний відрізний Р6М5 моноліт 20х12х140</v>
      </c>
      <c r="D1774" s="15" t="s">
        <v>6</v>
      </c>
      <c r="E1774" s="15">
        <v>1</v>
      </c>
      <c r="F1774" s="91" t="s">
        <v>140</v>
      </c>
      <c r="G1774" s="4"/>
      <c r="H1774" s="4"/>
      <c r="I1774" s="4"/>
    </row>
    <row r="1775" spans="1:9" ht="15">
      <c r="A1775" s="21">
        <f t="shared" si="32"/>
        <v>282</v>
      </c>
      <c r="B1775" s="16" t="s">
        <v>2456</v>
      </c>
      <c r="C1775" s="85" t="str">
        <f ca="1">IFERROR(__xludf.DUMMYFUNCTION("GOOGLETRANSLATE(B1775:B1790,""RU"",""UK"")"),"Різець токарний відрізний Р6М5 моноліт 25х20х160")</f>
        <v>Різець токарний відрізний Р6М5 моноліт 25х20х160</v>
      </c>
      <c r="D1775" s="15" t="s">
        <v>6</v>
      </c>
      <c r="E1775" s="15">
        <v>2</v>
      </c>
      <c r="F1775" s="91" t="s">
        <v>22</v>
      </c>
      <c r="G1775" s="4"/>
      <c r="H1775" s="4"/>
      <c r="I1775" s="4"/>
    </row>
    <row r="1776" spans="1:9" ht="15">
      <c r="A1776" s="21">
        <f t="shared" si="32"/>
        <v>283</v>
      </c>
      <c r="B1776" s="14" t="s">
        <v>2457</v>
      </c>
      <c r="C1776" s="85" t="str">
        <f ca="1">IFERROR(__xludf.DUMMYFUNCTION("GOOGLETRANSLATE(B1776:B1791,""RU"",""UK"")"),"Різець токарний відрізний Р6М5 (не моноліт) 20х12х110")</f>
        <v>Різець токарний відрізний Р6М5 (не моноліт) 20х12х110</v>
      </c>
      <c r="D1776" s="15" t="s">
        <v>6</v>
      </c>
      <c r="E1776" s="15">
        <v>3</v>
      </c>
      <c r="F1776" s="91" t="s">
        <v>253</v>
      </c>
      <c r="G1776" s="4"/>
      <c r="H1776" s="4"/>
      <c r="I1776" s="4"/>
    </row>
    <row r="1777" spans="1:9" ht="15">
      <c r="A1777" s="21">
        <f t="shared" si="32"/>
        <v>284</v>
      </c>
      <c r="B1777" s="14" t="s">
        <v>2458</v>
      </c>
      <c r="C1777" s="85" t="str">
        <f ca="1">IFERROR(__xludf.DUMMYFUNCTION("GOOGLETRANSLATE(B1777:B1792,""RU"",""UK"")"),"Різець токарний відрізний Р6М5 (не моноліт) 20х20х140/25х16х140")</f>
        <v>Різець токарний відрізний Р6М5 (не моноліт) 20х20х140/25х16х140</v>
      </c>
      <c r="D1777" s="15" t="s">
        <v>6</v>
      </c>
      <c r="E1777" s="15" t="s">
        <v>1005</v>
      </c>
      <c r="F1777" s="91" t="s">
        <v>314</v>
      </c>
      <c r="G1777" s="4"/>
      <c r="H1777" s="4"/>
      <c r="I1777" s="4"/>
    </row>
    <row r="1778" spans="1:9" ht="15">
      <c r="A1778" s="21">
        <f t="shared" si="32"/>
        <v>285</v>
      </c>
      <c r="B1778" s="14" t="s">
        <v>2459</v>
      </c>
      <c r="C1778" s="85" t="str">
        <f ca="1">IFERROR(__xludf.DUMMYFUNCTION("GOOGLETRANSLATE(B1778:B1793,""RU"",""UK"")"),"Різець токарний відрізний Р6М5 моноліт 25х5х140/25х5х150/26х6х130")</f>
        <v>Різець токарний відрізний Р6М5 моноліт 25х5х140/25х5х150/26х6х130</v>
      </c>
      <c r="D1778" s="15" t="s">
        <v>6</v>
      </c>
      <c r="E1778" s="15" t="s">
        <v>2460</v>
      </c>
      <c r="F1778" s="91" t="s">
        <v>119</v>
      </c>
      <c r="G1778" s="4"/>
      <c r="H1778" s="4"/>
      <c r="I1778" s="4"/>
    </row>
    <row r="1779" spans="1:9" ht="15">
      <c r="A1779" s="21">
        <f t="shared" si="32"/>
        <v>286</v>
      </c>
      <c r="B1779" s="14" t="s">
        <v>2461</v>
      </c>
      <c r="C1779" s="85" t="str">
        <f ca="1">IFERROR(__xludf.DUMMYFUNCTION("GOOGLETRANSLATE(B1779:B1794,""RU"",""UK"")"),"Різець токарний відрізний Р6М5 моноліт 25х16х170")</f>
        <v>Різець токарний відрізний Р6М5 моноліт 25х16х170</v>
      </c>
      <c r="D1779" s="15" t="s">
        <v>6</v>
      </c>
      <c r="E1779" s="15">
        <v>70</v>
      </c>
      <c r="F1779" s="91" t="s">
        <v>327</v>
      </c>
      <c r="G1779" s="4"/>
      <c r="H1779" s="4"/>
      <c r="I1779" s="4"/>
    </row>
    <row r="1780" spans="1:9" ht="15">
      <c r="A1780" s="21">
        <f t="shared" si="32"/>
        <v>287</v>
      </c>
      <c r="B1780" s="14" t="s">
        <v>2462</v>
      </c>
      <c r="C1780" s="85" t="str">
        <f ca="1">IFERROR(__xludf.DUMMYFUNCTION("GOOGLETRANSLATE(B1780:B1795,""RU"",""UK"")"),"Різець токарний відрізний Р6М5 25х16х170 ""півень""")</f>
        <v>Різець токарний відрізний Р6М5 25х16х170 "півень"</v>
      </c>
      <c r="D1780" s="15" t="s">
        <v>6</v>
      </c>
      <c r="E1780" s="15">
        <v>3</v>
      </c>
      <c r="F1780" s="91" t="s">
        <v>319</v>
      </c>
      <c r="G1780" s="4"/>
      <c r="H1780" s="4"/>
      <c r="I1780" s="4"/>
    </row>
    <row r="1781" spans="1:9" ht="15">
      <c r="A1781" s="21">
        <f t="shared" si="32"/>
        <v>288</v>
      </c>
      <c r="B1781" s="14" t="s">
        <v>2463</v>
      </c>
      <c r="C1781" s="85" t="str">
        <f ca="1">IFERROR(__xludf.DUMMYFUNCTION("GOOGLETRANSLATE(B1781:B1796,""RU"",""UK"")"),"Різець токарний відрізний Р6М5 35х8х200/35х9х170/18х18х160")</f>
        <v>Різець токарний відрізний Р6М5 35х8х200/35х9х170/18х18х160</v>
      </c>
      <c r="D1781" s="15" t="s">
        <v>6</v>
      </c>
      <c r="E1781" s="15" t="s">
        <v>2464</v>
      </c>
      <c r="F1781" s="91" t="s">
        <v>344</v>
      </c>
      <c r="G1781" s="4"/>
      <c r="H1781" s="4"/>
      <c r="I1781" s="4"/>
    </row>
    <row r="1782" spans="1:9" ht="15">
      <c r="A1782" s="21">
        <f t="shared" si="32"/>
        <v>289</v>
      </c>
      <c r="B1782" s="14" t="s">
        <v>2465</v>
      </c>
      <c r="C1782" s="85" t="str">
        <f ca="1">IFERROR(__xludf.DUMMYFUNCTION("GOOGLETRANSLATE(B1782:B1797,""RU"",""UK"")"),"Різець токарний розточувальний вкв. відп. Т15К6 16х12х180/16х16х120")</f>
        <v>Різець токарний розточувальний вкв. відп. Т15К6 16х12х180/16х16х120</v>
      </c>
      <c r="D1782" s="15" t="s">
        <v>6</v>
      </c>
      <c r="E1782" s="15" t="s">
        <v>2466</v>
      </c>
      <c r="F1782" s="91" t="s">
        <v>614</v>
      </c>
      <c r="G1782" s="4"/>
      <c r="H1782" s="4"/>
      <c r="I1782" s="4"/>
    </row>
    <row r="1783" spans="1:9" ht="15">
      <c r="A1783" s="21">
        <f t="shared" si="32"/>
        <v>290</v>
      </c>
      <c r="B1783" s="14" t="s">
        <v>2467</v>
      </c>
      <c r="C1783" s="85" t="str">
        <f ca="1">IFERROR(__xludf.DUMMYFUNCTION("GOOGLETRANSLATE(B1783:B1798,""RU"",""UK"")"),"Різець токарний розточувальний вкв. відп. Т15К6 16х16х140")</f>
        <v>Різець токарний розточувальний вкв. відп. Т15К6 16х16х140</v>
      </c>
      <c r="D1783" s="15" t="s">
        <v>6</v>
      </c>
      <c r="E1783" s="15">
        <v>44</v>
      </c>
      <c r="F1783" s="91" t="s">
        <v>185</v>
      </c>
      <c r="G1783" s="4"/>
      <c r="H1783" s="4"/>
      <c r="I1783" s="4"/>
    </row>
    <row r="1784" spans="1:9" ht="15">
      <c r="A1784" s="21">
        <f t="shared" si="32"/>
        <v>291</v>
      </c>
      <c r="B1784" s="14" t="s">
        <v>2468</v>
      </c>
      <c r="C1784" s="85" t="str">
        <f ca="1">IFERROR(__xludf.DUMMYFUNCTION("GOOGLETRANSLATE(B1784:B1799,""RU"",""UK"")"),"Різець токарний розточувальний вкв. відп. Т15К6 16х16х170/20х20х140")</f>
        <v>Різець токарний розточувальний вкв. відп. Т15К6 16х16х170/20х20х140</v>
      </c>
      <c r="D1784" s="15" t="s">
        <v>6</v>
      </c>
      <c r="E1784" s="15" t="s">
        <v>2469</v>
      </c>
      <c r="F1784" s="91" t="s">
        <v>136</v>
      </c>
      <c r="G1784" s="4"/>
      <c r="H1784" s="4"/>
      <c r="I1784" s="4"/>
    </row>
    <row r="1785" spans="1:9" ht="15">
      <c r="A1785" s="21">
        <f t="shared" si="32"/>
        <v>292</v>
      </c>
      <c r="B1785" s="14" t="s">
        <v>2470</v>
      </c>
      <c r="C1785" s="85" t="str">
        <f ca="1">IFERROR(__xludf.DUMMYFUNCTION("GOOGLETRANSLATE(B1785:B1800,""RU"",""UK"")"),"Різець токарний розточувальний вкв. відп. Т15К6 20х16х200")</f>
        <v>Різець токарний розточувальний вкв. відп. Т15К6 20х16х200</v>
      </c>
      <c r="D1785" s="15" t="s">
        <v>6</v>
      </c>
      <c r="E1785" s="15">
        <v>31</v>
      </c>
      <c r="F1785" s="91" t="s">
        <v>346</v>
      </c>
      <c r="G1785" s="4"/>
      <c r="H1785" s="4"/>
      <c r="I1785" s="4"/>
    </row>
    <row r="1786" spans="1:9" ht="15">
      <c r="A1786" s="21">
        <f t="shared" si="32"/>
        <v>293</v>
      </c>
      <c r="B1786" s="14" t="s">
        <v>2471</v>
      </c>
      <c r="C1786" s="85" t="str">
        <f ca="1">IFERROR(__xludf.DUMMYFUNCTION("GOOGLETRANSLATE(B1786:B1801,""RU"",""UK"")"),"Різець токарний розточувальний вкв. відп. Т15К6 20х20х170")</f>
        <v>Різець токарний розточувальний вкв. відп. Т15К6 20х20х170</v>
      </c>
      <c r="D1786" s="15" t="s">
        <v>6</v>
      </c>
      <c r="E1786" s="15">
        <v>170</v>
      </c>
      <c r="F1786" s="91" t="s">
        <v>317</v>
      </c>
      <c r="G1786" s="4"/>
      <c r="H1786" s="4"/>
      <c r="I1786" s="4"/>
    </row>
    <row r="1787" spans="1:9" ht="15">
      <c r="A1787" s="21">
        <f t="shared" si="32"/>
        <v>294</v>
      </c>
      <c r="B1787" s="14" t="s">
        <v>2472</v>
      </c>
      <c r="C1787" s="85" t="str">
        <f ca="1">IFERROR(__xludf.DUMMYFUNCTION("GOOGLETRANSLATE(B1787:B1802,""RU"",""UK"")"),"Різець токарний розточувальний вкв. відп. Т15К6 20х20х200/20х20х220")</f>
        <v>Різець токарний розточувальний вкв. відп. Т15К6 20х20х200/20х20х220</v>
      </c>
      <c r="D1787" s="15" t="s">
        <v>6</v>
      </c>
      <c r="E1787" s="15" t="s">
        <v>2473</v>
      </c>
      <c r="F1787" s="91" t="s">
        <v>319</v>
      </c>
      <c r="G1787" s="4"/>
      <c r="H1787" s="4"/>
      <c r="I1787" s="4"/>
    </row>
    <row r="1788" spans="1:9" ht="15">
      <c r="A1788" s="21">
        <f t="shared" si="32"/>
        <v>295</v>
      </c>
      <c r="B1788" s="14" t="s">
        <v>2474</v>
      </c>
      <c r="C1788" s="85" t="str">
        <f ca="1">IFERROR(__xludf.DUMMYFUNCTION("GOOGLETRANSLATE(B1788:B1803,""RU"",""UK"")"),"Різець токарний розточувальний вкв. відп. Т15К6 20х20х300")</f>
        <v>Різець токарний розточувальний вкв. відп. Т15К6 20х20х300</v>
      </c>
      <c r="D1788" s="15" t="s">
        <v>6</v>
      </c>
      <c r="E1788" s="15">
        <v>1</v>
      </c>
      <c r="F1788" s="91" t="s">
        <v>567</v>
      </c>
      <c r="G1788" s="4"/>
      <c r="H1788" s="4"/>
      <c r="I1788" s="4"/>
    </row>
    <row r="1789" spans="1:9" ht="15">
      <c r="A1789" s="21">
        <f t="shared" si="32"/>
        <v>296</v>
      </c>
      <c r="B1789" s="14" t="s">
        <v>2475</v>
      </c>
      <c r="C1789" s="85" t="str">
        <f ca="1">IFERROR(__xludf.DUMMYFUNCTION("GOOGLETRANSLATE(B1789:B1804,""RU"",""UK"")"),"Різець токарний розточувальний вкв. відп. Т15К6 25х20х140/25х16х200")</f>
        <v>Різець токарний розточувальний вкв. відп. Т15К6 25х20х140/25х16х200</v>
      </c>
      <c r="D1789" s="15" t="s">
        <v>6</v>
      </c>
      <c r="E1789" s="15" t="s">
        <v>2476</v>
      </c>
      <c r="F1789" s="91" t="s">
        <v>2430</v>
      </c>
      <c r="G1789" s="4"/>
      <c r="H1789" s="4"/>
      <c r="I1789" s="4"/>
    </row>
    <row r="1790" spans="1:9" ht="15">
      <c r="A1790" s="21">
        <f t="shared" si="32"/>
        <v>297</v>
      </c>
      <c r="B1790" s="14" t="s">
        <v>2477</v>
      </c>
      <c r="C1790" s="85" t="str">
        <f ca="1">IFERROR(__xludf.DUMMYFUNCTION("GOOGLETRANSLATE(B1790:B1805,""RU"",""UK"")"),"Різець токарний розточувальний вкв. відп. Т15К6 20х20х240лев / 25х25х190лев")</f>
        <v>Різець токарний розточувальний вкв. відп. Т15К6 20х20х240лев / 25х25х190лев</v>
      </c>
      <c r="D1790" s="15" t="s">
        <v>6</v>
      </c>
      <c r="E1790" s="15" t="s">
        <v>749</v>
      </c>
      <c r="F1790" s="91" t="s">
        <v>317</v>
      </c>
      <c r="G1790" s="4"/>
      <c r="H1790" s="4"/>
      <c r="I1790" s="4"/>
    </row>
    <row r="1791" spans="1:9" ht="15">
      <c r="A1791" s="21">
        <f t="shared" si="32"/>
        <v>298</v>
      </c>
      <c r="B1791" s="14" t="s">
        <v>2478</v>
      </c>
      <c r="C1791" s="85" t="str">
        <f ca="1">IFERROR(__xludf.DUMMYFUNCTION("GOOGLETRANSLATE(B1791:B1806,""RU"",""UK"")"),"Різець токарний розточувальний вкв. відп. Т15К6 25х25х200")</f>
        <v>Різець токарний розточувальний вкв. відп. Т15К6 25х25х200</v>
      </c>
      <c r="D1791" s="15" t="s">
        <v>6</v>
      </c>
      <c r="E1791" s="15">
        <v>22</v>
      </c>
      <c r="F1791" s="91" t="s">
        <v>218</v>
      </c>
      <c r="G1791" s="4"/>
      <c r="H1791" s="4"/>
      <c r="I1791" s="4"/>
    </row>
    <row r="1792" spans="1:9" ht="15">
      <c r="A1792" s="21">
        <f t="shared" si="32"/>
        <v>299</v>
      </c>
      <c r="B1792" s="14" t="s">
        <v>2479</v>
      </c>
      <c r="C1792" s="85" t="str">
        <f ca="1">IFERROR(__xludf.DUMMYFUNCTION("GOOGLETRANSLATE(B1792:B1807,""RU"",""UK"")"),"Різець токарний розточувальний вкв. відп. Т15К6 25х20х240/25х25х230")</f>
        <v>Різець токарний розточувальний вкв. відп. Т15К6 25х20х240/25х25х230</v>
      </c>
      <c r="D1792" s="15" t="s">
        <v>6</v>
      </c>
      <c r="E1792" s="15" t="s">
        <v>696</v>
      </c>
      <c r="F1792" s="91" t="s">
        <v>119</v>
      </c>
      <c r="G1792" s="4"/>
      <c r="H1792" s="4"/>
      <c r="I1792" s="4"/>
    </row>
    <row r="1793" spans="1:9" ht="15">
      <c r="A1793" s="21">
        <f t="shared" si="32"/>
        <v>300</v>
      </c>
      <c r="B1793" s="14" t="s">
        <v>2480</v>
      </c>
      <c r="C1793" s="85" t="str">
        <f ca="1">IFERROR(__xludf.DUMMYFUNCTION("GOOGLETRANSLATE(B1793:B1808,""RU"",""UK"")"),"Різець токарний розточувальний вкв. відп. Т15К6 30х30х220")</f>
        <v>Різець токарний розточувальний вкв. відп. Т15К6 30х30х220</v>
      </c>
      <c r="D1793" s="15" t="s">
        <v>6</v>
      </c>
      <c r="E1793" s="15">
        <v>2</v>
      </c>
      <c r="F1793" s="91" t="s">
        <v>327</v>
      </c>
      <c r="G1793" s="4"/>
      <c r="H1793" s="4"/>
      <c r="I1793" s="4"/>
    </row>
    <row r="1794" spans="1:9" ht="15">
      <c r="A1794" s="21">
        <f t="shared" si="32"/>
        <v>301</v>
      </c>
      <c r="B1794" s="14" t="s">
        <v>2481</v>
      </c>
      <c r="C1794" s="85" t="str">
        <f ca="1">IFERROR(__xludf.DUMMYFUNCTION("GOOGLETRANSLATE(B1794:B1809,""RU"",""UK"")"),"Різець токарний розточувальний вкв. відп. Т15К6 25х25х260/25х25х280")</f>
        <v>Різець токарний розточувальний вкв. відп. Т15К6 25х25х260/25х25х280</v>
      </c>
      <c r="D1794" s="15" t="s">
        <v>6</v>
      </c>
      <c r="E1794" s="15" t="s">
        <v>2482</v>
      </c>
      <c r="F1794" s="91" t="s">
        <v>140</v>
      </c>
      <c r="G1794" s="4"/>
      <c r="H1794" s="4"/>
      <c r="I1794" s="4"/>
    </row>
    <row r="1795" spans="1:9" ht="15">
      <c r="A1795" s="21">
        <f t="shared" si="32"/>
        <v>302</v>
      </c>
      <c r="B1795" s="14" t="s">
        <v>2483</v>
      </c>
      <c r="C1795" s="85" t="str">
        <f ca="1">IFERROR(__xludf.DUMMYFUNCTION("GOOGLETRANSLATE(B1795:B1810,""RU"",""UK"")"),"Різець токарний розточувальний вкв. відп. Т15К6 32х30х220/35х20х230")</f>
        <v>Різець токарний розточувальний вкв. відп. Т15К6 32х30х220/35х20х230</v>
      </c>
      <c r="D1795" s="15" t="s">
        <v>6</v>
      </c>
      <c r="E1795" s="15" t="s">
        <v>749</v>
      </c>
      <c r="F1795" s="91" t="s">
        <v>1713</v>
      </c>
      <c r="G1795" s="4"/>
      <c r="H1795" s="4"/>
      <c r="I1795" s="4"/>
    </row>
    <row r="1796" spans="1:9" ht="15">
      <c r="A1796" s="21">
        <f t="shared" si="32"/>
        <v>303</v>
      </c>
      <c r="B1796" s="14" t="s">
        <v>2484</v>
      </c>
      <c r="C1796" s="85" t="str">
        <f ca="1">IFERROR(__xludf.DUMMYFUNCTION("GOOGLETRANSLATE(B1796:B1811,""RU"",""UK"")"),"Різець токарний розточувальний вкв. відп. Т15К6 32х25х270/30х30х250")</f>
        <v>Різець токарний розточувальний вкв. відп. Т15К6 32х25х270/30х30х250</v>
      </c>
      <c r="D1796" s="15" t="s">
        <v>6</v>
      </c>
      <c r="E1796" s="15" t="s">
        <v>774</v>
      </c>
      <c r="F1796" s="91" t="s">
        <v>20</v>
      </c>
      <c r="G1796" s="4"/>
      <c r="H1796" s="4"/>
      <c r="I1796" s="4"/>
    </row>
    <row r="1797" spans="1:9" ht="15">
      <c r="A1797" s="21">
        <f t="shared" si="32"/>
        <v>304</v>
      </c>
      <c r="B1797" s="14" t="s">
        <v>2485</v>
      </c>
      <c r="C1797" s="85" t="str">
        <f ca="1">IFERROR(__xludf.DUMMYFUNCTION("GOOGLETRANSLATE(B1797:B1812,""RU"",""UK"")"),"Різець токарний розточувальний вкв. відп. Т15К6 30х30х320")</f>
        <v>Різець токарний розточувальний вкв. відп. Т15К6 30х30х320</v>
      </c>
      <c r="D1797" s="15" t="s">
        <v>6</v>
      </c>
      <c r="E1797" s="15">
        <v>10</v>
      </c>
      <c r="F1797" s="91" t="s">
        <v>24</v>
      </c>
      <c r="G1797" s="4"/>
      <c r="H1797" s="4"/>
      <c r="I1797" s="4"/>
    </row>
    <row r="1798" spans="1:9" ht="15">
      <c r="A1798" s="21">
        <f t="shared" si="32"/>
        <v>305</v>
      </c>
      <c r="B1798" s="14" t="s">
        <v>2486</v>
      </c>
      <c r="C1798" s="85" t="str">
        <f ca="1">IFERROR(__xludf.DUMMYFUNCTION("GOOGLETRANSLATE(B1798:B1813,""RU"",""UK"")"),"Різець токарний розточний глухий. відп. Т15К6 d18х16х150")</f>
        <v>Різець токарний розточний глухий. відп. Т15К6 d18х16х150</v>
      </c>
      <c r="D1798" s="15" t="s">
        <v>6</v>
      </c>
      <c r="E1798" s="15">
        <v>4</v>
      </c>
      <c r="F1798" s="91" t="s">
        <v>2487</v>
      </c>
      <c r="G1798" s="4"/>
      <c r="H1798" s="4"/>
      <c r="I1798" s="4"/>
    </row>
    <row r="1799" spans="1:9" ht="15">
      <c r="A1799" s="21">
        <f t="shared" si="32"/>
        <v>306</v>
      </c>
      <c r="B1799" s="14" t="s">
        <v>2488</v>
      </c>
      <c r="C1799" s="85" t="str">
        <f ca="1">IFERROR(__xludf.DUMMYFUNCTION("GOOGLETRANSLATE(B1799:B1814,""RU"",""UK"")"),"Різець токарний розточний глухий. відп. Т15К6 d18х140")</f>
        <v>Різець токарний розточний глухий. відп. Т15К6 d18х140</v>
      </c>
      <c r="D1799" s="15" t="s">
        <v>6</v>
      </c>
      <c r="E1799" s="15">
        <v>6</v>
      </c>
      <c r="F1799" s="91" t="s">
        <v>226</v>
      </c>
      <c r="G1799" s="4"/>
      <c r="H1799" s="4"/>
      <c r="I1799" s="4"/>
    </row>
    <row r="1800" spans="1:9" ht="15">
      <c r="A1800" s="21">
        <f t="shared" si="32"/>
        <v>307</v>
      </c>
      <c r="B1800" s="14" t="s">
        <v>2489</v>
      </c>
      <c r="C1800" s="85" t="str">
        <f ca="1">IFERROR(__xludf.DUMMYFUNCTION("GOOGLETRANSLATE(B1800:B1815,""RU"",""UK"")"),"Різець токарний розточний глухий. відп. Т15К6 16х16х120/20х20х100")</f>
        <v>Різець токарний розточний глухий. відп. Т15К6 16х16х120/20х20х100</v>
      </c>
      <c r="D1800" s="15" t="s">
        <v>6</v>
      </c>
      <c r="E1800" s="15" t="s">
        <v>2490</v>
      </c>
      <c r="F1800" s="91" t="s">
        <v>185</v>
      </c>
      <c r="G1800" s="4"/>
      <c r="H1800" s="4"/>
      <c r="I1800" s="4"/>
    </row>
    <row r="1801" spans="1:9" ht="15">
      <c r="A1801" s="21">
        <f t="shared" si="32"/>
        <v>308</v>
      </c>
      <c r="B1801" s="14" t="s">
        <v>2491</v>
      </c>
      <c r="C1801" s="85" t="str">
        <f ca="1">IFERROR(__xludf.DUMMYFUNCTION("GOOGLETRANSLATE(B1801:B1816,""RU"",""UK"")"),"Різець токарний розточний глухий. відп. Т15К6 16х16х140")</f>
        <v>Різець токарний розточний глухий. відп. Т15К6 16х16х140</v>
      </c>
      <c r="D1801" s="15" t="s">
        <v>6</v>
      </c>
      <c r="E1801" s="15">
        <v>83</v>
      </c>
      <c r="F1801" s="91" t="s">
        <v>2277</v>
      </c>
      <c r="G1801" s="4"/>
      <c r="H1801" s="4"/>
      <c r="I1801" s="4"/>
    </row>
    <row r="1802" spans="1:9" ht="15">
      <c r="A1802" s="21">
        <f t="shared" si="32"/>
        <v>309</v>
      </c>
      <c r="B1802" s="14" t="s">
        <v>2492</v>
      </c>
      <c r="C1802" s="85" t="str">
        <f ca="1">IFERROR(__xludf.DUMMYFUNCTION("GOOGLETRANSLATE(B1802:B1817,""RU"",""UK"")"),"Різець токарний розточний глухий. відп. Т15К6 16х16х170")</f>
        <v>Різець токарний розточний глухий. відп. Т15К6 16х16х170</v>
      </c>
      <c r="D1802" s="15" t="s">
        <v>6</v>
      </c>
      <c r="E1802" s="15">
        <v>105</v>
      </c>
      <c r="F1802" s="91" t="s">
        <v>1194</v>
      </c>
      <c r="G1802" s="4"/>
      <c r="H1802" s="4"/>
      <c r="I1802" s="4"/>
    </row>
    <row r="1803" spans="1:9" ht="15">
      <c r="A1803" s="21">
        <f t="shared" si="32"/>
        <v>310</v>
      </c>
      <c r="B1803" s="14" t="s">
        <v>2493</v>
      </c>
      <c r="C1803" s="85" t="str">
        <f ca="1">IFERROR(__xludf.DUMMYFUNCTION("GOOGLETRANSLATE(B1803:B1818,""RU"",""UK"")"),"Різець токарний розточний глухий. відп. Т15К6 20х20х140/20х20х170")</f>
        <v>Різець токарний розточний глухий. відп. Т15К6 20х20х140/20х20х170</v>
      </c>
      <c r="D1803" s="15" t="s">
        <v>6</v>
      </c>
      <c r="E1803" s="15" t="s">
        <v>2494</v>
      </c>
      <c r="F1803" s="91" t="s">
        <v>344</v>
      </c>
      <c r="G1803" s="4"/>
      <c r="H1803" s="4"/>
      <c r="I1803" s="4"/>
    </row>
    <row r="1804" spans="1:9" ht="15">
      <c r="A1804" s="21">
        <f t="shared" si="32"/>
        <v>311</v>
      </c>
      <c r="B1804" s="14" t="s">
        <v>2495</v>
      </c>
      <c r="C1804" s="85" t="str">
        <f ca="1">IFERROR(__xludf.DUMMYFUNCTION("GOOGLETRANSLATE(B1804:B1819,""RU"",""UK"")"),"Різець токарний розточний глухий. відп. Т15К6 20х20х200")</f>
        <v>Різець токарний розточний глухий. відп. Т15К6 20х20х200</v>
      </c>
      <c r="D1804" s="15" t="s">
        <v>6</v>
      </c>
      <c r="E1804" s="15">
        <v>116</v>
      </c>
      <c r="F1804" s="91" t="s">
        <v>317</v>
      </c>
      <c r="G1804" s="4"/>
      <c r="H1804" s="4"/>
      <c r="I1804" s="4"/>
    </row>
    <row r="1805" spans="1:9" ht="15">
      <c r="A1805" s="21">
        <f t="shared" si="32"/>
        <v>312</v>
      </c>
      <c r="B1805" s="14" t="s">
        <v>2496</v>
      </c>
      <c r="C1805" s="85" t="str">
        <f ca="1">IFERROR(__xludf.DUMMYFUNCTION("GOOGLETRANSLATE(B1805:B1820,""RU"",""UK"")"),"Різець токарний розточний глухий. відп. Т15К6 25х20х170лев")</f>
        <v>Різець токарний розточний глухий. відп. Т15К6 25х20х170лев</v>
      </c>
      <c r="D1805" s="15" t="s">
        <v>6</v>
      </c>
      <c r="E1805" s="15">
        <v>1</v>
      </c>
      <c r="F1805" s="91" t="s">
        <v>1570</v>
      </c>
      <c r="G1805" s="4"/>
      <c r="H1805" s="4"/>
      <c r="I1805" s="4"/>
    </row>
    <row r="1806" spans="1:9" ht="15">
      <c r="A1806" s="21">
        <f t="shared" si="32"/>
        <v>313</v>
      </c>
      <c r="B1806" s="14" t="s">
        <v>2497</v>
      </c>
      <c r="C1806" s="85" t="str">
        <f ca="1">IFERROR(__xludf.DUMMYFUNCTION("GOOGLETRANSLATE(B1806:B1821,""RU"",""UK"")"),"Різець токарний розточний глухий. відп. Т15К6 22х32х160")</f>
        <v>Різець токарний розточний глухий. відп. Т15К6 22х32х160</v>
      </c>
      <c r="D1806" s="15" t="s">
        <v>6</v>
      </c>
      <c r="E1806" s="15">
        <v>8</v>
      </c>
      <c r="F1806" s="91" t="s">
        <v>1570</v>
      </c>
      <c r="G1806" s="4"/>
      <c r="H1806" s="4"/>
      <c r="I1806" s="4"/>
    </row>
    <row r="1807" spans="1:9" ht="15">
      <c r="A1807" s="21">
        <f t="shared" si="32"/>
        <v>314</v>
      </c>
      <c r="B1807" s="19" t="s">
        <v>2498</v>
      </c>
      <c r="C1807" s="85" t="str">
        <f ca="1">IFERROR(__xludf.DUMMYFUNCTION("GOOGLETRANSLATE(B1807:B1822,""RU"",""UK"")"),"Різець токарний розточний глухий. відп. Т15К6 25х16х240/25х25х240")</f>
        <v>Різець токарний розточний глухий. відп. Т15К6 25х16х240/25х25х240</v>
      </c>
      <c r="D1807" s="15" t="s">
        <v>6</v>
      </c>
      <c r="E1807" s="15">
        <v>0</v>
      </c>
      <c r="F1807" s="91" t="s">
        <v>1570</v>
      </c>
      <c r="G1807" s="4"/>
      <c r="H1807" s="4"/>
      <c r="I1807" s="4"/>
    </row>
    <row r="1808" spans="1:9" ht="15">
      <c r="A1808" s="21">
        <f t="shared" si="32"/>
        <v>315</v>
      </c>
      <c r="B1808" s="14" t="s">
        <v>2499</v>
      </c>
      <c r="C1808" s="85" t="str">
        <f ca="1">IFERROR(__xludf.DUMMYFUNCTION("GOOGLETRANSLATE(B1808:B1823,""RU"",""UK"")"),"Різець токарний розточний глухий. відп. Т15К6 32х20х180 лев")</f>
        <v>Різець токарний розточний глухий. відп. Т15К6 32х20х180 лев</v>
      </c>
      <c r="D1808" s="15" t="s">
        <v>6</v>
      </c>
      <c r="E1808" s="15">
        <v>4</v>
      </c>
      <c r="F1808" s="91" t="s">
        <v>327</v>
      </c>
      <c r="G1808" s="4"/>
      <c r="H1808" s="4"/>
      <c r="I1808" s="4"/>
    </row>
    <row r="1809" spans="1:9" ht="15">
      <c r="A1809" s="21">
        <f t="shared" si="32"/>
        <v>316</v>
      </c>
      <c r="B1809" s="14" t="s">
        <v>2500</v>
      </c>
      <c r="C1809" s="85" t="str">
        <f ca="1">IFERROR(__xludf.DUMMYFUNCTION("GOOGLETRANSLATE(B1809:B1824,""RU"",""UK"")"),"Різець токарний розточний глухий. відп. Т15К6 32х32х280")</f>
        <v>Різець токарний розточний глухий. відп. Т15К6 32х32х280</v>
      </c>
      <c r="D1809" s="15" t="s">
        <v>6</v>
      </c>
      <c r="E1809" s="15">
        <v>4</v>
      </c>
      <c r="F1809" s="91" t="s">
        <v>140</v>
      </c>
      <c r="G1809" s="4"/>
      <c r="H1809" s="4"/>
      <c r="I1809" s="4"/>
    </row>
    <row r="1810" spans="1:9" ht="15">
      <c r="A1810" s="21">
        <f t="shared" si="32"/>
        <v>317</v>
      </c>
      <c r="B1810" s="14" t="s">
        <v>2501</v>
      </c>
      <c r="C1810" s="85" t="str">
        <f ca="1">IFERROR(__xludf.DUMMYFUNCTION("GOOGLETRANSLATE(B1810:B1825,""RU"",""UK"")"),"Різець токарний розточний глух. D12х90мм Т5К10")</f>
        <v>Різець токарний розточний глух. D12х90мм Т5К10</v>
      </c>
      <c r="D1810" s="15" t="s">
        <v>6</v>
      </c>
      <c r="E1810" s="15">
        <v>2</v>
      </c>
      <c r="F1810" s="91" t="s">
        <v>255</v>
      </c>
      <c r="G1810" s="4"/>
      <c r="H1810" s="4"/>
      <c r="I1810" s="4"/>
    </row>
    <row r="1811" spans="1:9" ht="15">
      <c r="A1811" s="21">
        <f t="shared" si="32"/>
        <v>318</v>
      </c>
      <c r="B1811" s="14" t="s">
        <v>2502</v>
      </c>
      <c r="C1811" s="85" t="str">
        <f ca="1">IFERROR(__xludf.DUMMYFUNCTION("GOOGLETRANSLATE(B1811:B1826,""RU"",""UK"")"),"Різець токарний розточний глухий. відп. Т5К10 16х16х120")</f>
        <v>Різець токарний розточний глухий. відп. Т5К10 16х16х120</v>
      </c>
      <c r="D1811" s="15" t="s">
        <v>6</v>
      </c>
      <c r="E1811" s="15">
        <v>16</v>
      </c>
      <c r="F1811" s="91" t="s">
        <v>185</v>
      </c>
      <c r="G1811" s="4"/>
      <c r="H1811" s="4"/>
      <c r="I1811" s="4"/>
    </row>
    <row r="1812" spans="1:9" ht="15">
      <c r="A1812" s="21">
        <f t="shared" si="32"/>
        <v>319</v>
      </c>
      <c r="B1812" s="14" t="s">
        <v>2503</v>
      </c>
      <c r="C1812" s="85" t="str">
        <f ca="1">IFERROR(__xludf.DUMMYFUNCTION("GOOGLETRANSLATE(B1812:B1827,""RU"",""UK"")"),"Різець токарний розточний глухий. відп. Т5К10 16х16х140")</f>
        <v>Різець токарний розточний глухий. відп. Т5К10 16х16х140</v>
      </c>
      <c r="D1812" s="15" t="s">
        <v>6</v>
      </c>
      <c r="E1812" s="15">
        <v>88</v>
      </c>
      <c r="F1812" s="91" t="s">
        <v>187</v>
      </c>
      <c r="G1812" s="4"/>
      <c r="H1812" s="4"/>
      <c r="I1812" s="4"/>
    </row>
    <row r="1813" spans="1:9" ht="15">
      <c r="A1813" s="21">
        <f t="shared" si="32"/>
        <v>320</v>
      </c>
      <c r="B1813" s="14" t="s">
        <v>2504</v>
      </c>
      <c r="C1813" s="85" t="str">
        <f ca="1">IFERROR(__xludf.DUMMYFUNCTION("GOOGLETRANSLATE(B1813:B1828,""RU"",""UK"")"),"Різець токарний розточний глухий. відп. Т5К10 16х16х170")</f>
        <v>Різець токарний розточний глухий. відп. Т5К10 16х16х170</v>
      </c>
      <c r="D1813" s="15" t="s">
        <v>6</v>
      </c>
      <c r="E1813" s="15">
        <v>81</v>
      </c>
      <c r="F1813" s="91" t="s">
        <v>194</v>
      </c>
      <c r="G1813" s="4"/>
      <c r="H1813" s="4"/>
      <c r="I1813" s="4"/>
    </row>
    <row r="1814" spans="1:9" ht="15">
      <c r="A1814" s="21">
        <f t="shared" si="32"/>
        <v>321</v>
      </c>
      <c r="B1814" s="14" t="s">
        <v>2505</v>
      </c>
      <c r="C1814" s="85" t="str">
        <f ca="1">IFERROR(__xludf.DUMMYFUNCTION("GOOGLETRANSLATE(B1814:B1829,""RU"",""UK"")"),"Різець токарний розточний глухий. відп. Т5К10 20х20х140")</f>
        <v>Різець токарний розточний глухий. відп. Т5К10 20х20х140</v>
      </c>
      <c r="D1814" s="15" t="s">
        <v>6</v>
      </c>
      <c r="E1814" s="15">
        <v>6</v>
      </c>
      <c r="F1814" s="91" t="s">
        <v>348</v>
      </c>
      <c r="G1814" s="4"/>
      <c r="H1814" s="4"/>
      <c r="I1814" s="4"/>
    </row>
    <row r="1815" spans="1:9" ht="15">
      <c r="A1815" s="21">
        <f t="shared" si="32"/>
        <v>322</v>
      </c>
      <c r="B1815" s="14" t="s">
        <v>2506</v>
      </c>
      <c r="C1815" s="85" t="str">
        <f ca="1">IFERROR(__xludf.DUMMYFUNCTION("GOOGLETRANSLATE(B1815:B1830,""RU"",""UK"")"),"Різець токарний розточний глухий. відп. Т5К10 20х20х170-180")</f>
        <v>Різець токарний розточний глухий. відп. Т5К10 20х20х170-180</v>
      </c>
      <c r="D1815" s="15" t="s">
        <v>6</v>
      </c>
      <c r="E1815" s="15">
        <v>23</v>
      </c>
      <c r="F1815" s="91" t="s">
        <v>218</v>
      </c>
      <c r="G1815" s="4"/>
      <c r="H1815" s="4"/>
      <c r="I1815" s="4"/>
    </row>
    <row r="1816" spans="1:9" ht="15">
      <c r="A1816" s="21">
        <f t="shared" ref="A1816:A1879" si="33">A1815+1</f>
        <v>323</v>
      </c>
      <c r="B1816" s="14" t="s">
        <v>2507</v>
      </c>
      <c r="C1816" s="85" t="str">
        <f ca="1">IFERROR(__xludf.DUMMYFUNCTION("GOOGLETRANSLATE(B1816:B1831,""RU"",""UK"")"),"Різець токарний розточний глухий. відп. Т5К10 20х25х170")</f>
        <v>Різець токарний розточний глухий. відп. Т5К10 20х25х170</v>
      </c>
      <c r="D1816" s="15" t="s">
        <v>6</v>
      </c>
      <c r="E1816" s="15">
        <v>2</v>
      </c>
      <c r="F1816" s="91" t="s">
        <v>567</v>
      </c>
      <c r="G1816" s="4"/>
      <c r="H1816" s="4"/>
      <c r="I1816" s="4"/>
    </row>
    <row r="1817" spans="1:9" ht="15">
      <c r="A1817" s="21">
        <f t="shared" si="33"/>
        <v>324</v>
      </c>
      <c r="B1817" s="14" t="s">
        <v>2508</v>
      </c>
      <c r="C1817" s="85" t="str">
        <f ca="1">IFERROR(__xludf.DUMMYFUNCTION("GOOGLETRANSLATE(B1817:B1832,""RU"",""UK"")"),"Різець токарний розточний глухий. відп. Т5К10 20х20х200")</f>
        <v>Різець токарний розточний глухий. відп. Т5К10 20х20х200</v>
      </c>
      <c r="D1817" s="15" t="s">
        <v>6</v>
      </c>
      <c r="E1817" s="15">
        <v>2</v>
      </c>
      <c r="F1817" s="91" t="s">
        <v>263</v>
      </c>
      <c r="G1817" s="4"/>
      <c r="H1817" s="4"/>
      <c r="I1817" s="4"/>
    </row>
    <row r="1818" spans="1:9" ht="15">
      <c r="A1818" s="21">
        <f t="shared" si="33"/>
        <v>325</v>
      </c>
      <c r="B1818" s="14" t="s">
        <v>2509</v>
      </c>
      <c r="C1818" s="85" t="str">
        <f ca="1">IFERROR(__xludf.DUMMYFUNCTION("GOOGLETRANSLATE(B1818:B1833,""RU"",""UK"")"),"Різець токарний розточний глухий. відп. Т5К10 25х25х200")</f>
        <v>Різець токарний розточний глухий. відп. Т5К10 25х25х200</v>
      </c>
      <c r="D1818" s="15" t="s">
        <v>6</v>
      </c>
      <c r="E1818" s="15">
        <v>4</v>
      </c>
      <c r="F1818" s="91" t="s">
        <v>1559</v>
      </c>
      <c r="G1818" s="4"/>
      <c r="H1818" s="4"/>
      <c r="I1818" s="4"/>
    </row>
    <row r="1819" spans="1:9" ht="15">
      <c r="A1819" s="21">
        <f t="shared" si="33"/>
        <v>326</v>
      </c>
      <c r="B1819" s="14" t="s">
        <v>2510</v>
      </c>
      <c r="C1819" s="85" t="str">
        <f ca="1">IFERROR(__xludf.DUMMYFUNCTION("GOOGLETRANSLATE(B1819:B1834,""RU"",""UK"")"),"Різець токарний розточний глухий. відп. Т5К10 25х16х250/25х25х240-260")</f>
        <v>Різець токарний розточний глухий. відп. Т5К10 25х16х250/25х25х240-260</v>
      </c>
      <c r="D1819" s="15" t="s">
        <v>6</v>
      </c>
      <c r="E1819" s="15" t="s">
        <v>2511</v>
      </c>
      <c r="F1819" s="91" t="s">
        <v>327</v>
      </c>
      <c r="G1819" s="4"/>
      <c r="H1819" s="4"/>
      <c r="I1819" s="4"/>
    </row>
    <row r="1820" spans="1:9" ht="15">
      <c r="A1820" s="21">
        <f t="shared" si="33"/>
        <v>327</v>
      </c>
      <c r="B1820" s="14" t="s">
        <v>2512</v>
      </c>
      <c r="C1820" s="85" t="str">
        <f ca="1">IFERROR(__xludf.DUMMYFUNCTION("GOOGLETRANSLATE(B1820:B1835,""RU"",""UK"")"),"Різець токарний розточний глухий. відп. Т5К10 32х25х270/32х25х300")</f>
        <v>Різець токарний розточний глухий. відп. Т5К10 32х25х270/32х25х300</v>
      </c>
      <c r="D1820" s="15" t="s">
        <v>6</v>
      </c>
      <c r="E1820" s="15" t="s">
        <v>2209</v>
      </c>
      <c r="F1820" s="91" t="s">
        <v>140</v>
      </c>
      <c r="G1820" s="4"/>
      <c r="H1820" s="4"/>
      <c r="I1820" s="4"/>
    </row>
    <row r="1821" spans="1:9" ht="15">
      <c r="A1821" s="21">
        <f t="shared" si="33"/>
        <v>328</v>
      </c>
      <c r="B1821" s="14" t="s">
        <v>2513</v>
      </c>
      <c r="C1821" s="85" t="str">
        <f ca="1">IFERROR(__xludf.DUMMYFUNCTION("GOOGLETRANSLATE(B1821:B1836,""RU"",""UK"")"),"Різець токарний розточний глухий. відп. Т5К10 40х25х280")</f>
        <v>Різець токарний розточний глухий. відп. Т5К10 40х25х280</v>
      </c>
      <c r="D1821" s="15" t="s">
        <v>6</v>
      </c>
      <c r="E1821" s="15">
        <v>3</v>
      </c>
      <c r="F1821" s="91" t="s">
        <v>20</v>
      </c>
      <c r="G1821" s="4"/>
      <c r="H1821" s="4"/>
      <c r="I1821" s="4"/>
    </row>
    <row r="1822" spans="1:9" ht="15">
      <c r="A1822" s="21">
        <f t="shared" si="33"/>
        <v>329</v>
      </c>
      <c r="B1822" s="14" t="s">
        <v>2514</v>
      </c>
      <c r="C1822" s="85" t="str">
        <f ca="1">IFERROR(__xludf.DUMMYFUNCTION("GOOGLETRANSLATE(B1822:B1837,""RU"",""UK"")"),"Різець токарний розточувальний вкв. відп. Т5К10 14х14х150/16х16х120")</f>
        <v>Різець токарний розточувальний вкв. відп. Т5К10 14х14х150/16х16х120</v>
      </c>
      <c r="D1822" s="15" t="s">
        <v>6</v>
      </c>
      <c r="E1822" s="15" t="s">
        <v>2515</v>
      </c>
      <c r="F1822" s="91" t="s">
        <v>564</v>
      </c>
      <c r="G1822" s="4"/>
      <c r="H1822" s="4"/>
      <c r="I1822" s="4"/>
    </row>
    <row r="1823" spans="1:9" ht="15">
      <c r="A1823" s="21">
        <f t="shared" si="33"/>
        <v>330</v>
      </c>
      <c r="B1823" s="14" t="s">
        <v>2516</v>
      </c>
      <c r="C1823" s="85" t="str">
        <f ca="1">IFERROR(__xludf.DUMMYFUNCTION("GOOGLETRANSLATE(B1823:B1838,""RU"",""UK"")"),"Різець токарний розточувальний вкв. відп. Т5К10 16х16х140/16х12х170")</f>
        <v>Різець токарний розточувальний вкв. відп. Т5К10 16х16х140/16х12х170</v>
      </c>
      <c r="D1823" s="15" t="s">
        <v>6</v>
      </c>
      <c r="E1823" s="15" t="s">
        <v>2517</v>
      </c>
      <c r="F1823" s="91" t="s">
        <v>185</v>
      </c>
      <c r="G1823" s="4"/>
      <c r="H1823" s="4"/>
      <c r="I1823" s="4"/>
    </row>
    <row r="1824" spans="1:9" ht="15">
      <c r="A1824" s="21">
        <f t="shared" si="33"/>
        <v>331</v>
      </c>
      <c r="B1824" s="14" t="s">
        <v>2518</v>
      </c>
      <c r="C1824" s="85" t="str">
        <f ca="1">IFERROR(__xludf.DUMMYFUNCTION("GOOGLETRANSLATE(B1824:B1839,""RU"",""UK"")"),"Різець токарний розточувальний вкв. відп. Т5К10 16х16х170")</f>
        <v>Різець токарний розточувальний вкв. відп. Т5К10 16х16х170</v>
      </c>
      <c r="D1824" s="15" t="s">
        <v>6</v>
      </c>
      <c r="E1824" s="15">
        <v>78</v>
      </c>
      <c r="F1824" s="91" t="s">
        <v>1194</v>
      </c>
      <c r="G1824" s="4"/>
      <c r="H1824" s="4"/>
      <c r="I1824" s="4"/>
    </row>
    <row r="1825" spans="1:9" ht="15">
      <c r="A1825" s="21">
        <f t="shared" si="33"/>
        <v>332</v>
      </c>
      <c r="B1825" s="14" t="s">
        <v>2519</v>
      </c>
      <c r="C1825" s="85" t="str">
        <f ca="1">IFERROR(__xludf.DUMMYFUNCTION("GOOGLETRANSLATE(B1825:B1840,""RU"",""UK"")"),"Різець токарний розточувальний вкв. відп. Т5К10 18х18х200")</f>
        <v>Різець токарний розточувальний вкв. відп. Т5К10 18х18х200</v>
      </c>
      <c r="D1825" s="15" t="s">
        <v>6</v>
      </c>
      <c r="E1825" s="15">
        <v>30</v>
      </c>
      <c r="F1825" s="91" t="s">
        <v>344</v>
      </c>
      <c r="G1825" s="4"/>
      <c r="H1825" s="4"/>
      <c r="I1825" s="4"/>
    </row>
    <row r="1826" spans="1:9" ht="15">
      <c r="A1826" s="21">
        <f t="shared" si="33"/>
        <v>333</v>
      </c>
      <c r="B1826" s="14" t="s">
        <v>2520</v>
      </c>
      <c r="C1826" s="85" t="str">
        <f ca="1">IFERROR(__xludf.DUMMYFUNCTION("GOOGLETRANSLATE(B1826:B1841,""RU"",""UK"")"),"Різець токарний розточувальний вкв. відп. Т5К10 20х20х160")</f>
        <v>Різець токарний розточувальний вкв. відп. Т5К10 20х20х160</v>
      </c>
      <c r="D1826" s="15" t="s">
        <v>6</v>
      </c>
      <c r="E1826" s="15">
        <v>12</v>
      </c>
      <c r="F1826" s="91" t="s">
        <v>344</v>
      </c>
      <c r="G1826" s="4"/>
      <c r="H1826" s="4"/>
      <c r="I1826" s="4"/>
    </row>
    <row r="1827" spans="1:9" ht="15">
      <c r="A1827" s="21">
        <f t="shared" si="33"/>
        <v>334</v>
      </c>
      <c r="B1827" s="14" t="s">
        <v>2521</v>
      </c>
      <c r="C1827" s="85" t="str">
        <f ca="1">IFERROR(__xludf.DUMMYFUNCTION("GOOGLETRANSLATE(B1827:B1842,""RU"",""UK"")"),"Різець токарний розточувальний вкв. відп. Т5К10 20х20х170")</f>
        <v>Різець токарний розточувальний вкв. відп. Т5К10 20х20х170</v>
      </c>
      <c r="D1827" s="15" t="s">
        <v>6</v>
      </c>
      <c r="E1827" s="15">
        <v>54</v>
      </c>
      <c r="F1827" s="91" t="s">
        <v>317</v>
      </c>
      <c r="G1827" s="4"/>
      <c r="H1827" s="4"/>
      <c r="I1827" s="4"/>
    </row>
    <row r="1828" spans="1:9" ht="15">
      <c r="A1828" s="21">
        <f t="shared" si="33"/>
        <v>335</v>
      </c>
      <c r="B1828" s="14" t="s">
        <v>2522</v>
      </c>
      <c r="C1828" s="85" t="str">
        <f ca="1">IFERROR(__xludf.DUMMYFUNCTION("GOOGLETRANSLATE(B1828:B1843,""RU"",""UK"")"),"Різець токарний розточувальний вкв. відп. Т5К10 25х16х200")</f>
        <v>Різець токарний розточувальний вкв. відп. Т5К10 25х16х200</v>
      </c>
      <c r="D1828" s="15" t="s">
        <v>6</v>
      </c>
      <c r="E1828" s="15">
        <v>3</v>
      </c>
      <c r="F1828" s="91" t="s">
        <v>2404</v>
      </c>
      <c r="G1828" s="4"/>
      <c r="H1828" s="4"/>
      <c r="I1828" s="4"/>
    </row>
    <row r="1829" spans="1:9" ht="15">
      <c r="A1829" s="21">
        <f t="shared" si="33"/>
        <v>336</v>
      </c>
      <c r="B1829" s="14" t="s">
        <v>2523</v>
      </c>
      <c r="C1829" s="85" t="str">
        <f ca="1">IFERROR(__xludf.DUMMYFUNCTION("GOOGLETRANSLATE(B1829:B1844,""RU"",""UK"")"),"Різець токарний розточувальний вкв. відп. Т5К10 25х25х200")</f>
        <v>Різець токарний розточувальний вкв. відп. Т5К10 25х25х200</v>
      </c>
      <c r="D1829" s="15" t="s">
        <v>6</v>
      </c>
      <c r="E1829" s="15">
        <v>26</v>
      </c>
      <c r="F1829" s="91" t="s">
        <v>319</v>
      </c>
      <c r="G1829" s="4"/>
      <c r="H1829" s="4"/>
      <c r="I1829" s="4"/>
    </row>
    <row r="1830" spans="1:9" ht="15">
      <c r="A1830" s="21">
        <f t="shared" si="33"/>
        <v>337</v>
      </c>
      <c r="B1830" s="14" t="s">
        <v>2524</v>
      </c>
      <c r="C1830" s="85" t="str">
        <f ca="1">IFERROR(__xludf.DUMMYFUNCTION("GOOGLETRANSLATE(B1830:B1845,""RU"",""UK"")"),"Різець токарний розточувальний вкв. відп. Т5К10 25х20х230-240")</f>
        <v>Різець токарний розточувальний вкв. відп. Т5К10 25х20х230-240</v>
      </c>
      <c r="D1830" s="15" t="s">
        <v>6</v>
      </c>
      <c r="E1830" s="15">
        <v>24</v>
      </c>
      <c r="F1830" s="91" t="s">
        <v>263</v>
      </c>
      <c r="G1830" s="4"/>
      <c r="H1830" s="4"/>
      <c r="I1830" s="4"/>
    </row>
    <row r="1831" spans="1:9" ht="15">
      <c r="A1831" s="21">
        <f t="shared" si="33"/>
        <v>338</v>
      </c>
      <c r="B1831" s="14" t="s">
        <v>2523</v>
      </c>
      <c r="C1831" s="85" t="str">
        <f ca="1">IFERROR(__xludf.DUMMYFUNCTION("GOOGLETRANSLATE(B1831:B1846,""RU"",""UK"")"),"Різець токарний розточувальний вкв. відп. Т5К10 25х25х200")</f>
        <v>Різець токарний розточувальний вкв. відп. Т5К10 25х25х200</v>
      </c>
      <c r="D1831" s="15" t="s">
        <v>6</v>
      </c>
      <c r="E1831" s="15">
        <v>20</v>
      </c>
      <c r="F1831" s="91" t="s">
        <v>263</v>
      </c>
      <c r="G1831" s="4"/>
      <c r="H1831" s="4"/>
      <c r="I1831" s="4"/>
    </row>
    <row r="1832" spans="1:9" ht="15">
      <c r="A1832" s="21">
        <f t="shared" si="33"/>
        <v>339</v>
      </c>
      <c r="B1832" s="14" t="s">
        <v>2525</v>
      </c>
      <c r="C1832" s="85" t="str">
        <f ca="1">IFERROR(__xludf.DUMMYFUNCTION("GOOGLETRANSLATE(B1832:B1847,""RU"",""UK"")"),"Різець токарний розточувальний вкв. відп. Т5К10 25х25х230-240")</f>
        <v>Різець токарний розточувальний вкв. відп. Т5К10 25х25х230-240</v>
      </c>
      <c r="D1832" s="15" t="s">
        <v>6</v>
      </c>
      <c r="E1832" s="15">
        <v>220</v>
      </c>
      <c r="F1832" s="91" t="s">
        <v>353</v>
      </c>
      <c r="G1832" s="4"/>
      <c r="H1832" s="4"/>
      <c r="I1832" s="4"/>
    </row>
    <row r="1833" spans="1:9" ht="15">
      <c r="A1833" s="21">
        <f t="shared" si="33"/>
        <v>340</v>
      </c>
      <c r="B1833" s="14" t="s">
        <v>2526</v>
      </c>
      <c r="C1833" s="85" t="str">
        <f ca="1">IFERROR(__xludf.DUMMYFUNCTION("GOOGLETRANSLATE(B1833:B1848,""RU"",""UK"")"),"Різець токарний розточувальний вкв. відп. Т5К10 32х25х240/30х20х270")</f>
        <v>Різець токарний розточувальний вкв. відп. Т5К10 32х25х240/30х20х270</v>
      </c>
      <c r="D1833" s="15" t="s">
        <v>6</v>
      </c>
      <c r="E1833" s="15" t="s">
        <v>2527</v>
      </c>
      <c r="F1833" s="91" t="s">
        <v>119</v>
      </c>
      <c r="G1833" s="4"/>
      <c r="H1833" s="4"/>
      <c r="I1833" s="4"/>
    </row>
    <row r="1834" spans="1:9" ht="15">
      <c r="A1834" s="21">
        <f t="shared" si="33"/>
        <v>341</v>
      </c>
      <c r="B1834" s="14" t="s">
        <v>2528</v>
      </c>
      <c r="C1834" s="85" t="str">
        <f ca="1">IFERROR(__xludf.DUMMYFUNCTION("GOOGLETRANSLATE(B1834:B1849,""RU"",""UK"")"),"Різець токарний розточувальний вкв. відп. Т5К10 25х25х280/32х25х290")</f>
        <v>Різець токарний розточувальний вкв. відп. Т5К10 25х25х280/32х25х290</v>
      </c>
      <c r="D1834" s="15" t="s">
        <v>6</v>
      </c>
      <c r="E1834" s="15" t="s">
        <v>2529</v>
      </c>
      <c r="F1834" s="91" t="s">
        <v>327</v>
      </c>
      <c r="G1834" s="4"/>
      <c r="H1834" s="4"/>
      <c r="I1834" s="4"/>
    </row>
    <row r="1835" spans="1:9" ht="15">
      <c r="A1835" s="21">
        <f t="shared" si="33"/>
        <v>342</v>
      </c>
      <c r="B1835" s="14" t="s">
        <v>2530</v>
      </c>
      <c r="C1835" s="85" t="str">
        <f ca="1">IFERROR(__xludf.DUMMYFUNCTION("GOOGLETRANSLATE(B1835:B1850,""RU"",""UK"")"),"Різець токарний розточувальний вкв. відп. Т5К10 40х30х280/40х30х300")</f>
        <v>Різець токарний розточувальний вкв. відп. Т5К10 40х30х280/40х30х300</v>
      </c>
      <c r="D1835" s="15" t="s">
        <v>6</v>
      </c>
      <c r="E1835" s="15" t="s">
        <v>1970</v>
      </c>
      <c r="F1835" s="91" t="s">
        <v>140</v>
      </c>
      <c r="G1835" s="4"/>
      <c r="H1835" s="4"/>
      <c r="I1835" s="4"/>
    </row>
    <row r="1836" spans="1:9" ht="15">
      <c r="A1836" s="21">
        <f t="shared" si="33"/>
        <v>343</v>
      </c>
      <c r="B1836" s="14" t="s">
        <v>2531</v>
      </c>
      <c r="C1836" s="85" t="str">
        <f ca="1">IFERROR(__xludf.DUMMYFUNCTION("GOOGLETRANSLATE(B1836:B1851,""RU"",""UK"")"),"Різець токарний розточний глухий. відп. Т30К4 25х25х200")</f>
        <v>Різець токарний розточний глухий. відп. Т30К4 25х25х200</v>
      </c>
      <c r="D1836" s="15" t="s">
        <v>6</v>
      </c>
      <c r="E1836" s="15">
        <v>12</v>
      </c>
      <c r="F1836" s="91" t="s">
        <v>319</v>
      </c>
      <c r="G1836" s="4"/>
      <c r="H1836" s="4"/>
      <c r="I1836" s="4"/>
    </row>
    <row r="1837" spans="1:9" ht="15">
      <c r="A1837" s="21">
        <f t="shared" si="33"/>
        <v>344</v>
      </c>
      <c r="B1837" s="14" t="s">
        <v>2532</v>
      </c>
      <c r="C1837" s="85" t="str">
        <f ca="1">IFERROR(__xludf.DUMMYFUNCTION("GOOGLETRANSLATE(B1837:B1852,""RU"",""UK"")"),"Різець токарний розточний глухий. відп. Т30К4 40х30х250")</f>
        <v>Різець токарний розточний глухий. відп. Т30К4 40х30х250</v>
      </c>
      <c r="D1837" s="15" t="s">
        <v>6</v>
      </c>
      <c r="E1837" s="15">
        <v>2</v>
      </c>
      <c r="F1837" s="91" t="s">
        <v>140</v>
      </c>
      <c r="G1837" s="4"/>
      <c r="H1837" s="4"/>
      <c r="I1837" s="4"/>
    </row>
    <row r="1838" spans="1:9" ht="15">
      <c r="A1838" s="21">
        <f t="shared" si="33"/>
        <v>345</v>
      </c>
      <c r="B1838" s="14" t="s">
        <v>2533</v>
      </c>
      <c r="C1838" s="85" t="str">
        <f ca="1">IFERROR(__xludf.DUMMYFUNCTION("GOOGLETRANSLATE(B1838:B1853,""RU"",""UK"")"),"Різець токарний розточний глух. d3ммВК6М моноліт")</f>
        <v>Різець токарний розточний глух. d3ммВК6М моноліт</v>
      </c>
      <c r="D1838" s="15" t="s">
        <v>6</v>
      </c>
      <c r="E1838" s="15">
        <v>53</v>
      </c>
      <c r="F1838" s="91" t="s">
        <v>314</v>
      </c>
      <c r="G1838" s="4"/>
      <c r="H1838" s="4"/>
      <c r="I1838" s="4"/>
    </row>
    <row r="1839" spans="1:9" ht="15">
      <c r="A1839" s="21">
        <f t="shared" si="33"/>
        <v>346</v>
      </c>
      <c r="B1839" s="14" t="s">
        <v>2534</v>
      </c>
      <c r="C1839" s="85" t="str">
        <f ca="1">IFERROR(__xludf.DUMMYFUNCTION("GOOGLETRANSLATE(B1839:B1854,""RU"",""UK"")"),"Різець токарний розточний глух. d4ммВК6М моноліт")</f>
        <v>Різець токарний розточний глух. d4ммВК6М моноліт</v>
      </c>
      <c r="D1839" s="15" t="s">
        <v>6</v>
      </c>
      <c r="E1839" s="15">
        <v>9</v>
      </c>
      <c r="F1839" s="91" t="s">
        <v>255</v>
      </c>
      <c r="G1839" s="4"/>
      <c r="H1839" s="4"/>
      <c r="I1839" s="4"/>
    </row>
    <row r="1840" spans="1:9" ht="15">
      <c r="A1840" s="21">
        <f t="shared" si="33"/>
        <v>347</v>
      </c>
      <c r="B1840" s="14" t="s">
        <v>2535</v>
      </c>
      <c r="C1840" s="85" t="str">
        <f ca="1">IFERROR(__xludf.DUMMYFUNCTION("GOOGLETRANSLATE(B1840:B1855,""RU"",""UK"")"),"Різець токарний розточний глух. d5ммВК6М моноліт")</f>
        <v>Різець токарний розточний глух. d5ммВК6М моноліт</v>
      </c>
      <c r="D1840" s="15" t="s">
        <v>6</v>
      </c>
      <c r="E1840" s="15">
        <v>33</v>
      </c>
      <c r="F1840" s="91" t="s">
        <v>209</v>
      </c>
      <c r="G1840" s="4"/>
      <c r="H1840" s="4"/>
      <c r="I1840" s="4"/>
    </row>
    <row r="1841" spans="1:9" ht="15">
      <c r="A1841" s="21">
        <f t="shared" si="33"/>
        <v>348</v>
      </c>
      <c r="B1841" s="14" t="s">
        <v>2536</v>
      </c>
      <c r="C1841" s="85" t="str">
        <f ca="1">IFERROR(__xludf.DUMMYFUNCTION("GOOGLETRANSLATE(B1841:B1856,""RU"",""UK"")"),"Різець токарний розточний глух. d6ммВК6М моноліт")</f>
        <v>Різець токарний розточний глух. d6ммВК6М моноліт</v>
      </c>
      <c r="D1841" s="15" t="s">
        <v>6</v>
      </c>
      <c r="E1841" s="15">
        <v>56</v>
      </c>
      <c r="F1841" s="91" t="s">
        <v>257</v>
      </c>
      <c r="G1841" s="4"/>
      <c r="H1841" s="4"/>
      <c r="I1841" s="4"/>
    </row>
    <row r="1842" spans="1:9" ht="15">
      <c r="A1842" s="21">
        <f t="shared" si="33"/>
        <v>349</v>
      </c>
      <c r="B1842" s="14" t="s">
        <v>2537</v>
      </c>
      <c r="C1842" s="85" t="str">
        <f ca="1">IFERROR(__xludf.DUMMYFUNCTION("GOOGLETRANSLATE(B1842:B1857,""RU"",""UK"")"),"Різець токарний розточний глух. d7ммВК6М моноліт")</f>
        <v>Різець токарний розточний глух. d7ммВК6М моноліт</v>
      </c>
      <c r="D1842" s="15" t="s">
        <v>6</v>
      </c>
      <c r="E1842" s="15">
        <v>18</v>
      </c>
      <c r="F1842" s="91" t="s">
        <v>183</v>
      </c>
      <c r="G1842" s="4"/>
      <c r="H1842" s="4"/>
      <c r="I1842" s="4"/>
    </row>
    <row r="1843" spans="1:9" ht="15">
      <c r="A1843" s="21">
        <f t="shared" si="33"/>
        <v>350</v>
      </c>
      <c r="B1843" s="14" t="s">
        <v>2538</v>
      </c>
      <c r="C1843" s="85" t="str">
        <f ca="1">IFERROR(__xludf.DUMMYFUNCTION("GOOGLETRANSLATE(B1843:B1858,""RU"",""UK"")"),"Різець токарний розточний глух. d8ммВК6М моноліт")</f>
        <v>Різець токарний розточний глух. d8ммВК6М моноліт</v>
      </c>
      <c r="D1843" s="15" t="s">
        <v>6</v>
      </c>
      <c r="E1843" s="15">
        <v>99</v>
      </c>
      <c r="F1843" s="91" t="s">
        <v>371</v>
      </c>
      <c r="G1843" s="4"/>
      <c r="H1843" s="4"/>
      <c r="I1843" s="4"/>
    </row>
    <row r="1844" spans="1:9" ht="15">
      <c r="A1844" s="21">
        <f t="shared" si="33"/>
        <v>351</v>
      </c>
      <c r="B1844" s="14" t="s">
        <v>2539</v>
      </c>
      <c r="C1844" s="85" t="str">
        <f ca="1">IFERROR(__xludf.DUMMYFUNCTION("GOOGLETRANSLATE(B1844:B1859,""RU"",""UK"")"),"Різець токарний розточний глух. d10х70ммВК8 / d12х45ммВК8лев")</f>
        <v>Різець токарний розточний глух. d10х70ммВК8 / d12х45ммВК8лев</v>
      </c>
      <c r="D1844" s="15" t="s">
        <v>6</v>
      </c>
      <c r="E1844" s="15" t="s">
        <v>749</v>
      </c>
      <c r="F1844" s="91" t="s">
        <v>253</v>
      </c>
      <c r="G1844" s="4"/>
      <c r="H1844" s="4"/>
      <c r="I1844" s="4"/>
    </row>
    <row r="1845" spans="1:9" ht="15">
      <c r="A1845" s="21">
        <f t="shared" si="33"/>
        <v>352</v>
      </c>
      <c r="B1845" s="14" t="s">
        <v>2540</v>
      </c>
      <c r="C1845" s="85" t="str">
        <f ca="1">IFERROR(__xludf.DUMMYFUNCTION("GOOGLETRANSLATE(B1845:B1860,""RU"",""UK"")"),"Різець токарний розточний глух. D12х70ммВК8")</f>
        <v>Різець токарний розточний глух. D12х70ммВК8</v>
      </c>
      <c r="D1845" s="15" t="s">
        <v>6</v>
      </c>
      <c r="E1845" s="15">
        <v>1</v>
      </c>
      <c r="F1845" s="91" t="s">
        <v>255</v>
      </c>
      <c r="G1845" s="4"/>
      <c r="H1845" s="4"/>
      <c r="I1845" s="4"/>
    </row>
    <row r="1846" spans="1:9" ht="15">
      <c r="A1846" s="21">
        <f t="shared" si="33"/>
        <v>353</v>
      </c>
      <c r="B1846" s="14" t="s">
        <v>2541</v>
      </c>
      <c r="C1846" s="85" t="str">
        <f ca="1">IFERROR(__xludf.DUMMYFUNCTION("GOOGLETRANSLATE(B1846:B1861,""RU"",""UK"")"),"Різець токарний розточний глух. D12х80мм Т15К6")</f>
        <v>Різець токарний розточний глух. D12х80мм Т15К6</v>
      </c>
      <c r="D1846" s="15" t="s">
        <v>6</v>
      </c>
      <c r="E1846" s="15">
        <v>2</v>
      </c>
      <c r="F1846" s="91" t="s">
        <v>183</v>
      </c>
      <c r="G1846" s="4"/>
      <c r="H1846" s="4"/>
      <c r="I1846" s="4"/>
    </row>
    <row r="1847" spans="1:9" ht="15">
      <c r="A1847" s="21">
        <f t="shared" si="33"/>
        <v>354</v>
      </c>
      <c r="B1847" s="14" t="s">
        <v>2542</v>
      </c>
      <c r="C1847" s="85" t="str">
        <f ca="1">IFERROR(__xludf.DUMMYFUNCTION("GOOGLETRANSLATE(B1847:B1862,""RU"",""UK"")"),"Різець токарний розточний глух. D12х120-160ммВК8")</f>
        <v>Різець токарний розточний глух. D12х120-160ммВК8</v>
      </c>
      <c r="D1847" s="15" t="s">
        <v>6</v>
      </c>
      <c r="E1847" s="15">
        <v>3</v>
      </c>
      <c r="F1847" s="91" t="s">
        <v>257</v>
      </c>
      <c r="G1847" s="4"/>
      <c r="H1847" s="4"/>
      <c r="I1847" s="4"/>
    </row>
    <row r="1848" spans="1:9" ht="15">
      <c r="A1848" s="21">
        <f t="shared" si="33"/>
        <v>355</v>
      </c>
      <c r="B1848" s="14" t="s">
        <v>2543</v>
      </c>
      <c r="C1848" s="85" t="str">
        <f ca="1">IFERROR(__xludf.DUMMYFUNCTION("GOOGLETRANSLATE(B1848:B1863,""RU"",""UK"")"),"Різець токарний розточний глух. D15х40мм т/с")</f>
        <v>Різець токарний розточний глух. D15х40мм т/с</v>
      </c>
      <c r="D1848" s="15" t="s">
        <v>6</v>
      </c>
      <c r="E1848" s="15">
        <v>2</v>
      </c>
      <c r="F1848" s="91" t="s">
        <v>304</v>
      </c>
      <c r="G1848" s="4"/>
      <c r="H1848" s="4"/>
      <c r="I1848" s="4"/>
    </row>
    <row r="1849" spans="1:9" ht="15">
      <c r="A1849" s="21">
        <f t="shared" si="33"/>
        <v>356</v>
      </c>
      <c r="B1849" s="14" t="s">
        <v>2544</v>
      </c>
      <c r="C1849" s="85" t="str">
        <f ca="1">IFERROR(__xludf.DUMMYFUNCTION("GOOGLETRANSLATE(B1849:B1864,""RU"",""UK"")"),"Різець токарний розточний глух. d15х110ммВК8/d16х130ммВК8")</f>
        <v>Різець токарний розточний глух. d15х110ммВК8/d16х130ммВК8</v>
      </c>
      <c r="D1849" s="15" t="s">
        <v>6</v>
      </c>
      <c r="E1849" s="15" t="s">
        <v>2545</v>
      </c>
      <c r="F1849" s="91" t="s">
        <v>183</v>
      </c>
      <c r="G1849" s="4"/>
      <c r="H1849" s="4"/>
      <c r="I1849" s="4"/>
    </row>
    <row r="1850" spans="1:9" ht="15">
      <c r="A1850" s="21">
        <f t="shared" si="33"/>
        <v>357</v>
      </c>
      <c r="B1850" s="14" t="s">
        <v>2546</v>
      </c>
      <c r="C1850" s="85" t="str">
        <f ca="1">IFERROR(__xludf.DUMMYFUNCTION("GOOGLETRANSLATE(B1850:B1865,""RU"",""UK"")"),"Різець токарний розточний глух. d16х90ммВК8 лев")</f>
        <v>Різець токарний розточний глух. d16х90ммВК8 лев</v>
      </c>
      <c r="D1850" s="15" t="s">
        <v>6</v>
      </c>
      <c r="E1850" s="15">
        <v>3</v>
      </c>
      <c r="F1850" s="91" t="s">
        <v>183</v>
      </c>
      <c r="G1850" s="4"/>
      <c r="H1850" s="4"/>
      <c r="I1850" s="4"/>
    </row>
    <row r="1851" spans="1:9" ht="15">
      <c r="A1851" s="21">
        <f t="shared" si="33"/>
        <v>358</v>
      </c>
      <c r="B1851" s="14" t="s">
        <v>2547</v>
      </c>
      <c r="C1851" s="85" t="str">
        <f ca="1">IFERROR(__xludf.DUMMYFUNCTION("GOOGLETRANSLATE(B1851:B1866,""RU"",""UK"")"),"Різець токарний розточний глух. d17х115ммВК8")</f>
        <v>Різець токарний розточний глух. d17х115ммВК8</v>
      </c>
      <c r="D1851" s="15" t="s">
        <v>6</v>
      </c>
      <c r="E1851" s="15">
        <v>4</v>
      </c>
      <c r="F1851" s="91" t="s">
        <v>183</v>
      </c>
      <c r="G1851" s="4"/>
      <c r="H1851" s="4"/>
      <c r="I1851" s="4"/>
    </row>
    <row r="1852" spans="1:9" ht="15">
      <c r="A1852" s="21">
        <f t="shared" si="33"/>
        <v>359</v>
      </c>
      <c r="B1852" s="14" t="s">
        <v>2548</v>
      </c>
      <c r="C1852" s="85" t="str">
        <f ca="1">IFERROR(__xludf.DUMMYFUNCTION("GOOGLETRANSLATE(B1852:B1867,""RU"",""UK"")"),"Різець токарний розточний глух. d18х60ммВК8")</f>
        <v>Різець токарний розточний глух. d18х60ммВК8</v>
      </c>
      <c r="D1852" s="15" t="s">
        <v>6</v>
      </c>
      <c r="E1852" s="15">
        <v>2</v>
      </c>
      <c r="F1852" s="91" t="s">
        <v>255</v>
      </c>
      <c r="G1852" s="4"/>
      <c r="H1852" s="4"/>
      <c r="I1852" s="4"/>
    </row>
    <row r="1853" spans="1:9" ht="15">
      <c r="A1853" s="21">
        <f t="shared" si="33"/>
        <v>360</v>
      </c>
      <c r="B1853" s="14" t="s">
        <v>2549</v>
      </c>
      <c r="C1853" s="85" t="str">
        <f ca="1">IFERROR(__xludf.DUMMYFUNCTION("GOOGLETRANSLATE(B1853:B1868,""RU"",""UK"")"),"Різець токарний розточний глух. d18х100ммВК8/d18х115ммВК8")</f>
        <v>Різець токарний розточний глух. d18х100ммВК8/d18х115ммВК8</v>
      </c>
      <c r="D1853" s="15" t="s">
        <v>6</v>
      </c>
      <c r="E1853" s="15" t="s">
        <v>2550</v>
      </c>
      <c r="F1853" s="91" t="s">
        <v>226</v>
      </c>
      <c r="G1853" s="4"/>
      <c r="H1853" s="4"/>
      <c r="I1853" s="4"/>
    </row>
    <row r="1854" spans="1:9" ht="15">
      <c r="A1854" s="21">
        <f t="shared" si="33"/>
        <v>361</v>
      </c>
      <c r="B1854" s="14" t="s">
        <v>2551</v>
      </c>
      <c r="C1854" s="85" t="str">
        <f ca="1">IFERROR(__xludf.DUMMYFUNCTION("GOOGLETRANSLATE(B1854:B1869,""RU"",""UK"")"),"Різець токарний розточний глух. D18х120мм ВК8лев./D19х80мм ВК8лев.")</f>
        <v>Різець токарний розточний глух. D18х120мм ВК8лев./D19х80мм ВК8лев.</v>
      </c>
      <c r="D1854" s="15" t="s">
        <v>6</v>
      </c>
      <c r="E1854" s="15" t="s">
        <v>2352</v>
      </c>
      <c r="F1854" s="91" t="s">
        <v>338</v>
      </c>
      <c r="G1854" s="4"/>
      <c r="H1854" s="4"/>
      <c r="I1854" s="4"/>
    </row>
    <row r="1855" spans="1:9" ht="15">
      <c r="A1855" s="21">
        <f t="shared" si="33"/>
        <v>362</v>
      </c>
      <c r="B1855" s="14" t="s">
        <v>2552</v>
      </c>
      <c r="C1855" s="85" t="str">
        <f ca="1">IFERROR(__xludf.DUMMYFUNCTION("GOOGLETRANSLATE(B1855:B1870,""RU"",""UK"")"),"Різець токарний розточний глух. D20х60мм т/с/d20х80ммВК8")</f>
        <v>Різець токарний розточний глух. D20х60мм т/с/d20х80ммВК8</v>
      </c>
      <c r="D1855" s="15" t="s">
        <v>6</v>
      </c>
      <c r="E1855" s="15" t="s">
        <v>1318</v>
      </c>
      <c r="F1855" s="91" t="s">
        <v>226</v>
      </c>
      <c r="G1855" s="4"/>
      <c r="H1855" s="4"/>
      <c r="I1855" s="4"/>
    </row>
    <row r="1856" spans="1:9" ht="15">
      <c r="A1856" s="21">
        <f t="shared" si="33"/>
        <v>363</v>
      </c>
      <c r="B1856" s="14" t="s">
        <v>2553</v>
      </c>
      <c r="C1856" s="85" t="str">
        <f ca="1">IFERROR(__xludf.DUMMYFUNCTION("GOOGLETRANSLATE(B1856:B1871,""RU"",""UK"")"),"Різець токарний розточний глух. D20х120мм т/с / d20х120мм т/с лев")</f>
        <v>Різець токарний розточний глух. D20х120мм т/с / d20х120мм т/с лев</v>
      </c>
      <c r="D1856" s="15" t="s">
        <v>6</v>
      </c>
      <c r="E1856" s="15" t="s">
        <v>710</v>
      </c>
      <c r="F1856" s="91" t="s">
        <v>371</v>
      </c>
      <c r="G1856" s="4"/>
      <c r="H1856" s="4"/>
      <c r="I1856" s="4"/>
    </row>
    <row r="1857" spans="1:9" ht="15">
      <c r="A1857" s="21">
        <f t="shared" si="33"/>
        <v>364</v>
      </c>
      <c r="B1857" s="14" t="s">
        <v>2554</v>
      </c>
      <c r="C1857" s="85" t="str">
        <f ca="1">IFERROR(__xludf.DUMMYFUNCTION("GOOGLETRANSLATE(B1857:B1872,""RU"",""UK"")"),"Різець токарний розточний глух. d22х120ммВК8/d24х150ммВК8")</f>
        <v>Різець токарний розточний глух. d22х120ммВК8/d24х150ммВК8</v>
      </c>
      <c r="D1857" s="15" t="s">
        <v>6</v>
      </c>
      <c r="E1857" s="15" t="s">
        <v>2555</v>
      </c>
      <c r="F1857" s="91" t="s">
        <v>564</v>
      </c>
      <c r="G1857" s="4"/>
      <c r="H1857" s="4"/>
      <c r="I1857" s="4"/>
    </row>
    <row r="1858" spans="1:9" ht="15">
      <c r="A1858" s="21">
        <f t="shared" si="33"/>
        <v>365</v>
      </c>
      <c r="B1858" s="14" t="s">
        <v>2556</v>
      </c>
      <c r="C1858" s="85" t="str">
        <f ca="1">IFERROR(__xludf.DUMMYFUNCTION("GOOGLETRANSLATE(B1858:B1873,""RU"",""UK"")"),"Різець токарний розточний глух. d25х100ммВК8/d25х110ммВК8")</f>
        <v>Різець токарний розточний глух. d25х100ммВК8/d25х110ммВК8</v>
      </c>
      <c r="D1858" s="15" t="s">
        <v>6</v>
      </c>
      <c r="E1858" s="15" t="s">
        <v>2557</v>
      </c>
      <c r="F1858" s="91" t="s">
        <v>564</v>
      </c>
      <c r="G1858" s="4"/>
      <c r="H1858" s="4"/>
      <c r="I1858" s="4"/>
    </row>
    <row r="1859" spans="1:9" ht="15">
      <c r="A1859" s="21">
        <f t="shared" si="33"/>
        <v>366</v>
      </c>
      <c r="B1859" s="14" t="s">
        <v>2558</v>
      </c>
      <c r="C1859" s="85" t="str">
        <f ca="1">IFERROR(__xludf.DUMMYFUNCTION("GOOGLETRANSLATE(B1859:B1874,""RU"",""UK"")"),"Різець токарний розточний глух. d25х140ммВК8/d25х180ммВК8")</f>
        <v>Різець токарний розточний глух. d25х140ммВК8/d25х180ммВК8</v>
      </c>
      <c r="D1859" s="15" t="s">
        <v>6</v>
      </c>
      <c r="E1859" s="15" t="s">
        <v>749</v>
      </c>
      <c r="F1859" s="91" t="s">
        <v>185</v>
      </c>
      <c r="G1859" s="4"/>
      <c r="H1859" s="4"/>
      <c r="I1859" s="4"/>
    </row>
    <row r="1860" spans="1:9" ht="15">
      <c r="A1860" s="21">
        <f t="shared" si="33"/>
        <v>367</v>
      </c>
      <c r="B1860" s="14" t="s">
        <v>2559</v>
      </c>
      <c r="C1860" s="85" t="str">
        <f ca="1">IFERROR(__xludf.DUMMYFUNCTION("GOOGLETRANSLATE(B1860:B1875,""RU"",""UK"")"),"Різець токарний розточний глух. d25х240ммВК8лев/d26х240ммлев т/с")</f>
        <v>Різець токарний розточний глух. d25х240ммВК8лев/d26х240ммлев т/с</v>
      </c>
      <c r="D1860" s="15" t="s">
        <v>6</v>
      </c>
      <c r="E1860" s="15" t="s">
        <v>774</v>
      </c>
      <c r="F1860" s="91" t="s">
        <v>344</v>
      </c>
      <c r="G1860" s="4"/>
      <c r="H1860" s="4"/>
      <c r="I1860" s="4"/>
    </row>
    <row r="1861" spans="1:9" ht="15">
      <c r="A1861" s="21">
        <f t="shared" si="33"/>
        <v>368</v>
      </c>
      <c r="B1861" s="14" t="s">
        <v>2560</v>
      </c>
      <c r="C1861" s="85" t="str">
        <f ca="1">IFERROR(__xludf.DUMMYFUNCTION("GOOGLETRANSLATE(B1861:B1876,""RU"",""UK"")"),"Різець токарний розточний глух. D30х60мм т/с/d30х100ммВК8")</f>
        <v>Різець токарний розточний глух. D30х60мм т/с/d30х100ммВК8</v>
      </c>
      <c r="D1861" s="15" t="s">
        <v>6</v>
      </c>
      <c r="E1861" s="15" t="s">
        <v>2561</v>
      </c>
      <c r="F1861" s="91" t="s">
        <v>564</v>
      </c>
      <c r="G1861" s="4"/>
      <c r="H1861" s="4"/>
      <c r="I1861" s="4"/>
    </row>
    <row r="1862" spans="1:9" ht="15">
      <c r="A1862" s="21">
        <f t="shared" si="33"/>
        <v>369</v>
      </c>
      <c r="B1862" s="14" t="s">
        <v>2562</v>
      </c>
      <c r="C1862" s="85" t="str">
        <f ca="1">IFERROR(__xludf.DUMMYFUNCTION("GOOGLETRANSLATE(B1862:B1877,""RU"",""UK"")"),"Різець токарний розточний глух. ВК8 16х16х140")</f>
        <v>Різець токарний розточний глух. ВК8 16х16х140</v>
      </c>
      <c r="D1862" s="15" t="s">
        <v>6</v>
      </c>
      <c r="E1862" s="15">
        <v>19</v>
      </c>
      <c r="F1862" s="91" t="s">
        <v>185</v>
      </c>
      <c r="G1862" s="4"/>
      <c r="H1862" s="4"/>
      <c r="I1862" s="4"/>
    </row>
    <row r="1863" spans="1:9" ht="15">
      <c r="A1863" s="21">
        <f t="shared" si="33"/>
        <v>370</v>
      </c>
      <c r="B1863" s="14" t="s">
        <v>2563</v>
      </c>
      <c r="C1863" s="85" t="str">
        <f ca="1">IFERROR(__xludf.DUMMYFUNCTION("GOOGLETRANSLATE(B1863:B1878,""RU"",""UK"")"),"Різець токарний розточний глух. ВК8 16х16х160/16х16х170")</f>
        <v>Різець токарний розточний глух. ВК8 16х16х160/16х16х170</v>
      </c>
      <c r="D1863" s="15" t="s">
        <v>6</v>
      </c>
      <c r="E1863" s="15" t="s">
        <v>2564</v>
      </c>
      <c r="F1863" s="91" t="s">
        <v>1194</v>
      </c>
      <c r="G1863" s="4"/>
      <c r="H1863" s="4"/>
      <c r="I1863" s="4"/>
    </row>
    <row r="1864" spans="1:9" ht="15">
      <c r="A1864" s="21">
        <f t="shared" si="33"/>
        <v>371</v>
      </c>
      <c r="B1864" s="14" t="s">
        <v>2565</v>
      </c>
      <c r="C1864" s="85" t="str">
        <f ca="1">IFERROR(__xludf.DUMMYFUNCTION("GOOGLETRANSLATE(B1864:B1879,""RU"",""UK"")"),"Різець токарний розточний глух. ВК8 20х20х140/20х16х160/25х25х140")</f>
        <v>Різець токарний розточний глух. ВК8 20х20х140/20х16х160/25х25х140</v>
      </c>
      <c r="D1864" s="15" t="s">
        <v>6</v>
      </c>
      <c r="E1864" s="15" t="s">
        <v>2566</v>
      </c>
      <c r="F1864" s="91" t="s">
        <v>344</v>
      </c>
      <c r="G1864" s="4"/>
      <c r="H1864" s="4"/>
      <c r="I1864" s="4"/>
    </row>
    <row r="1865" spans="1:9" ht="15">
      <c r="A1865" s="21">
        <f t="shared" si="33"/>
        <v>372</v>
      </c>
      <c r="B1865" s="14" t="s">
        <v>2567</v>
      </c>
      <c r="C1865" s="85" t="str">
        <f ca="1">IFERROR(__xludf.DUMMYFUNCTION("GOOGLETRANSLATE(B1865:B1880,""RU"",""UK"")"),"Різець токарний розточний глух. ВК8 20х16х200")</f>
        <v>Різець токарний розточний глух. ВК8 20х16х200</v>
      </c>
      <c r="D1865" s="15" t="s">
        <v>6</v>
      </c>
      <c r="E1865" s="15">
        <v>129</v>
      </c>
      <c r="F1865" s="91" t="s">
        <v>557</v>
      </c>
      <c r="G1865" s="4"/>
      <c r="H1865" s="4"/>
      <c r="I1865" s="4"/>
    </row>
    <row r="1866" spans="1:9" ht="15">
      <c r="A1866" s="21">
        <f t="shared" si="33"/>
        <v>373</v>
      </c>
      <c r="B1866" s="14" t="s">
        <v>2568</v>
      </c>
      <c r="C1866" s="85" t="str">
        <f ca="1">IFERROR(__xludf.DUMMYFUNCTION("GOOGLETRANSLATE(B1866:B1881,""RU"",""UK"")"),"Різець токарний розточний глух. ВК8 20х18х200")</f>
        <v>Різець токарний розточний глух. ВК8 20х18х200</v>
      </c>
      <c r="D1866" s="15" t="s">
        <v>6</v>
      </c>
      <c r="E1866" s="15">
        <v>15</v>
      </c>
      <c r="F1866" s="91" t="s">
        <v>317</v>
      </c>
      <c r="G1866" s="4"/>
      <c r="H1866" s="4"/>
      <c r="I1866" s="4"/>
    </row>
    <row r="1867" spans="1:9" ht="15">
      <c r="A1867" s="21">
        <f t="shared" si="33"/>
        <v>374</v>
      </c>
      <c r="B1867" s="14" t="s">
        <v>2569</v>
      </c>
      <c r="C1867" s="85" t="str">
        <f ca="1">IFERROR(__xludf.DUMMYFUNCTION("GOOGLETRANSLATE(B1867:B1882,""RU"",""UK"")"),"Різець токарний розточний глух. ВК8 20х20х200")</f>
        <v>Різець токарний розточний глух. ВК8 20х20х200</v>
      </c>
      <c r="D1867" s="15" t="s">
        <v>6</v>
      </c>
      <c r="E1867" s="15">
        <v>276</v>
      </c>
      <c r="F1867" s="91" t="s">
        <v>2404</v>
      </c>
      <c r="G1867" s="4"/>
      <c r="H1867" s="4"/>
      <c r="I1867" s="4"/>
    </row>
    <row r="1868" spans="1:9" ht="15">
      <c r="A1868" s="21">
        <f t="shared" si="33"/>
        <v>375</v>
      </c>
      <c r="B1868" s="14" t="s">
        <v>2570</v>
      </c>
      <c r="C1868" s="85" t="str">
        <f ca="1">IFERROR(__xludf.DUMMYFUNCTION("GOOGLETRANSLATE(B1868:B1883,""RU"",""UK"")"),"Різець токарний розточний глух. ВК8 25х16х200/25х25х170")</f>
        <v>Різець токарний розточний глух. ВК8 25х16х200/25х25х170</v>
      </c>
      <c r="D1868" s="15" t="s">
        <v>6</v>
      </c>
      <c r="E1868" s="15" t="s">
        <v>2571</v>
      </c>
      <c r="F1868" s="91" t="s">
        <v>2404</v>
      </c>
      <c r="G1868" s="4"/>
      <c r="H1868" s="4"/>
      <c r="I1868" s="4"/>
    </row>
    <row r="1869" spans="1:9" ht="15">
      <c r="A1869" s="21">
        <f t="shared" si="33"/>
        <v>376</v>
      </c>
      <c r="B1869" s="14" t="s">
        <v>2572</v>
      </c>
      <c r="C1869" s="85" t="str">
        <f ca="1">IFERROR(__xludf.DUMMYFUNCTION("GOOGLETRANSLATE(B1869:B1884,""RU"",""UK"")"),"Різець токарний розточний глух. ВК8 25х20х240 / 25х25х180лев")</f>
        <v>Різець токарний розточний глух. ВК8 25х20х240 / 25х25х180лев</v>
      </c>
      <c r="D1869" s="15" t="s">
        <v>6</v>
      </c>
      <c r="E1869" s="15" t="s">
        <v>2573</v>
      </c>
      <c r="F1869" s="91" t="s">
        <v>319</v>
      </c>
      <c r="G1869" s="4"/>
      <c r="H1869" s="4"/>
      <c r="I1869" s="4"/>
    </row>
    <row r="1870" spans="1:9" ht="15">
      <c r="A1870" s="21">
        <f t="shared" si="33"/>
        <v>377</v>
      </c>
      <c r="B1870" s="14" t="s">
        <v>2574</v>
      </c>
      <c r="C1870" s="85" t="str">
        <f ca="1">IFERROR(__xludf.DUMMYFUNCTION("GOOGLETRANSLATE(B1870:B1885,""RU"",""UK"")"),"Різець токарний розточний глух. ВК8 25х25х240/30х25х200")</f>
        <v>Різець токарний розточний глух. ВК8 25х25х240/30х25х200</v>
      </c>
      <c r="D1870" s="15" t="s">
        <v>6</v>
      </c>
      <c r="E1870" s="15" t="s">
        <v>1631</v>
      </c>
      <c r="F1870" s="91" t="s">
        <v>265</v>
      </c>
      <c r="G1870" s="4"/>
      <c r="H1870" s="4"/>
      <c r="I1870" s="4"/>
    </row>
    <row r="1871" spans="1:9" ht="15">
      <c r="A1871" s="21">
        <f t="shared" si="33"/>
        <v>378</v>
      </c>
      <c r="B1871" s="14" t="s">
        <v>2575</v>
      </c>
      <c r="C1871" s="85" t="str">
        <f ca="1">IFERROR(__xludf.DUMMYFUNCTION("GOOGLETRANSLATE(B1871:B1886,""RU"",""UK"")"),"Різець токарний розточний глух. ВК8 30х25х240")</f>
        <v>Різець токарний розточний глух. ВК8 30х25х240</v>
      </c>
      <c r="D1871" s="15" t="s">
        <v>6</v>
      </c>
      <c r="E1871" s="15">
        <v>2</v>
      </c>
      <c r="F1871" s="91" t="s">
        <v>119</v>
      </c>
      <c r="G1871" s="4"/>
      <c r="H1871" s="4"/>
      <c r="I1871" s="4"/>
    </row>
    <row r="1872" spans="1:9" ht="15">
      <c r="A1872" s="21">
        <f t="shared" si="33"/>
        <v>379</v>
      </c>
      <c r="B1872" s="14" t="s">
        <v>2576</v>
      </c>
      <c r="C1872" s="85" t="str">
        <f ca="1">IFERROR(__xludf.DUMMYFUNCTION("GOOGLETRANSLATE(B1872:B1887,""RU"",""UK"")"),"Різець токарний розточний глух. ВК8 32х25х270")</f>
        <v>Різець токарний розточний глух. ВК8 32х25х270</v>
      </c>
      <c r="D1872" s="15" t="s">
        <v>6</v>
      </c>
      <c r="E1872" s="15">
        <v>17</v>
      </c>
      <c r="F1872" s="91" t="s">
        <v>327</v>
      </c>
      <c r="G1872" s="4"/>
      <c r="H1872" s="4"/>
      <c r="I1872" s="4"/>
    </row>
    <row r="1873" spans="1:9" ht="15">
      <c r="A1873" s="21">
        <f t="shared" si="33"/>
        <v>380</v>
      </c>
      <c r="B1873" s="14" t="s">
        <v>2577</v>
      </c>
      <c r="C1873" s="85" t="str">
        <f ca="1">IFERROR(__xludf.DUMMYFUNCTION("GOOGLETRANSLATE(B1873:B1888,""RU"",""UK"")"),"Різець токарний розточний глух. ВК8 32х25х175")</f>
        <v>Різець токарний розточний глух. ВК8 32х25х175</v>
      </c>
      <c r="D1873" s="15" t="s">
        <v>6</v>
      </c>
      <c r="E1873" s="15">
        <v>109</v>
      </c>
      <c r="F1873" s="91" t="s">
        <v>119</v>
      </c>
      <c r="G1873" s="4"/>
      <c r="H1873" s="4"/>
      <c r="I1873" s="4"/>
    </row>
    <row r="1874" spans="1:9" ht="15">
      <c r="A1874" s="21">
        <f t="shared" si="33"/>
        <v>381</v>
      </c>
      <c r="B1874" s="14" t="s">
        <v>2578</v>
      </c>
      <c r="C1874" s="85" t="str">
        <f ca="1">IFERROR(__xludf.DUMMYFUNCTION("GOOGLETRANSLATE(B1874:B1889,""RU"",""UK"")"),"Різець токарний розточний глух. ВК8 30х25х400/32х30х300")</f>
        <v>Різець токарний розточний глух. ВК8 30х25х400/32х30х300</v>
      </c>
      <c r="D1874" s="15" t="s">
        <v>6</v>
      </c>
      <c r="E1874" s="15" t="s">
        <v>2037</v>
      </c>
      <c r="F1874" s="91" t="s">
        <v>140</v>
      </c>
      <c r="G1874" s="4"/>
      <c r="H1874" s="4"/>
      <c r="I1874" s="4"/>
    </row>
    <row r="1875" spans="1:9" ht="15">
      <c r="A1875" s="21">
        <f t="shared" si="33"/>
        <v>382</v>
      </c>
      <c r="B1875" s="14" t="s">
        <v>2579</v>
      </c>
      <c r="C1875" s="85" t="str">
        <f ca="1">IFERROR(__xludf.DUMMYFUNCTION("GOOGLETRANSLATE(B1875:B1890,""RU"",""UK"")"),"Різець токарний розточний глух. ВК8 20х20х170лев")</f>
        <v>Різець токарний розточний глух. ВК8 20х20х170лев</v>
      </c>
      <c r="D1875" s="15" t="s">
        <v>6</v>
      </c>
      <c r="E1875" s="15">
        <v>1</v>
      </c>
      <c r="F1875" s="91" t="s">
        <v>344</v>
      </c>
      <c r="G1875" s="4"/>
      <c r="H1875" s="4"/>
      <c r="I1875" s="4"/>
    </row>
    <row r="1876" spans="1:9" ht="15">
      <c r="A1876" s="21">
        <f t="shared" si="33"/>
        <v>383</v>
      </c>
      <c r="B1876" s="14" t="s">
        <v>2580</v>
      </c>
      <c r="C1876" s="85" t="str">
        <f ca="1">IFERROR(__xludf.DUMMYFUNCTION("GOOGLETRANSLATE(B1876:B1891,""RU"",""UK"")"),"Різець токарний розточний глух. ВК8 25х25х200лев / 25х25х240лев")</f>
        <v>Різець токарний розточний глух. ВК8 25х25х200лев / 25х25х240лев</v>
      </c>
      <c r="D1876" s="15" t="s">
        <v>6</v>
      </c>
      <c r="E1876" s="15" t="s">
        <v>2581</v>
      </c>
      <c r="F1876" s="91" t="s">
        <v>319</v>
      </c>
      <c r="G1876" s="4"/>
      <c r="H1876" s="4"/>
      <c r="I1876" s="4"/>
    </row>
    <row r="1877" spans="1:9" ht="15">
      <c r="A1877" s="21">
        <f t="shared" si="33"/>
        <v>384</v>
      </c>
      <c r="B1877" s="14" t="s">
        <v>2582</v>
      </c>
      <c r="C1877" s="85" t="str">
        <f ca="1">IFERROR(__xludf.DUMMYFUNCTION("GOOGLETRANSLATE(B1877:B1892,""RU"",""UK"")"),"Різець токарний розточний глух. т/с 32х25х200лев")</f>
        <v>Різець токарний розточний глух. т/с 32х25х200лев</v>
      </c>
      <c r="D1877" s="15" t="s">
        <v>6</v>
      </c>
      <c r="E1877" s="15">
        <v>2</v>
      </c>
      <c r="F1877" s="91" t="s">
        <v>319</v>
      </c>
      <c r="G1877" s="4"/>
      <c r="H1877" s="4"/>
      <c r="I1877" s="4"/>
    </row>
    <row r="1878" spans="1:9" ht="15">
      <c r="A1878" s="21">
        <f t="shared" si="33"/>
        <v>385</v>
      </c>
      <c r="B1878" s="14" t="s">
        <v>2583</v>
      </c>
      <c r="C1878" s="85" t="str">
        <f ca="1">IFERROR(__xludf.DUMMYFUNCTION("GOOGLETRANSLATE(B1878:B1893,""RU"",""UK"")"),"Різець токарний розточний скв.відв т/с d16х55лев / d16х120лев")</f>
        <v>Різець токарний розточний скв.відв т/с d16х55лев / d16х120лев</v>
      </c>
      <c r="D1878" s="15" t="s">
        <v>6</v>
      </c>
      <c r="E1878" s="15" t="s">
        <v>2584</v>
      </c>
      <c r="F1878" s="91" t="s">
        <v>181</v>
      </c>
      <c r="G1878" s="4"/>
      <c r="H1878" s="4"/>
      <c r="I1878" s="4"/>
    </row>
    <row r="1879" spans="1:9" ht="15">
      <c r="A1879" s="21">
        <f t="shared" si="33"/>
        <v>386</v>
      </c>
      <c r="B1879" s="14" t="s">
        <v>2585</v>
      </c>
      <c r="C1879" s="85" t="str">
        <f ca="1">IFERROR(__xludf.DUMMYFUNCTION("GOOGLETRANSLATE(B1879:B1894,""RU"",""UK"")"),"Різець токарний розточний скв.відв ВК8 d18х85/d18х90/d19х80лев")</f>
        <v>Різець токарний розточний скв.відв ВК8 d18х85/d18х90/d19х80лев</v>
      </c>
      <c r="D1879" s="15" t="s">
        <v>6</v>
      </c>
      <c r="E1879" s="15" t="s">
        <v>2586</v>
      </c>
      <c r="F1879" s="91" t="s">
        <v>226</v>
      </c>
      <c r="G1879" s="4"/>
      <c r="H1879" s="4"/>
      <c r="I1879" s="4"/>
    </row>
    <row r="1880" spans="1:9" ht="15">
      <c r="A1880" s="21">
        <f t="shared" ref="A1880:A1943" si="34">A1879+1</f>
        <v>387</v>
      </c>
      <c r="B1880" s="14" t="s">
        <v>2587</v>
      </c>
      <c r="C1880" s="85" t="str">
        <f ca="1">IFERROR(__xludf.DUMMYFUNCTION("GOOGLETRANSLATE(B1880:B1895,""RU"",""UK"")"),"Різець токарний розточний скв.відв ВК8 d25х120")</f>
        <v>Різець токарний розточний скв.відв ВК8 d25х120</v>
      </c>
      <c r="D1880" s="15" t="s">
        <v>6</v>
      </c>
      <c r="E1880" s="15">
        <v>5</v>
      </c>
      <c r="F1880" s="91" t="s">
        <v>185</v>
      </c>
      <c r="G1880" s="4"/>
      <c r="H1880" s="4"/>
      <c r="I1880" s="4"/>
    </row>
    <row r="1881" spans="1:9" ht="15">
      <c r="A1881" s="21">
        <f t="shared" si="34"/>
        <v>388</v>
      </c>
      <c r="B1881" s="14" t="s">
        <v>2588</v>
      </c>
      <c r="C1881" s="85" t="str">
        <f ca="1">IFERROR(__xludf.DUMMYFUNCTION("GOOGLETRANSLATE(B1881:B1896,""RU"",""UK"")"),"Різець токарний розточний скв.відв ВК8 d25х160лев / d25х230лев")</f>
        <v>Різець токарний розточний скв.відв ВК8 d25х160лев / d25х230лев</v>
      </c>
      <c r="D1881" s="15" t="s">
        <v>6</v>
      </c>
      <c r="E1881" s="15" t="s">
        <v>2589</v>
      </c>
      <c r="F1881" s="91" t="s">
        <v>136</v>
      </c>
      <c r="G1881" s="4"/>
      <c r="H1881" s="4"/>
      <c r="I1881" s="4"/>
    </row>
    <row r="1882" spans="1:9" ht="15">
      <c r="A1882" s="21">
        <f t="shared" si="34"/>
        <v>389</v>
      </c>
      <c r="B1882" s="14" t="s">
        <v>2590</v>
      </c>
      <c r="C1882" s="85" t="str">
        <f ca="1">IFERROR(__xludf.DUMMYFUNCTION("GOOGLETRANSLATE(B1882:B1897,""RU"",""UK"")"),"Різець токарний розточний скв.відв т/с d26х200лев / d25х230лев")</f>
        <v>Різець токарний розточний скв.відв т/с d26х200лев / d25х230лев</v>
      </c>
      <c r="D1882" s="15" t="s">
        <v>6</v>
      </c>
      <c r="E1882" s="15" t="s">
        <v>2589</v>
      </c>
      <c r="F1882" s="91" t="s">
        <v>136</v>
      </c>
      <c r="G1882" s="4"/>
      <c r="H1882" s="4"/>
      <c r="I1882" s="4"/>
    </row>
    <row r="1883" spans="1:9" ht="15">
      <c r="A1883" s="21">
        <f t="shared" si="34"/>
        <v>390</v>
      </c>
      <c r="B1883" s="14" t="s">
        <v>2591</v>
      </c>
      <c r="C1883" s="85" t="str">
        <f ca="1">IFERROR(__xludf.DUMMYFUNCTION("GOOGLETRANSLATE(B1883:B1898,""RU"",""UK"")"),"Різець токарний розточний скв.відв ВК8 16х12х170/16х16х140")</f>
        <v>Різець токарний розточний скв.відв ВК8 16х12х170/16х16х140</v>
      </c>
      <c r="D1883" s="15" t="s">
        <v>6</v>
      </c>
      <c r="E1883" s="15" t="s">
        <v>2592</v>
      </c>
      <c r="F1883" s="91" t="s">
        <v>495</v>
      </c>
      <c r="G1883" s="4"/>
      <c r="H1883" s="4"/>
      <c r="I1883" s="4"/>
    </row>
    <row r="1884" spans="1:9" ht="15">
      <c r="A1884" s="21">
        <f t="shared" si="34"/>
        <v>391</v>
      </c>
      <c r="B1884" s="14" t="s">
        <v>2593</v>
      </c>
      <c r="C1884" s="85" t="str">
        <f ca="1">IFERROR(__xludf.DUMMYFUNCTION("GOOGLETRANSLATE(B1884:B1899,""RU"",""UK"")"),"Різець токарний розточний скв.відв ВК8 16х16х150")</f>
        <v>Різець токарний розточний скв.відв ВК8 16х16х150</v>
      </c>
      <c r="D1884" s="15" t="s">
        <v>6</v>
      </c>
      <c r="E1884" s="15">
        <v>38</v>
      </c>
      <c r="F1884" s="91" t="s">
        <v>185</v>
      </c>
      <c r="G1884" s="4"/>
      <c r="H1884" s="4"/>
      <c r="I1884" s="4"/>
    </row>
    <row r="1885" spans="1:9" ht="15">
      <c r="A1885" s="21">
        <f t="shared" si="34"/>
        <v>392</v>
      </c>
      <c r="B1885" s="14" t="s">
        <v>2594</v>
      </c>
      <c r="C1885" s="85" t="str">
        <f ca="1">IFERROR(__xludf.DUMMYFUNCTION("GOOGLETRANSLATE(B1885:B1900,""RU"",""UK"")"),"Різець токарний розточний скв.відв ВК8 16х16х170/18х18х140")</f>
        <v>Різець токарний розточний скв.відв ВК8 16х16х170/18х18х140</v>
      </c>
      <c r="D1885" s="15" t="s">
        <v>6</v>
      </c>
      <c r="E1885" s="15" t="s">
        <v>2595</v>
      </c>
      <c r="F1885" s="91" t="s">
        <v>1990</v>
      </c>
      <c r="G1885" s="4"/>
      <c r="H1885" s="4"/>
      <c r="I1885" s="4"/>
    </row>
    <row r="1886" spans="1:9" ht="15">
      <c r="A1886" s="21">
        <f t="shared" si="34"/>
        <v>393</v>
      </c>
      <c r="B1886" s="14" t="s">
        <v>2596</v>
      </c>
      <c r="C1886" s="85" t="str">
        <f ca="1">IFERROR(__xludf.DUMMYFUNCTION("GOOGLETRANSLATE(B1886:B1901,""RU"",""UK"")"),"Різець токарний розточний скв.відв ВК8 20х20х170/20х16х210")</f>
        <v>Різець токарний розточний скв.відв ВК8 20х20х170/20х16х210</v>
      </c>
      <c r="D1886" s="15" t="s">
        <v>6</v>
      </c>
      <c r="E1886" s="15" t="s">
        <v>2597</v>
      </c>
      <c r="F1886" s="91" t="s">
        <v>194</v>
      </c>
      <c r="G1886" s="4"/>
      <c r="H1886" s="4"/>
      <c r="I1886" s="4"/>
    </row>
    <row r="1887" spans="1:9" ht="15">
      <c r="A1887" s="21">
        <f t="shared" si="34"/>
        <v>394</v>
      </c>
      <c r="B1887" s="14" t="s">
        <v>2598</v>
      </c>
      <c r="C1887" s="85" t="str">
        <f ca="1">IFERROR(__xludf.DUMMYFUNCTION("GOOGLETRANSLATE(B1887:B1902,""RU"",""UK"")"),"Різець токарний розточний скв.відв ВК8 20х20х200/25х16х200")</f>
        <v>Різець токарний розточний скв.відв ВК8 20х20х200/25х16х200</v>
      </c>
      <c r="D1887" s="15" t="s">
        <v>6</v>
      </c>
      <c r="E1887" s="15" t="s">
        <v>2599</v>
      </c>
      <c r="F1887" s="91" t="s">
        <v>348</v>
      </c>
      <c r="G1887" s="4"/>
      <c r="H1887" s="4"/>
      <c r="I1887" s="4"/>
    </row>
    <row r="1888" spans="1:9" ht="15">
      <c r="A1888" s="21">
        <f t="shared" si="34"/>
        <v>395</v>
      </c>
      <c r="B1888" s="14" t="s">
        <v>2600</v>
      </c>
      <c r="C1888" s="85" t="str">
        <f ca="1">IFERROR(__xludf.DUMMYFUNCTION("GOOGLETRANSLATE(B1888:B1903,""RU"",""UK"")"),"Різець токарний розточний скв.відв ВК8 20х20х160лев")</f>
        <v>Різець токарний розточний скв.відв ВК8 20х20х160лев</v>
      </c>
      <c r="D1888" s="15" t="s">
        <v>6</v>
      </c>
      <c r="E1888" s="15">
        <v>4</v>
      </c>
      <c r="F1888" s="91" t="s">
        <v>319</v>
      </c>
      <c r="G1888" s="4"/>
      <c r="H1888" s="4"/>
      <c r="I1888" s="4"/>
    </row>
    <row r="1889" spans="1:9" ht="15">
      <c r="A1889" s="21">
        <f t="shared" si="34"/>
        <v>396</v>
      </c>
      <c r="B1889" s="14" t="s">
        <v>2601</v>
      </c>
      <c r="C1889" s="85" t="str">
        <f ca="1">IFERROR(__xludf.DUMMYFUNCTION("GOOGLETRANSLATE(B1889:B1904,""RU"",""UK"")"),"Різець токарний розточний скв.відв ВК8 25х25х160лев")</f>
        <v>Різець токарний розточний скв.відв ВК8 25х25х160лев</v>
      </c>
      <c r="D1889" s="15" t="s">
        <v>6</v>
      </c>
      <c r="E1889" s="15">
        <v>22</v>
      </c>
      <c r="F1889" s="91" t="s">
        <v>1570</v>
      </c>
      <c r="G1889" s="4"/>
      <c r="H1889" s="4"/>
      <c r="I1889" s="4"/>
    </row>
    <row r="1890" spans="1:9" ht="15">
      <c r="A1890" s="21">
        <f t="shared" si="34"/>
        <v>397</v>
      </c>
      <c r="B1890" s="14" t="s">
        <v>2602</v>
      </c>
      <c r="C1890" s="85" t="str">
        <f ca="1">IFERROR(__xludf.DUMMYFUNCTION("GOOGLETRANSLATE(B1890:B1905,""RU"",""UK"")"),"Різець токарний розточний скв.відв ВК8 25х25х280лев")</f>
        <v>Різець токарний розточний скв.відв ВК8 25х25х280лев</v>
      </c>
      <c r="D1890" s="15" t="s">
        <v>6</v>
      </c>
      <c r="E1890" s="15">
        <v>4</v>
      </c>
      <c r="F1890" s="91" t="s">
        <v>265</v>
      </c>
      <c r="G1890" s="4"/>
      <c r="H1890" s="4"/>
      <c r="I1890" s="4"/>
    </row>
    <row r="1891" spans="1:9" ht="15">
      <c r="A1891" s="21">
        <f t="shared" si="34"/>
        <v>398</v>
      </c>
      <c r="B1891" s="14" t="s">
        <v>2603</v>
      </c>
      <c r="C1891" s="85" t="str">
        <f ca="1">IFERROR(__xludf.DUMMYFUNCTION("GOOGLETRANSLATE(B1891:B1906,""RU"",""UK"")"),"Різець токарний розточний скв.відв ВК8 25х25х200/28х30х200")</f>
        <v>Різець токарний розточний скв.відв ВК8 25х25х200/28х30х200</v>
      </c>
      <c r="D1891" s="15" t="s">
        <v>6</v>
      </c>
      <c r="E1891" s="15" t="s">
        <v>2604</v>
      </c>
      <c r="F1891" s="91" t="s">
        <v>567</v>
      </c>
      <c r="G1891" s="4"/>
      <c r="H1891" s="4"/>
      <c r="I1891" s="4"/>
    </row>
    <row r="1892" spans="1:9" ht="15">
      <c r="A1892" s="21">
        <f t="shared" si="34"/>
        <v>399</v>
      </c>
      <c r="B1892" s="14" t="s">
        <v>2605</v>
      </c>
      <c r="C1892" s="85" t="str">
        <f ca="1">IFERROR(__xludf.DUMMYFUNCTION("GOOGLETRANSLATE(B1892:B1907,""RU"",""UK"")"),"Різець токарний розточний скв.відп. ВК8 25х20х240/25х25х230")</f>
        <v>Різець токарний розточний скв.відп. ВК8 25х20х240/25х25х230</v>
      </c>
      <c r="D1892" s="15" t="s">
        <v>6</v>
      </c>
      <c r="E1892" s="15" t="s">
        <v>2606</v>
      </c>
      <c r="F1892" s="91" t="s">
        <v>1320</v>
      </c>
      <c r="G1892" s="4"/>
      <c r="H1892" s="4"/>
      <c r="I1892" s="4"/>
    </row>
    <row r="1893" spans="1:9" ht="15">
      <c r="A1893" s="21">
        <f t="shared" si="34"/>
        <v>400</v>
      </c>
      <c r="B1893" s="14" t="s">
        <v>2607</v>
      </c>
      <c r="C1893" s="85" t="str">
        <f ca="1">IFERROR(__xludf.DUMMYFUNCTION("GOOGLETRANSLATE(B1893:B1908,""RU"",""UK"")"),"Різець токарний розточний скв.відп. ВК8 25х20х270/25х25х260")</f>
        <v>Різець токарний розточний скв.відп. ВК8 25х20х270/25х25х260</v>
      </c>
      <c r="D1893" s="59"/>
      <c r="E1893" s="15" t="s">
        <v>1849</v>
      </c>
      <c r="F1893" s="91" t="s">
        <v>119</v>
      </c>
      <c r="G1893" s="4"/>
      <c r="H1893" s="4"/>
      <c r="I1893" s="4"/>
    </row>
    <row r="1894" spans="1:9" ht="15">
      <c r="A1894" s="21">
        <f t="shared" si="34"/>
        <v>401</v>
      </c>
      <c r="B1894" s="14" t="s">
        <v>2608</v>
      </c>
      <c r="C1894" s="85" t="str">
        <f ca="1">IFERROR(__xludf.DUMMYFUNCTION("GOOGLETRANSLATE(B1894:B1909,""RU"",""UK"")"),"Різець токарний розточний скв.відп. ВК8 30х16х160")</f>
        <v>Різець токарний розточний скв.відп. ВК8 30х16х160</v>
      </c>
      <c r="D1894" s="15" t="s">
        <v>6</v>
      </c>
      <c r="E1894" s="15">
        <v>5</v>
      </c>
      <c r="F1894" s="91" t="s">
        <v>319</v>
      </c>
      <c r="G1894" s="4"/>
      <c r="H1894" s="4"/>
      <c r="I1894" s="4"/>
    </row>
    <row r="1895" spans="1:9" ht="15">
      <c r="A1895" s="21">
        <f t="shared" si="34"/>
        <v>402</v>
      </c>
      <c r="B1895" s="14" t="s">
        <v>2609</v>
      </c>
      <c r="C1895" s="85" t="str">
        <f ca="1">IFERROR(__xludf.DUMMYFUNCTION("GOOGLETRANSLATE(B1895:B1910,""RU"",""UK"")"),"Різець токарний розточний скв.відп. ВК8 30х25х240")</f>
        <v>Різець токарний розточний скв.відп. ВК8 30х25х240</v>
      </c>
      <c r="D1895" s="15" t="s">
        <v>6</v>
      </c>
      <c r="E1895" s="15">
        <v>2</v>
      </c>
      <c r="F1895" s="91" t="s">
        <v>327</v>
      </c>
      <c r="G1895" s="4"/>
      <c r="H1895" s="4"/>
      <c r="I1895" s="4"/>
    </row>
    <row r="1896" spans="1:9" ht="15">
      <c r="A1896" s="21">
        <f t="shared" si="34"/>
        <v>403</v>
      </c>
      <c r="B1896" s="14" t="s">
        <v>2610</v>
      </c>
      <c r="C1896" s="85" t="str">
        <f ca="1">IFERROR(__xludf.DUMMYFUNCTION("GOOGLETRANSLATE(B1896:B1911,""RU"",""UK"")"),"Різець токарний розточний скв.відп. ВК8 32х25х270/30х25х290")</f>
        <v>Різець токарний розточний скв.відп. ВК8 32х25х270/30х25х290</v>
      </c>
      <c r="D1896" s="15" t="s">
        <v>6</v>
      </c>
      <c r="E1896" s="15" t="s">
        <v>2611</v>
      </c>
      <c r="F1896" s="91" t="s">
        <v>140</v>
      </c>
      <c r="G1896" s="4"/>
      <c r="H1896" s="4"/>
      <c r="I1896" s="4"/>
    </row>
    <row r="1897" spans="1:9" ht="15">
      <c r="A1897" s="21">
        <f t="shared" si="34"/>
        <v>404</v>
      </c>
      <c r="B1897" s="14" t="s">
        <v>2612</v>
      </c>
      <c r="C1897" s="85" t="str">
        <f ca="1">IFERROR(__xludf.DUMMYFUNCTION("GOOGLETRANSLATE(B1897:B1912,""RU"",""UK"")"),"Різець токарний розточний скв.відп. ВК8 32х25х370")</f>
        <v>Різець токарний розточний скв.відп. ВК8 32х25х370</v>
      </c>
      <c r="D1897" s="15" t="s">
        <v>6</v>
      </c>
      <c r="E1897" s="15">
        <v>1</v>
      </c>
      <c r="F1897" s="91" t="s">
        <v>569</v>
      </c>
      <c r="G1897" s="4"/>
      <c r="H1897" s="4"/>
      <c r="I1897" s="4"/>
    </row>
    <row r="1898" spans="1:9" ht="15">
      <c r="A1898" s="21">
        <f t="shared" si="34"/>
        <v>405</v>
      </c>
      <c r="B1898" s="14" t="s">
        <v>2613</v>
      </c>
      <c r="C1898" s="85" t="str">
        <f ca="1">IFERROR(__xludf.DUMMYFUNCTION("GOOGLETRANSLATE(B1898:B1913,""RU"",""UK"")"),"Різець токарний розточний скв.відп. ВК8 40х30х250")</f>
        <v>Різець токарний розточний скв.відп. ВК8 40х30х250</v>
      </c>
      <c r="D1898" s="15" t="s">
        <v>6</v>
      </c>
      <c r="E1898" s="15">
        <v>3</v>
      </c>
      <c r="F1898" s="91" t="s">
        <v>20</v>
      </c>
      <c r="G1898" s="4"/>
      <c r="H1898" s="4"/>
      <c r="I1898" s="4"/>
    </row>
    <row r="1899" spans="1:9" ht="15">
      <c r="A1899" s="21">
        <f t="shared" si="34"/>
        <v>406</v>
      </c>
      <c r="B1899" s="14" t="s">
        <v>2614</v>
      </c>
      <c r="C1899" s="85" t="str">
        <f ca="1">IFERROR(__xludf.DUMMYFUNCTION("GOOGLETRANSLATE(B1899:B1914,""RU"",""UK"")"),"Різець токарний розточний скв.відп. ВК8 40х30х300")</f>
        <v>Різець токарний розточний скв.відп. ВК8 40х30х300</v>
      </c>
      <c r="D1899" s="15" t="s">
        <v>6</v>
      </c>
      <c r="E1899" s="15">
        <v>4</v>
      </c>
      <c r="F1899" s="91" t="s">
        <v>24</v>
      </c>
      <c r="G1899" s="4"/>
      <c r="H1899" s="4"/>
      <c r="I1899" s="4"/>
    </row>
    <row r="1900" spans="1:9" ht="15">
      <c r="A1900" s="21">
        <f t="shared" si="34"/>
        <v>407</v>
      </c>
      <c r="B1900" s="45" t="s">
        <v>2615</v>
      </c>
      <c r="C1900" s="85" t="str">
        <f ca="1">IFERROR(__xludf.DUMMYFUNCTION("GOOGLETRANSLATE(B1900:B1915,""RU"",""UK"")"),"Різець токарний розточувальний гексонітовий d6х40/d6х45")</f>
        <v>Різець токарний розточувальний гексонітовий d6х40/d6х45</v>
      </c>
      <c r="D1900" s="60" t="s">
        <v>6</v>
      </c>
      <c r="E1900" s="60" t="s">
        <v>2616</v>
      </c>
      <c r="F1900" s="103" t="s">
        <v>2617</v>
      </c>
      <c r="G1900" s="4"/>
      <c r="H1900" s="4"/>
      <c r="I1900" s="4"/>
    </row>
    <row r="1901" spans="1:9" ht="15">
      <c r="A1901" s="21">
        <f t="shared" si="34"/>
        <v>408</v>
      </c>
      <c r="B1901" s="45" t="s">
        <v>2618</v>
      </c>
      <c r="C1901" s="85" t="str">
        <f ca="1">IFERROR(__xludf.DUMMYFUNCTION("GOOGLETRANSLATE(B1901:B1916,""RU"",""UK"")"),"Різець токарний розточувальний гексонітовий d8х55")</f>
        <v>Різець токарний розточувальний гексонітовий d8х55</v>
      </c>
      <c r="D1901" s="60" t="s">
        <v>6</v>
      </c>
      <c r="E1901" s="60">
        <v>6</v>
      </c>
      <c r="F1901" s="103" t="s">
        <v>185</v>
      </c>
      <c r="G1901" s="4"/>
      <c r="H1901" s="4"/>
      <c r="I1901" s="4"/>
    </row>
    <row r="1902" spans="1:9" ht="15">
      <c r="A1902" s="21">
        <f t="shared" si="34"/>
        <v>409</v>
      </c>
      <c r="B1902" s="14" t="s">
        <v>2619</v>
      </c>
      <c r="C1902" s="85" t="str">
        <f ca="1">IFERROR(__xludf.DUMMYFUNCTION("GOOGLETRANSLATE(B1902:B1917,""RU"",""UK"")"),"Різець токарний розточний глухий. Відп. Р6М5 d8х85")</f>
        <v>Різець токарний розточний глухий. Відп. Р6М5 d8х85</v>
      </c>
      <c r="D1902" s="15" t="s">
        <v>6</v>
      </c>
      <c r="E1902" s="15">
        <v>1</v>
      </c>
      <c r="F1902" s="91" t="s">
        <v>253</v>
      </c>
      <c r="G1902" s="4"/>
      <c r="H1902" s="4"/>
      <c r="I1902" s="4"/>
    </row>
    <row r="1903" spans="1:9" ht="15">
      <c r="A1903" s="21">
        <f t="shared" si="34"/>
        <v>410</v>
      </c>
      <c r="B1903" s="14" t="s">
        <v>2620</v>
      </c>
      <c r="C1903" s="85" t="str">
        <f ca="1">IFERROR(__xludf.DUMMYFUNCTION("GOOGLETRANSLATE(B1903:B1918,""RU"",""UK"")"),"Різець токарний розточувальний вкв. Відп. Р6М5 10х10х120")</f>
        <v>Різець токарний розточувальний вкв. Відп. Р6М5 10х10х120</v>
      </c>
      <c r="D1903" s="15" t="s">
        <v>6</v>
      </c>
      <c r="E1903" s="15">
        <v>1</v>
      </c>
      <c r="F1903" s="91" t="s">
        <v>183</v>
      </c>
      <c r="G1903" s="4"/>
      <c r="H1903" s="4"/>
      <c r="I1903" s="4"/>
    </row>
    <row r="1904" spans="1:9" ht="15">
      <c r="A1904" s="21">
        <f t="shared" si="34"/>
        <v>411</v>
      </c>
      <c r="B1904" s="14" t="s">
        <v>2621</v>
      </c>
      <c r="C1904" s="85" t="str">
        <f ca="1">IFERROR(__xludf.DUMMYFUNCTION("GOOGLETRANSLATE(B1904:B1919,""RU"",""UK"")"),"Різець токарний розточувальний вкв. Відп. Р6М5 d15х70/14х14х130")</f>
        <v>Різець токарний розточувальний вкв. Відп. Р6М5 d15х70/14х14х130</v>
      </c>
      <c r="D1904" s="15" t="s">
        <v>6</v>
      </c>
      <c r="E1904" s="15" t="s">
        <v>2622</v>
      </c>
      <c r="F1904" s="91" t="s">
        <v>255</v>
      </c>
      <c r="G1904" s="4"/>
      <c r="H1904" s="4"/>
      <c r="I1904" s="4"/>
    </row>
    <row r="1905" spans="1:9" ht="15">
      <c r="A1905" s="21">
        <f t="shared" si="34"/>
        <v>412</v>
      </c>
      <c r="B1905" s="14" t="s">
        <v>2623</v>
      </c>
      <c r="C1905" s="85" t="str">
        <f ca="1">IFERROR(__xludf.DUMMYFUNCTION("GOOGLETRANSLATE(B1905:B1920,""RU"",""UK"")"),"Різець токарний розточний глухий. Відп. Р9 d15х180")</f>
        <v>Різець токарний розточний глухий. Відп. Р9 d15х180</v>
      </c>
      <c r="D1905" s="15" t="s">
        <v>6</v>
      </c>
      <c r="E1905" s="15">
        <v>2</v>
      </c>
      <c r="F1905" s="91" t="s">
        <v>564</v>
      </c>
      <c r="G1905" s="4"/>
      <c r="H1905" s="4"/>
      <c r="I1905" s="4"/>
    </row>
    <row r="1906" spans="1:9" ht="15">
      <c r="A1906" s="21">
        <f t="shared" si="34"/>
        <v>413</v>
      </c>
      <c r="B1906" s="14" t="s">
        <v>2624</v>
      </c>
      <c r="C1906" s="85" t="str">
        <f ca="1">IFERROR(__xludf.DUMMYFUNCTION("GOOGLETRANSLATE(B1906:B1921,""RU"",""UK"")"),"Різець токарний розточувальний вкв. Відп. Р6М5 16х16х150")</f>
        <v>Різець токарний розточувальний вкв. Відп. Р6М5 16х16х150</v>
      </c>
      <c r="D1906" s="15" t="s">
        <v>6</v>
      </c>
      <c r="E1906" s="15">
        <v>10</v>
      </c>
      <c r="F1906" s="91" t="s">
        <v>119</v>
      </c>
      <c r="G1906" s="4"/>
      <c r="H1906" s="4"/>
      <c r="I1906" s="4"/>
    </row>
    <row r="1907" spans="1:9" ht="15">
      <c r="A1907" s="21">
        <f t="shared" si="34"/>
        <v>414</v>
      </c>
      <c r="B1907" s="14" t="s">
        <v>2625</v>
      </c>
      <c r="C1907" s="85" t="str">
        <f ca="1">IFERROR(__xludf.DUMMYFUNCTION("GOOGLETRANSLATE(B1907:B1922,""RU"",""UK"")"),"Різець токарний канавковий Р6М5 10х10х50/12х12х70/12х14х80")</f>
        <v>Різець токарний канавковий Р6М5 10х10х50/12х12х70/12х14х80</v>
      </c>
      <c r="D1907" s="15" t="s">
        <v>6</v>
      </c>
      <c r="E1907" s="15" t="s">
        <v>2626</v>
      </c>
      <c r="F1907" s="91" t="s">
        <v>169</v>
      </c>
      <c r="G1907" s="4"/>
      <c r="H1907" s="4"/>
      <c r="I1907" s="4"/>
    </row>
    <row r="1908" spans="1:9" ht="15">
      <c r="A1908" s="21">
        <f t="shared" si="34"/>
        <v>415</v>
      </c>
      <c r="B1908" s="14" t="s">
        <v>2627</v>
      </c>
      <c r="C1908" s="85" t="str">
        <f ca="1">IFERROR(__xludf.DUMMYFUNCTION("GOOGLETRANSLATE(B1908:B1923,""RU"",""UK"")"),"Різець токарний канавковий Р6М5 d15х70/d15х100")</f>
        <v>Різець токарний канавковий Р6М5 d15х70/d15х100</v>
      </c>
      <c r="D1908" s="15" t="s">
        <v>6</v>
      </c>
      <c r="E1908" s="15" t="s">
        <v>1235</v>
      </c>
      <c r="F1908" s="91" t="s">
        <v>209</v>
      </c>
      <c r="G1908" s="4"/>
      <c r="H1908" s="4"/>
      <c r="I1908" s="4"/>
    </row>
    <row r="1909" spans="1:9" ht="15">
      <c r="A1909" s="21">
        <f t="shared" si="34"/>
        <v>416</v>
      </c>
      <c r="B1909" s="14" t="s">
        <v>2628</v>
      </c>
      <c r="C1909" s="85" t="str">
        <f ca="1">IFERROR(__xludf.DUMMYFUNCTION("GOOGLETRANSLATE(B1909:B1924,""RU"",""UK"")"),"Різець токарний канавковий Р6М5 d18х50")</f>
        <v>Різець токарний канавковий Р6М5 d18х50</v>
      </c>
      <c r="D1909" s="15" t="s">
        <v>6</v>
      </c>
      <c r="E1909" s="15">
        <v>3</v>
      </c>
      <c r="F1909" s="91" t="s">
        <v>257</v>
      </c>
      <c r="G1909" s="4"/>
      <c r="H1909" s="4"/>
      <c r="I1909" s="4"/>
    </row>
    <row r="1910" spans="1:9" ht="15">
      <c r="A1910" s="21">
        <f t="shared" si="34"/>
        <v>417</v>
      </c>
      <c r="B1910" s="14" t="s">
        <v>2629</v>
      </c>
      <c r="C1910" s="85" t="str">
        <f ca="1">IFERROR(__xludf.DUMMYFUNCTION("GOOGLETRANSLATE(B1910:B1925,""RU"",""UK"")"),"Різець токарний канавковий ВК8 d12х50/d15х75/d15х90")</f>
        <v>Різець токарний канавковий ВК8 d12х50/d15х75/d15х90</v>
      </c>
      <c r="D1910" s="15" t="s">
        <v>6</v>
      </c>
      <c r="E1910" s="15" t="s">
        <v>2630</v>
      </c>
      <c r="F1910" s="91" t="s">
        <v>1239</v>
      </c>
      <c r="G1910" s="4"/>
      <c r="H1910" s="4"/>
      <c r="I1910" s="4"/>
    </row>
    <row r="1911" spans="1:9" ht="15">
      <c r="A1911" s="21">
        <f t="shared" si="34"/>
        <v>418</v>
      </c>
      <c r="B1911" s="14" t="s">
        <v>2631</v>
      </c>
      <c r="C1911" s="85" t="str">
        <f ca="1">IFERROR(__xludf.DUMMYFUNCTION("GOOGLETRANSLATE(B1911:B1926,""RU"",""UK"")"),"Різець токарний канавковий Т15К6 10х10х60")</f>
        <v>Різець токарний канавковий Т15К6 10х10х60</v>
      </c>
      <c r="D1911" s="15" t="s">
        <v>6</v>
      </c>
      <c r="E1911" s="15">
        <v>19</v>
      </c>
      <c r="F1911" s="91" t="s">
        <v>134</v>
      </c>
      <c r="G1911" s="4"/>
      <c r="H1911" s="4"/>
      <c r="I1911" s="4"/>
    </row>
    <row r="1912" spans="1:9" ht="15">
      <c r="A1912" s="21">
        <f t="shared" si="34"/>
        <v>419</v>
      </c>
      <c r="B1912" s="14" t="s">
        <v>2632</v>
      </c>
      <c r="C1912" s="85" t="str">
        <f ca="1">IFERROR(__xludf.DUMMYFUNCTION("GOOGLETRANSLATE(B1912:B1927,""RU"",""UK"")"),"Різець токарний канавковий ВК8 12х12х50/12х12х60/тс 12х12х70")</f>
        <v>Різець токарний канавковий ВК8 12х12х50/12х12х60/тс 12х12х70</v>
      </c>
      <c r="D1912" s="15" t="s">
        <v>6</v>
      </c>
      <c r="E1912" s="15" t="s">
        <v>2633</v>
      </c>
      <c r="F1912" s="91" t="s">
        <v>169</v>
      </c>
      <c r="G1912" s="4"/>
      <c r="H1912" s="4"/>
      <c r="I1912" s="4"/>
    </row>
    <row r="1913" spans="1:9" ht="15">
      <c r="A1913" s="21">
        <f t="shared" si="34"/>
        <v>420</v>
      </c>
      <c r="B1913" s="14" t="s">
        <v>2634</v>
      </c>
      <c r="C1913" s="85" t="str">
        <f ca="1">IFERROR(__xludf.DUMMYFUNCTION("GOOGLETRANSLATE(B1913:B1928,""RU"",""UK"")"),"Різець токарний канавковий ВК8 15х16х50")</f>
        <v>Різець токарний канавковий ВК8 15х16х50</v>
      </c>
      <c r="D1913" s="15" t="s">
        <v>6</v>
      </c>
      <c r="E1913" s="15">
        <v>17</v>
      </c>
      <c r="F1913" s="91" t="s">
        <v>201</v>
      </c>
      <c r="G1913" s="4"/>
      <c r="H1913" s="4"/>
      <c r="I1913" s="4"/>
    </row>
    <row r="1914" spans="1:9" ht="15">
      <c r="A1914" s="21">
        <f t="shared" si="34"/>
        <v>421</v>
      </c>
      <c r="B1914" s="14" t="s">
        <v>2635</v>
      </c>
      <c r="C1914" s="85" t="str">
        <f ca="1">IFERROR(__xludf.DUMMYFUNCTION("GOOGLETRANSLATE(B1914:B1929,""RU"",""UK"")"),"Різець токарний канавковий ВК8 d16х160мм/12х12х70")</f>
        <v>Різець токарний канавковий ВК8 d16х160мм/12х12х70</v>
      </c>
      <c r="D1914" s="15" t="s">
        <v>6</v>
      </c>
      <c r="E1914" s="15" t="s">
        <v>2636</v>
      </c>
      <c r="F1914" s="91" t="s">
        <v>304</v>
      </c>
      <c r="G1914" s="4"/>
      <c r="H1914" s="4"/>
      <c r="I1914" s="4"/>
    </row>
    <row r="1915" spans="1:9" ht="15">
      <c r="A1915" s="21">
        <f t="shared" si="34"/>
        <v>422</v>
      </c>
      <c r="B1915" s="14" t="s">
        <v>2637</v>
      </c>
      <c r="C1915" s="85" t="str">
        <f ca="1">IFERROR(__xludf.DUMMYFUNCTION("GOOGLETRANSLATE(B1915:B1930,""RU"",""UK"")"),"Різець токарний канавковий ВК8 d20х120мм лев")</f>
        <v>Різець токарний канавковий ВК8 d20х120мм лев</v>
      </c>
      <c r="D1915" s="15" t="s">
        <v>6</v>
      </c>
      <c r="E1915" s="15">
        <v>4</v>
      </c>
      <c r="F1915" s="91" t="s">
        <v>255</v>
      </c>
      <c r="G1915" s="4"/>
      <c r="H1915" s="4"/>
      <c r="I1915" s="4"/>
    </row>
    <row r="1916" spans="1:9" ht="15">
      <c r="A1916" s="21">
        <f t="shared" si="34"/>
        <v>423</v>
      </c>
      <c r="B1916" s="14" t="s">
        <v>2638</v>
      </c>
      <c r="C1916" s="85" t="str">
        <f ca="1">IFERROR(__xludf.DUMMYFUNCTION("GOOGLETRANSLATE(B1916:B1931,""RU"",""UK"")"),"Різець токарний канавковий Т5К10 14х14х60")</f>
        <v>Різець токарний канавковий Т5К10 14х14х60</v>
      </c>
      <c r="D1916" s="15" t="s">
        <v>6</v>
      </c>
      <c r="E1916" s="15">
        <v>9</v>
      </c>
      <c r="F1916" s="91" t="s">
        <v>304</v>
      </c>
      <c r="G1916" s="4"/>
      <c r="H1916" s="4"/>
      <c r="I1916" s="4"/>
    </row>
    <row r="1917" spans="1:9" ht="15">
      <c r="A1917" s="21">
        <f t="shared" si="34"/>
        <v>424</v>
      </c>
      <c r="B1917" s="14" t="s">
        <v>2639</v>
      </c>
      <c r="C1917" s="85" t="str">
        <f ca="1">IFERROR(__xludf.DUMMYFUNCTION("GOOGLETRANSLATE(B1917:B1932,""RU"",""UK"")"),"Різець токарний канавковий Т5К10 20х20х300")</f>
        <v>Різець токарний канавковий Т5К10 20х20х300</v>
      </c>
      <c r="D1917" s="15" t="s">
        <v>6</v>
      </c>
      <c r="E1917" s="15">
        <v>1</v>
      </c>
      <c r="F1917" s="91" t="s">
        <v>1194</v>
      </c>
      <c r="G1917" s="4"/>
      <c r="H1917" s="4"/>
      <c r="I1917" s="4"/>
    </row>
    <row r="1918" spans="1:9" ht="15">
      <c r="A1918" s="21">
        <f t="shared" si="34"/>
        <v>425</v>
      </c>
      <c r="B1918" s="14" t="s">
        <v>2640</v>
      </c>
      <c r="C1918" s="85" t="str">
        <f ca="1">IFERROR(__xludf.DUMMYFUNCTION("GOOGLETRANSLATE(B1918:B1933,""RU"",""UK"")"),"Різець токарний канавковий ВК8 14х14х110/16х16х60/20х12х70")</f>
        <v>Різець токарний канавковий ВК8 14х14х110/16х16х60/20х12х70</v>
      </c>
      <c r="D1918" s="15" t="s">
        <v>6</v>
      </c>
      <c r="E1918" s="15" t="s">
        <v>2641</v>
      </c>
      <c r="F1918" s="91" t="s">
        <v>314</v>
      </c>
      <c r="G1918" s="4"/>
      <c r="H1918" s="4"/>
      <c r="I1918" s="4"/>
    </row>
    <row r="1919" spans="1:9" ht="15">
      <c r="A1919" s="21">
        <f t="shared" si="34"/>
        <v>426</v>
      </c>
      <c r="B1919" s="14" t="s">
        <v>2642</v>
      </c>
      <c r="C1919" s="85" t="str">
        <f ca="1">IFERROR(__xludf.DUMMYFUNCTION("GOOGLETRANSLATE(B1919:B1934,""RU"",""UK"")"),"Різець токарний канавковий ВК8 20х20х100/20х16х120")</f>
        <v>Різець токарний канавковий ВК8 20х20х100/20х16х120</v>
      </c>
      <c r="D1919" s="15" t="s">
        <v>6</v>
      </c>
      <c r="E1919" s="15" t="s">
        <v>686</v>
      </c>
      <c r="F1919" s="91" t="s">
        <v>338</v>
      </c>
      <c r="G1919" s="4"/>
      <c r="H1919" s="4"/>
      <c r="I1919" s="4"/>
    </row>
    <row r="1920" spans="1:9" ht="15">
      <c r="A1920" s="21">
        <f t="shared" si="34"/>
        <v>427</v>
      </c>
      <c r="B1920" s="14" t="s">
        <v>2643</v>
      </c>
      <c r="C1920" s="85" t="str">
        <f ca="1">IFERROR(__xludf.DUMMYFUNCTION("GOOGLETRANSLATE(B1920:B1935,""RU"",""UK"")"),"Різець токарний канавковий ВК8 25х16х120/25х16х160")</f>
        <v>Різець токарний канавковий ВК8 25х16х120/25х16х160</v>
      </c>
      <c r="D1920" s="15" t="s">
        <v>6</v>
      </c>
      <c r="E1920" s="15" t="s">
        <v>1820</v>
      </c>
      <c r="F1920" s="91" t="s">
        <v>1194</v>
      </c>
      <c r="G1920" s="4"/>
      <c r="H1920" s="4"/>
      <c r="I1920" s="4"/>
    </row>
    <row r="1921" spans="1:9" ht="15">
      <c r="A1921" s="21">
        <f t="shared" si="34"/>
        <v>428</v>
      </c>
      <c r="B1921" s="14" t="s">
        <v>2644</v>
      </c>
      <c r="C1921" s="85" t="str">
        <f ca="1">IFERROR(__xludf.DUMMYFUNCTION("GOOGLETRANSLATE(B1921:B1936,""RU"",""UK"")"),"Різець токарний канавковий т/с 26х16х140/25х20х140")</f>
        <v>Різець токарний канавковий т/с 26х16х140/25х20х140</v>
      </c>
      <c r="D1921" s="15" t="s">
        <v>6</v>
      </c>
      <c r="E1921" s="15" t="s">
        <v>2645</v>
      </c>
      <c r="F1921" s="91" t="s">
        <v>557</v>
      </c>
      <c r="G1921" s="4"/>
      <c r="H1921" s="4"/>
      <c r="I1921" s="4"/>
    </row>
    <row r="1922" spans="1:9" ht="15">
      <c r="A1922" s="21">
        <f t="shared" si="34"/>
        <v>429</v>
      </c>
      <c r="B1922" s="14" t="s">
        <v>2646</v>
      </c>
      <c r="C1922" s="85" t="str">
        <f ca="1">IFERROR(__xludf.DUMMYFUNCTION("GOOGLETRANSLATE(B1922:B1937,""RU"",""UK"")"),"Різець токарний канавковий Т5К10 25х20х145")</f>
        <v>Різець токарний канавковий Т5К10 25х20х145</v>
      </c>
      <c r="D1922" s="15" t="s">
        <v>6</v>
      </c>
      <c r="E1922" s="15">
        <v>5</v>
      </c>
      <c r="F1922" s="91" t="s">
        <v>557</v>
      </c>
      <c r="G1922" s="4"/>
      <c r="H1922" s="4"/>
      <c r="I1922" s="4"/>
    </row>
    <row r="1923" spans="1:9" ht="15">
      <c r="A1923" s="21">
        <f t="shared" si="34"/>
        <v>430</v>
      </c>
      <c r="B1923" s="14" t="s">
        <v>2647</v>
      </c>
      <c r="C1923" s="85" t="str">
        <f ca="1">IFERROR(__xludf.DUMMYFUNCTION("GOOGLETRANSLATE(B1923:B1938,""RU"",""UK"")"),"Різець токарний канавковий ВК8 25х20х140/32х20х180")</f>
        <v>Різець токарний канавковий ВК8 25х20х140/32х20х180</v>
      </c>
      <c r="D1923" s="15" t="s">
        <v>6</v>
      </c>
      <c r="E1923" s="15" t="s">
        <v>825</v>
      </c>
      <c r="F1923" s="91" t="s">
        <v>557</v>
      </c>
      <c r="G1923" s="4"/>
      <c r="H1923" s="4"/>
      <c r="I1923" s="4"/>
    </row>
    <row r="1924" spans="1:9" ht="15">
      <c r="A1924" s="21">
        <f t="shared" si="34"/>
        <v>431</v>
      </c>
      <c r="B1924" s="14" t="s">
        <v>2648</v>
      </c>
      <c r="C1924" s="85" t="str">
        <f ca="1">IFERROR(__xludf.DUMMYFUNCTION("GOOGLETRANSLATE(B1924:B1939,""RU"",""UK"")"),"Різець токарний канавковий ВК8 25х20х240/25х20х220кут.")</f>
        <v>Різець токарний канавковий ВК8 25х20х240/25х20х220кут.</v>
      </c>
      <c r="D1924" s="15" t="s">
        <v>6</v>
      </c>
      <c r="E1924" s="15" t="s">
        <v>211</v>
      </c>
      <c r="F1924" s="91" t="s">
        <v>319</v>
      </c>
      <c r="G1924" s="4"/>
      <c r="H1924" s="4"/>
      <c r="I1924" s="4"/>
    </row>
    <row r="1925" spans="1:9" ht="15">
      <c r="A1925" s="21">
        <f t="shared" si="34"/>
        <v>432</v>
      </c>
      <c r="B1925" s="14" t="s">
        <v>2649</v>
      </c>
      <c r="C1925" s="85" t="str">
        <f ca="1">IFERROR(__xludf.DUMMYFUNCTION("GOOGLETRANSLATE(B1925:B1940,""RU"",""UK"")"),"Різець токарний канавковий Т5К10 32х20х170")</f>
        <v>Різець токарний канавковий Т5К10 32х20х170</v>
      </c>
      <c r="D1925" s="15" t="s">
        <v>6</v>
      </c>
      <c r="E1925" s="15">
        <v>2</v>
      </c>
      <c r="F1925" s="91" t="s">
        <v>319</v>
      </c>
      <c r="G1925" s="4"/>
      <c r="H1925" s="4"/>
      <c r="I1925" s="4"/>
    </row>
    <row r="1926" spans="1:9" ht="15">
      <c r="A1926" s="21">
        <f t="shared" si="34"/>
        <v>433</v>
      </c>
      <c r="B1926" s="14" t="s">
        <v>2650</v>
      </c>
      <c r="C1926" s="85" t="str">
        <f ca="1">IFERROR(__xludf.DUMMYFUNCTION("GOOGLETRANSLATE(B1926:B1941,""RU"",""UK"")"),"Різець токарний канавковий Т15К6 25х20х140/32х22х140")</f>
        <v>Різець токарний канавковий Т15К6 25х20х140/32х22х140</v>
      </c>
      <c r="D1926" s="15" t="s">
        <v>6</v>
      </c>
      <c r="E1926" s="15" t="s">
        <v>2589</v>
      </c>
      <c r="F1926" s="91" t="s">
        <v>319</v>
      </c>
      <c r="G1926" s="4"/>
      <c r="H1926" s="4"/>
      <c r="I1926" s="4"/>
    </row>
    <row r="1927" spans="1:9" ht="15">
      <c r="A1927" s="21">
        <f t="shared" si="34"/>
        <v>434</v>
      </c>
      <c r="B1927" s="14" t="s">
        <v>2651</v>
      </c>
      <c r="C1927" s="85" t="str">
        <f ca="1">IFERROR(__xludf.DUMMYFUNCTION("GOOGLETRANSLATE(B1927:B1942,""RU"",""UK"")"),"Різець токарний канавковий Р6М5 20х20х300")</f>
        <v>Різець токарний канавковий Р6М5 20х20х300</v>
      </c>
      <c r="D1927" s="15" t="s">
        <v>6</v>
      </c>
      <c r="E1927" s="15">
        <v>3</v>
      </c>
      <c r="F1927" s="91" t="s">
        <v>319</v>
      </c>
      <c r="G1927" s="4"/>
      <c r="H1927" s="4"/>
      <c r="I1927" s="4"/>
    </row>
    <row r="1928" spans="1:9" ht="15">
      <c r="A1928" s="21">
        <f t="shared" si="34"/>
        <v>435</v>
      </c>
      <c r="B1928" s="14" t="s">
        <v>2652</v>
      </c>
      <c r="C1928" s="85" t="str">
        <f ca="1">IFERROR(__xludf.DUMMYFUNCTION("GOOGLETRANSLATE(B1928:B1943,""RU"",""UK"")"),"Різець токарний канавковий Р6М5 16х16х220 Р9")</f>
        <v>Різець токарний канавковий Р6М5 16х16х220 Р9</v>
      </c>
      <c r="D1928" s="15" t="s">
        <v>6</v>
      </c>
      <c r="E1928" s="15">
        <v>1</v>
      </c>
      <c r="F1928" s="91" t="s">
        <v>196</v>
      </c>
      <c r="G1928" s="4"/>
      <c r="H1928" s="4"/>
      <c r="I1928" s="4"/>
    </row>
    <row r="1929" spans="1:9" ht="15">
      <c r="A1929" s="21">
        <f t="shared" si="34"/>
        <v>436</v>
      </c>
      <c r="B1929" s="14" t="s">
        <v>2653</v>
      </c>
      <c r="C1929" s="85" t="str">
        <f ca="1">IFERROR(__xludf.DUMMYFUNCTION("GOOGLETRANSLATE(B1929:B1944,""RU"",""UK"")"),"Різець токарний канавковий Р6М5 16х16х110 Р18")</f>
        <v>Різець токарний канавковий Р6М5 16х16х110 Р18</v>
      </c>
      <c r="D1929" s="15" t="s">
        <v>6</v>
      </c>
      <c r="E1929" s="15">
        <v>5</v>
      </c>
      <c r="F1929" s="91" t="s">
        <v>194</v>
      </c>
      <c r="G1929" s="4"/>
      <c r="H1929" s="4"/>
      <c r="I1929" s="4"/>
    </row>
    <row r="1930" spans="1:9" ht="15">
      <c r="A1930" s="21">
        <f t="shared" si="34"/>
        <v>437</v>
      </c>
      <c r="B1930" s="14" t="s">
        <v>2654</v>
      </c>
      <c r="C1930" s="85" t="str">
        <f ca="1">IFERROR(__xludf.DUMMYFUNCTION("GOOGLETRANSLATE(B1930:B1945,""RU"",""UK"")"),"Різець токарний канавковий Р6М5 10х8х70 Р6М5")</f>
        <v>Різець токарний канавковий Р6М5 10х8х70 Р6М5</v>
      </c>
      <c r="D1930" s="15" t="s">
        <v>6</v>
      </c>
      <c r="E1930" s="15">
        <v>4</v>
      </c>
      <c r="F1930" s="91" t="s">
        <v>167</v>
      </c>
      <c r="G1930" s="4"/>
      <c r="H1930" s="4"/>
      <c r="I1930" s="4"/>
    </row>
    <row r="1931" spans="1:9" ht="15">
      <c r="A1931" s="21">
        <f t="shared" si="34"/>
        <v>438</v>
      </c>
      <c r="B1931" s="14" t="s">
        <v>2655</v>
      </c>
      <c r="C1931" s="85" t="str">
        <f ca="1">IFERROR(__xludf.DUMMYFUNCTION("GOOGLETRANSLATE(B1931:B1946,""RU"",""UK"")"),"Різець токарний канавковий кутовий ВК8 20х16х120")</f>
        <v>Різець токарний канавковий кутовий ВК8 20х16х120</v>
      </c>
      <c r="D1931" s="15" t="s">
        <v>6</v>
      </c>
      <c r="E1931" s="15">
        <v>4</v>
      </c>
      <c r="F1931" s="91" t="s">
        <v>614</v>
      </c>
      <c r="G1931" s="4"/>
      <c r="H1931" s="4"/>
      <c r="I1931" s="4"/>
    </row>
    <row r="1932" spans="1:9" ht="15">
      <c r="A1932" s="21">
        <f t="shared" si="34"/>
        <v>439</v>
      </c>
      <c r="B1932" s="14" t="s">
        <v>2656</v>
      </c>
      <c r="C1932" s="85" t="str">
        <f ca="1">IFERROR(__xludf.DUMMYFUNCTION("GOOGLETRANSLATE(B1932:B1947,""RU"",""UK"")"),"Різець токарний канавковий кутовий ВК8 20х16х150")</f>
        <v>Різець токарний канавковий кутовий ВК8 20х16х150</v>
      </c>
      <c r="D1932" s="15" t="s">
        <v>6</v>
      </c>
      <c r="E1932" s="15">
        <v>4</v>
      </c>
      <c r="F1932" s="91" t="s">
        <v>614</v>
      </c>
      <c r="G1932" s="4"/>
      <c r="H1932" s="4"/>
      <c r="I1932" s="4"/>
    </row>
    <row r="1933" spans="1:9" ht="15">
      <c r="A1933" s="21">
        <f t="shared" si="34"/>
        <v>440</v>
      </c>
      <c r="B1933" s="14" t="s">
        <v>2657</v>
      </c>
      <c r="C1933" s="85" t="str">
        <f ca="1">IFERROR(__xludf.DUMMYFUNCTION("GOOGLETRANSLATE(B1933:B1948,""RU"",""UK"")"),"Різець токарний канавковий внутр. ВК8 8х8х70/8х8х80")</f>
        <v>Різець токарний канавковий внутр. ВК8 8х8х70/8х8х80</v>
      </c>
      <c r="D1933" s="15" t="s">
        <v>6</v>
      </c>
      <c r="E1933" s="15" t="s">
        <v>2658</v>
      </c>
      <c r="F1933" s="91" t="s">
        <v>169</v>
      </c>
      <c r="G1933" s="4"/>
      <c r="H1933" s="4"/>
      <c r="I1933" s="4"/>
    </row>
    <row r="1934" spans="1:9" ht="15">
      <c r="A1934" s="21">
        <f t="shared" si="34"/>
        <v>441</v>
      </c>
      <c r="B1934" s="14" t="s">
        <v>2659</v>
      </c>
      <c r="C1934" s="85" t="str">
        <f ca="1">IFERROR(__xludf.DUMMYFUNCTION("GOOGLETRANSLATE(B1934:B1949,""RU"",""UK"")"),"Різець токарний канавковий внутр. Тс d15х90/d15х90Р6М5")</f>
        <v>Різець токарний канавковий внутр. Тс d15х90/d15х90Р6М5</v>
      </c>
      <c r="D1934" s="15" t="s">
        <v>6</v>
      </c>
      <c r="E1934" s="15" t="s">
        <v>1166</v>
      </c>
      <c r="F1934" s="91" t="s">
        <v>598</v>
      </c>
      <c r="G1934" s="4"/>
      <c r="H1934" s="4"/>
      <c r="I1934" s="4"/>
    </row>
    <row r="1935" spans="1:9" ht="15">
      <c r="A1935" s="21">
        <f t="shared" si="34"/>
        <v>442</v>
      </c>
      <c r="B1935" s="14" t="s">
        <v>2660</v>
      </c>
      <c r="C1935" s="85" t="str">
        <f ca="1">IFERROR(__xludf.DUMMYFUNCTION("GOOGLETRANSLATE(B1935:B1950,""RU"",""UK"")"),"Різець токарний канавковий внутр. ВК8 d20х140/d32х160")</f>
        <v>Різець токарний канавковий внутр. ВК8 d20х140/d32х160</v>
      </c>
      <c r="D1935" s="15" t="s">
        <v>6</v>
      </c>
      <c r="E1935" s="15" t="s">
        <v>1005</v>
      </c>
      <c r="F1935" s="91" t="s">
        <v>183</v>
      </c>
      <c r="G1935" s="4"/>
      <c r="H1935" s="4"/>
      <c r="I1935" s="4"/>
    </row>
    <row r="1936" spans="1:9" ht="15">
      <c r="A1936" s="21">
        <f t="shared" si="34"/>
        <v>443</v>
      </c>
      <c r="B1936" s="14" t="s">
        <v>2661</v>
      </c>
      <c r="C1936" s="85" t="str">
        <f ca="1">IFERROR(__xludf.DUMMYFUNCTION("GOOGLETRANSLATE(B1936:B1951,""RU"",""UK"")"),"Різець токарний канавковий внутр. Т5К10 16х16х140")</f>
        <v>Різець токарний канавковий внутр. Т5К10 16х16х140</v>
      </c>
      <c r="D1936" s="15" t="s">
        <v>6</v>
      </c>
      <c r="E1936" s="15">
        <v>6</v>
      </c>
      <c r="F1936" s="91" t="s">
        <v>212</v>
      </c>
      <c r="G1936" s="4"/>
      <c r="H1936" s="4"/>
      <c r="I1936" s="4"/>
    </row>
    <row r="1937" spans="1:9" ht="15">
      <c r="A1937" s="21">
        <f t="shared" si="34"/>
        <v>444</v>
      </c>
      <c r="B1937" s="14" t="s">
        <v>2662</v>
      </c>
      <c r="C1937" s="85" t="str">
        <f ca="1">IFERROR(__xludf.DUMMYFUNCTION("GOOGLETRANSLATE(B1937:B1952,""RU"",""UK"")"),"Різець токарний канавковий внутр. ВК8 20х20х160/20х16х170")</f>
        <v>Різець токарний канавковий внутр. ВК8 20х20х160/20х16х170</v>
      </c>
      <c r="D1937" s="15" t="s">
        <v>6</v>
      </c>
      <c r="E1937" s="15" t="s">
        <v>1885</v>
      </c>
      <c r="F1937" s="91" t="s">
        <v>212</v>
      </c>
      <c r="G1937" s="4"/>
      <c r="H1937" s="4"/>
      <c r="I1937" s="4"/>
    </row>
    <row r="1938" spans="1:9" ht="15">
      <c r="A1938" s="21">
        <f t="shared" si="34"/>
        <v>445</v>
      </c>
      <c r="B1938" s="14" t="s">
        <v>2663</v>
      </c>
      <c r="C1938" s="85" t="str">
        <f ca="1">IFERROR(__xludf.DUMMYFUNCTION("GOOGLETRANSLATE(B1938:B1953,""RU"",""UK"")"),"Різець токарний канавковий внутр. ВК8 25х16х140/25х25х100")</f>
        <v>Різець токарний канавковий внутр. ВК8 25х16х140/25х25х100</v>
      </c>
      <c r="D1938" s="15" t="s">
        <v>6</v>
      </c>
      <c r="E1938" s="15" t="s">
        <v>1005</v>
      </c>
      <c r="F1938" s="91" t="s">
        <v>344</v>
      </c>
      <c r="G1938" s="4"/>
      <c r="H1938" s="4"/>
      <c r="I1938" s="4"/>
    </row>
    <row r="1939" spans="1:9" ht="15">
      <c r="A1939" s="21">
        <f t="shared" si="34"/>
        <v>446</v>
      </c>
      <c r="B1939" s="14" t="s">
        <v>2664</v>
      </c>
      <c r="C1939" s="85" t="str">
        <f ca="1">IFERROR(__xludf.DUMMYFUNCTION("GOOGLETRANSLATE(B1939:B1954,""RU"",""UK"")"),"Різець токарний канавковий внутр. Т/с 20х20х200/25х20х230")</f>
        <v>Різець токарний канавковий внутр. Т/с 20х20х200/25х20х230</v>
      </c>
      <c r="D1939" s="15" t="s">
        <v>6</v>
      </c>
      <c r="E1939" s="15" t="s">
        <v>749</v>
      </c>
      <c r="F1939" s="91" t="s">
        <v>319</v>
      </c>
      <c r="G1939" s="4"/>
      <c r="H1939" s="4"/>
      <c r="I1939" s="4"/>
    </row>
    <row r="1940" spans="1:9" ht="15">
      <c r="A1940" s="21">
        <f t="shared" si="34"/>
        <v>447</v>
      </c>
      <c r="B1940" s="14" t="s">
        <v>2665</v>
      </c>
      <c r="C1940" s="85" t="str">
        <f ca="1">IFERROR(__xludf.DUMMYFUNCTION("GOOGLETRANSLATE(B1940:B1955,""RU"",""UK"")"),"Різець токарний канавковий внутр. Т5К10 20х20х160")</f>
        <v>Різець токарний канавковий внутр. Т5К10 20х20х160</v>
      </c>
      <c r="D1940" s="15" t="s">
        <v>6</v>
      </c>
      <c r="E1940" s="15">
        <v>2</v>
      </c>
      <c r="F1940" s="91" t="s">
        <v>319</v>
      </c>
      <c r="G1940" s="4"/>
      <c r="H1940" s="4"/>
      <c r="I1940" s="4"/>
    </row>
    <row r="1941" spans="1:9" ht="15">
      <c r="A1941" s="21">
        <f t="shared" si="34"/>
        <v>448</v>
      </c>
      <c r="B1941" s="14" t="s">
        <v>2666</v>
      </c>
      <c r="C1941" s="85" t="str">
        <f ca="1">IFERROR(__xludf.DUMMYFUNCTION("GOOGLETRANSLATE(B1941:B1956,""RU"",""UK"")"),"Різець токарний канавковий внутр. Т/с 20х16х180")</f>
        <v>Різець токарний канавковий внутр. Т/с 20х16х180</v>
      </c>
      <c r="D1941" s="15" t="s">
        <v>6</v>
      </c>
      <c r="E1941" s="15">
        <v>2</v>
      </c>
      <c r="F1941" s="91" t="s">
        <v>319</v>
      </c>
      <c r="G1941" s="4"/>
      <c r="H1941" s="4"/>
      <c r="I1941" s="4"/>
    </row>
    <row r="1942" spans="1:9" ht="15">
      <c r="A1942" s="21">
        <f t="shared" si="34"/>
        <v>449</v>
      </c>
      <c r="B1942" s="14" t="s">
        <v>2667</v>
      </c>
      <c r="C1942" s="85" t="str">
        <f ca="1">IFERROR(__xludf.DUMMYFUNCTION("GOOGLETRANSLATE(B1942:B1957,""RU"",""UK"")"),"Різець токарний канавковий внутр. Т/с 20х20х160лев / 20х20х200 лев")</f>
        <v>Різець токарний канавковий внутр. Т/с 20х20х160лев / 20х20х200 лев</v>
      </c>
      <c r="D1942" s="15" t="s">
        <v>6</v>
      </c>
      <c r="E1942" s="15" t="s">
        <v>2361</v>
      </c>
      <c r="F1942" s="91" t="s">
        <v>319</v>
      </c>
      <c r="G1942" s="4"/>
      <c r="H1942" s="4"/>
      <c r="I1942" s="4"/>
    </row>
    <row r="1943" spans="1:9" ht="15">
      <c r="A1943" s="21">
        <f t="shared" si="34"/>
        <v>450</v>
      </c>
      <c r="B1943" s="14" t="s">
        <v>2668</v>
      </c>
      <c r="C1943" s="85" t="str">
        <f ca="1">IFERROR(__xludf.DUMMYFUNCTION("GOOGLETRANSLATE(B1943:B1958,""RU"",""UK"")"),"Різець токарний канавковий внутр. Т15К6 25х16х140/т/с 25х16х140")</f>
        <v>Різець токарний канавковий внутр. Т15К6 25х16х140/т/с 25х16х140</v>
      </c>
      <c r="D1943" s="15" t="s">
        <v>6</v>
      </c>
      <c r="E1943" s="15" t="s">
        <v>737</v>
      </c>
      <c r="F1943" s="91" t="s">
        <v>319</v>
      </c>
      <c r="G1943" s="4"/>
      <c r="H1943" s="4"/>
      <c r="I1943" s="4"/>
    </row>
    <row r="1944" spans="1:9" ht="15">
      <c r="A1944" s="21">
        <f t="shared" ref="A1944:A2005" si="35">A1943+1</f>
        <v>451</v>
      </c>
      <c r="B1944" s="14" t="s">
        <v>2669</v>
      </c>
      <c r="C1944" s="85" t="str">
        <f ca="1">IFERROR(__xludf.DUMMYFUNCTION("GOOGLETRANSLATE(B1944:B1959,""RU"",""UK"")"),"Різець токарний канавковий внутр. ВК8 25х20х160/25х25х150")</f>
        <v>Різець токарний канавковий внутр. ВК8 25х20х160/25х25х150</v>
      </c>
      <c r="D1944" s="15" t="s">
        <v>6</v>
      </c>
      <c r="E1944" s="15" t="s">
        <v>1005</v>
      </c>
      <c r="F1944" s="91" t="s">
        <v>319</v>
      </c>
      <c r="G1944" s="4"/>
      <c r="H1944" s="4"/>
      <c r="I1944" s="4"/>
    </row>
    <row r="1945" spans="1:9" ht="15">
      <c r="A1945" s="21">
        <f t="shared" si="35"/>
        <v>452</v>
      </c>
      <c r="B1945" s="14" t="s">
        <v>2670</v>
      </c>
      <c r="C1945" s="85" t="str">
        <f ca="1">IFERROR(__xludf.DUMMYFUNCTION("GOOGLETRANSLATE(B1945:B1960,""RU"",""UK"")"),"Різець токарний канавковий внутр. Р18 25х25х180")</f>
        <v>Різець токарний канавковий внутр. Р18 25х25х180</v>
      </c>
      <c r="D1945" s="15" t="s">
        <v>6</v>
      </c>
      <c r="E1945" s="15">
        <v>2</v>
      </c>
      <c r="F1945" s="91" t="s">
        <v>218</v>
      </c>
      <c r="G1945" s="4"/>
      <c r="H1945" s="4"/>
      <c r="I1945" s="4"/>
    </row>
    <row r="1946" spans="1:9" ht="15">
      <c r="A1946" s="21">
        <f t="shared" si="35"/>
        <v>453</v>
      </c>
      <c r="B1946" s="14" t="s">
        <v>2671</v>
      </c>
      <c r="C1946" s="85" t="str">
        <f ca="1">IFERROR(__xludf.DUMMYFUNCTION("GOOGLETRANSLATE(B1946:B1961,""RU"",""UK"")"),"Різець токарний канавковий внутр. Т5К10 25х25х240")</f>
        <v>Різець токарний канавковий внутр. Т5К10 25х25х240</v>
      </c>
      <c r="D1946" s="15" t="s">
        <v>6</v>
      </c>
      <c r="E1946" s="15">
        <v>1</v>
      </c>
      <c r="F1946" s="91" t="s">
        <v>1570</v>
      </c>
      <c r="G1946" s="4"/>
      <c r="H1946" s="4"/>
      <c r="I1946" s="4"/>
    </row>
    <row r="1947" spans="1:9" ht="15">
      <c r="A1947" s="21">
        <f t="shared" si="35"/>
        <v>454</v>
      </c>
      <c r="B1947" s="14" t="s">
        <v>2672</v>
      </c>
      <c r="C1947" s="85" t="str">
        <f ca="1">IFERROR(__xludf.DUMMYFUNCTION("GOOGLETRANSLATE(B1947:B1962,""RU"",""UK"")"),"Різець токарний канавковий внутр. ВК8 25х30х200/30х30х170")</f>
        <v>Різець токарний канавковий внутр. ВК8 25х30х200/30х30х170</v>
      </c>
      <c r="D1947" s="15" t="s">
        <v>6</v>
      </c>
      <c r="E1947" s="15" t="s">
        <v>774</v>
      </c>
      <c r="F1947" s="91" t="s">
        <v>1559</v>
      </c>
      <c r="G1947" s="4"/>
      <c r="H1947" s="4"/>
      <c r="I1947" s="4"/>
    </row>
    <row r="1948" spans="1:9" ht="15">
      <c r="A1948" s="21">
        <f t="shared" si="35"/>
        <v>455</v>
      </c>
      <c r="B1948" s="16" t="s">
        <v>2673</v>
      </c>
      <c r="C1948" s="85" t="str">
        <f ca="1">IFERROR(__xludf.DUMMYFUNCTION("GOOGLETRANSLATE(B1948:B1963,""RU"",""UK"")"),"Різець токарний канавковий внутр. Т/с 30х22х200")</f>
        <v>Різець токарний канавковий внутр. Т/с 30х22х200</v>
      </c>
      <c r="D1948" s="15" t="s">
        <v>6</v>
      </c>
      <c r="E1948" s="15">
        <v>1</v>
      </c>
      <c r="F1948" s="91" t="s">
        <v>1559</v>
      </c>
      <c r="G1948" s="4"/>
      <c r="H1948" s="4"/>
      <c r="I1948" s="4"/>
    </row>
    <row r="1949" spans="1:9" ht="15">
      <c r="A1949" s="21">
        <f t="shared" si="35"/>
        <v>456</v>
      </c>
      <c r="B1949" s="16" t="s">
        <v>2674</v>
      </c>
      <c r="C1949" s="85" t="str">
        <f ca="1">IFERROR(__xludf.DUMMYFUNCTION("GOOGLETRANSLATE(B1949:B1964,""RU"",""UK"")"),"Різець токарний канавковий внутр. ВК8 32х20х170 лев")</f>
        <v>Різець токарний канавковий внутр. ВК8 32х20х170 лев</v>
      </c>
      <c r="D1949" s="15" t="s">
        <v>6</v>
      </c>
      <c r="E1949" s="15">
        <v>3</v>
      </c>
      <c r="F1949" s="91" t="s">
        <v>119</v>
      </c>
      <c r="G1949" s="4"/>
      <c r="H1949" s="4"/>
      <c r="I1949" s="4"/>
    </row>
    <row r="1950" spans="1:9" ht="15">
      <c r="A1950" s="21">
        <f t="shared" si="35"/>
        <v>457</v>
      </c>
      <c r="B1950" s="14" t="s">
        <v>2675</v>
      </c>
      <c r="C1950" s="85" t="str">
        <f ca="1">IFERROR(__xludf.DUMMYFUNCTION("GOOGLETRANSLATE(B1950:B1965,""RU"",""UK"")"),"Різець токарний канавковий внутр. Т5К10 40х30х250/лев")</f>
        <v>Різець токарний канавковий внутр. Т5К10 40х30х250/лев</v>
      </c>
      <c r="D1950" s="15" t="s">
        <v>6</v>
      </c>
      <c r="E1950" s="15" t="s">
        <v>710</v>
      </c>
      <c r="F1950" s="91" t="s">
        <v>140</v>
      </c>
      <c r="G1950" s="4"/>
      <c r="H1950" s="4"/>
      <c r="I1950" s="4"/>
    </row>
    <row r="1951" spans="1:9" ht="15">
      <c r="A1951" s="21">
        <f t="shared" si="35"/>
        <v>458</v>
      </c>
      <c r="B1951" s="16" t="s">
        <v>2676</v>
      </c>
      <c r="C1951" s="85" t="str">
        <f ca="1">IFERROR(__xludf.DUMMYFUNCTION("GOOGLETRANSLATE(B1951:B1966,""RU"",""UK"")"),"Різець канавковий (стругальний) мон-ний Р18 25х16х170")</f>
        <v>Різець канавковий (стругальний) мон-ний Р18 25х16х170</v>
      </c>
      <c r="D1951" s="15" t="s">
        <v>6</v>
      </c>
      <c r="E1951" s="15">
        <v>2</v>
      </c>
      <c r="F1951" s="91" t="s">
        <v>20</v>
      </c>
      <c r="G1951" s="4"/>
      <c r="H1951" s="4"/>
      <c r="I1951" s="4"/>
    </row>
    <row r="1952" spans="1:9" ht="15">
      <c r="A1952" s="21">
        <f t="shared" si="35"/>
        <v>459</v>
      </c>
      <c r="B1952" s="14" t="s">
        <v>2677</v>
      </c>
      <c r="C1952" s="85" t="str">
        <f ca="1">IFERROR(__xludf.DUMMYFUNCTION("GOOGLETRANSLATE(B1952:B1967,""RU"",""UK"")"),"Різець канавковий Р6М5 12х12х150/16х14х100/20х16х140")</f>
        <v>Різець канавковий Р6М5 12х12х150/16х14х100/20х16х140</v>
      </c>
      <c r="D1952" s="15" t="s">
        <v>6</v>
      </c>
      <c r="E1952" s="15" t="s">
        <v>2678</v>
      </c>
      <c r="F1952" s="91" t="s">
        <v>136</v>
      </c>
      <c r="G1952" s="4"/>
      <c r="H1952" s="4"/>
      <c r="I1952" s="4"/>
    </row>
    <row r="1953" spans="1:9" ht="15">
      <c r="A1953" s="21">
        <f t="shared" si="35"/>
        <v>460</v>
      </c>
      <c r="B1953" s="14" t="s">
        <v>2679</v>
      </c>
      <c r="C1953" s="85" t="str">
        <f ca="1">IFERROR(__xludf.DUMMYFUNCTION("GOOGLETRANSLATE(B1953:B1968,""RU"",""UK"")"),"Різець канавковий Р6М5 11х11х70/10х10х60")</f>
        <v>Різець канавковий Р6М5 11х11х70/10х10х60</v>
      </c>
      <c r="D1953" s="15" t="s">
        <v>6</v>
      </c>
      <c r="E1953" s="15" t="s">
        <v>2680</v>
      </c>
      <c r="F1953" s="91" t="s">
        <v>167</v>
      </c>
      <c r="G1953" s="4"/>
      <c r="H1953" s="4"/>
      <c r="I1953" s="4"/>
    </row>
    <row r="1954" spans="1:9" ht="15">
      <c r="A1954" s="21">
        <f t="shared" si="35"/>
        <v>461</v>
      </c>
      <c r="B1954" s="14" t="s">
        <v>2681</v>
      </c>
      <c r="C1954" s="85" t="str">
        <f ca="1">IFERROR(__xludf.DUMMYFUNCTION("GOOGLETRANSLATE(B1954:B1969,""RU"",""UK"")"),"Різець канавковий Р6М5 8х8х70/8х8х50")</f>
        <v>Різець канавковий Р6М5 8х8х70/8х8х50</v>
      </c>
      <c r="D1954" s="15" t="s">
        <v>6</v>
      </c>
      <c r="E1954" s="15" t="s">
        <v>2682</v>
      </c>
      <c r="F1954" s="91" t="s">
        <v>124</v>
      </c>
      <c r="G1954" s="4"/>
      <c r="H1954" s="4"/>
      <c r="I1954" s="4"/>
    </row>
    <row r="1955" spans="1:9" ht="15">
      <c r="A1955" s="21">
        <f t="shared" si="35"/>
        <v>462</v>
      </c>
      <c r="B1955" s="14" t="s">
        <v>2683</v>
      </c>
      <c r="C1955" s="85" t="str">
        <f ca="1">IFERROR(__xludf.DUMMYFUNCTION("GOOGLETRANSLATE(B1955:B1970,""RU"",""UK"")"),"Різець токарний фасонний т/с 8х8х70")</f>
        <v>Різець токарний фасонний т/с 8х8х70</v>
      </c>
      <c r="D1955" s="15" t="s">
        <v>6</v>
      </c>
      <c r="E1955" s="15">
        <v>16</v>
      </c>
      <c r="F1955" s="91" t="s">
        <v>2345</v>
      </c>
      <c r="G1955" s="4"/>
      <c r="H1955" s="4"/>
      <c r="I1955" s="4"/>
    </row>
    <row r="1956" spans="1:9" ht="15">
      <c r="A1956" s="21">
        <f t="shared" si="35"/>
        <v>463</v>
      </c>
      <c r="B1956" s="14" t="s">
        <v>2684</v>
      </c>
      <c r="C1956" s="85" t="str">
        <f ca="1">IFERROR(__xludf.DUMMYFUNCTION("GOOGLETRANSLATE(B1956:B1971,""RU"",""UK"")"),"Різець токарний фасонний т/с 25х20х140")</f>
        <v>Різець токарний фасонний т/с 25х20х140</v>
      </c>
      <c r="D1956" s="15" t="s">
        <v>6</v>
      </c>
      <c r="E1956" s="15">
        <v>53</v>
      </c>
      <c r="F1956" s="91" t="s">
        <v>253</v>
      </c>
      <c r="G1956" s="4"/>
      <c r="H1956" s="4"/>
      <c r="I1956" s="4"/>
    </row>
    <row r="1957" spans="1:9" ht="15">
      <c r="A1957" s="21">
        <f t="shared" si="35"/>
        <v>464</v>
      </c>
      <c r="B1957" s="14" t="s">
        <v>2685</v>
      </c>
      <c r="C1957" s="85" t="str">
        <f ca="1">IFERROR(__xludf.DUMMYFUNCTION("GOOGLETRANSLATE(B1957:B1972,""RU"",""UK"")"),"Різець токарний радіусний Р6М5 12х12х80/тс 12х12х70")</f>
        <v>Різець токарний радіусний Р6М5 12х12х80/тс 12х12х70</v>
      </c>
      <c r="D1957" s="15" t="s">
        <v>6</v>
      </c>
      <c r="E1957" s="15" t="s">
        <v>211</v>
      </c>
      <c r="F1957" s="91" t="s">
        <v>169</v>
      </c>
      <c r="G1957" s="4"/>
      <c r="H1957" s="4"/>
      <c r="I1957" s="4"/>
    </row>
    <row r="1958" spans="1:9" ht="15">
      <c r="A1958" s="21">
        <f t="shared" si="35"/>
        <v>465</v>
      </c>
      <c r="B1958" s="14" t="s">
        <v>2686</v>
      </c>
      <c r="C1958" s="85" t="str">
        <f ca="1">IFERROR(__xludf.DUMMYFUNCTION("GOOGLETRANSLATE(B1958:B1973,""RU"",""UK"")"),"Різець токарний радіусний Т15К6 12х12х55")</f>
        <v>Різець токарний радіусний Т15К6 12х12х55</v>
      </c>
      <c r="D1958" s="15" t="s">
        <v>6</v>
      </c>
      <c r="E1958" s="15">
        <v>1</v>
      </c>
      <c r="F1958" s="91" t="s">
        <v>248</v>
      </c>
      <c r="G1958" s="4"/>
      <c r="H1958" s="4"/>
      <c r="I1958" s="4"/>
    </row>
    <row r="1959" spans="1:9" ht="15">
      <c r="A1959" s="21">
        <f t="shared" si="35"/>
        <v>466</v>
      </c>
      <c r="B1959" s="14" t="s">
        <v>2687</v>
      </c>
      <c r="C1959" s="85" t="str">
        <f ca="1">IFERROR(__xludf.DUMMYFUNCTION("GOOGLETRANSLATE(B1959:B1974,""RU"",""UK"")"),"Різець токарний радіусний Т5К10 16х16х20")</f>
        <v>Різець токарний радіусний Т5К10 16х16х20</v>
      </c>
      <c r="D1959" s="15" t="s">
        <v>6</v>
      </c>
      <c r="E1959" s="15">
        <v>9</v>
      </c>
      <c r="F1959" s="91" t="s">
        <v>169</v>
      </c>
      <c r="G1959" s="4"/>
      <c r="H1959" s="4"/>
      <c r="I1959" s="4"/>
    </row>
    <row r="1960" spans="1:9" ht="15">
      <c r="A1960" s="21">
        <f t="shared" si="35"/>
        <v>467</v>
      </c>
      <c r="B1960" s="14" t="s">
        <v>2688</v>
      </c>
      <c r="C1960" s="85" t="str">
        <f ca="1">IFERROR(__xludf.DUMMYFUNCTION("GOOGLETRANSLATE(B1960:B1975,""RU"",""UK"")"),"Різець токарний радіусний ВК8 d20х120")</f>
        <v>Різець токарний радіусний ВК8 d20х120</v>
      </c>
      <c r="D1960" s="15" t="s">
        <v>6</v>
      </c>
      <c r="E1960" s="15">
        <v>2</v>
      </c>
      <c r="F1960" s="91" t="s">
        <v>257</v>
      </c>
      <c r="G1960" s="4"/>
      <c r="H1960" s="4"/>
      <c r="I1960" s="4"/>
    </row>
    <row r="1961" spans="1:9" ht="15">
      <c r="A1961" s="21">
        <f t="shared" si="35"/>
        <v>468</v>
      </c>
      <c r="B1961" s="14" t="s">
        <v>2689</v>
      </c>
      <c r="C1961" s="85" t="str">
        <f ca="1">IFERROR(__xludf.DUMMYFUNCTION("GOOGLETRANSLATE(B1961:B1976,""RU"",""UK"")"),"Різець токарний радіусний 25х20х160")</f>
        <v>Різець токарний радіусний 25х20х160</v>
      </c>
      <c r="D1961" s="15" t="s">
        <v>6</v>
      </c>
      <c r="E1961" s="15">
        <v>10</v>
      </c>
      <c r="F1961" s="91" t="s">
        <v>564</v>
      </c>
      <c r="G1961" s="4"/>
      <c r="H1961" s="4"/>
      <c r="I1961" s="4"/>
    </row>
    <row r="1962" spans="1:9" ht="15">
      <c r="A1962" s="21">
        <f t="shared" si="35"/>
        <v>469</v>
      </c>
      <c r="B1962" s="53" t="s">
        <v>2690</v>
      </c>
      <c r="C1962" s="85" t="str">
        <f ca="1">IFERROR(__xludf.DUMMYFUNCTION("GOOGLETRANSLATE(B1962:B1977,""RU"",""UK"")"),"Різець токарний радіусний транспортний засіб 16х16х100")</f>
        <v>Різець токарний радіусний транспортний засіб 16х16х100</v>
      </c>
      <c r="D1962" s="15" t="s">
        <v>6</v>
      </c>
      <c r="E1962" s="64">
        <v>1</v>
      </c>
      <c r="F1962" s="104" t="s">
        <v>253</v>
      </c>
      <c r="G1962" s="4"/>
      <c r="H1962" s="4"/>
      <c r="I1962" s="4"/>
    </row>
    <row r="1963" spans="1:9" ht="15">
      <c r="A1963" s="21">
        <f t="shared" si="35"/>
        <v>470</v>
      </c>
      <c r="B1963" s="53" t="s">
        <v>2691</v>
      </c>
      <c r="C1963" s="85" t="str">
        <f ca="1">IFERROR(__xludf.DUMMYFUNCTION("GOOGLETRANSLATE(B1963:B1978,""RU"",""UK"")"),"Різець токарний радіусний ВК8 16х16х120/20х20х90")</f>
        <v>Різець токарний радіусний ВК8 16х16х120/20х20х90</v>
      </c>
      <c r="D1963" s="15" t="s">
        <v>6</v>
      </c>
      <c r="E1963" s="64" t="s">
        <v>902</v>
      </c>
      <c r="F1963" s="104" t="s">
        <v>253</v>
      </c>
      <c r="G1963" s="4"/>
      <c r="H1963" s="4"/>
      <c r="I1963" s="4"/>
    </row>
    <row r="1964" spans="1:9" ht="15">
      <c r="A1964" s="21">
        <f t="shared" si="35"/>
        <v>471</v>
      </c>
      <c r="B1964" s="53" t="s">
        <v>2692</v>
      </c>
      <c r="C1964" s="85" t="str">
        <f ca="1">IFERROR(__xludf.DUMMYFUNCTION("GOOGLETRANSLATE(B1964:B1979,""RU"",""UK"")"),"Різець токарний радіусний ВК8 20х20х140/25х16х140")</f>
        <v>Різець токарний радіусний ВК8 20х20х140/25х16х140</v>
      </c>
      <c r="D1964" s="15" t="s">
        <v>6</v>
      </c>
      <c r="E1964" s="64" t="s">
        <v>942</v>
      </c>
      <c r="F1964" s="104" t="s">
        <v>257</v>
      </c>
      <c r="G1964" s="4"/>
      <c r="H1964" s="4"/>
      <c r="I1964" s="4"/>
    </row>
    <row r="1965" spans="1:9" ht="15">
      <c r="A1965" s="21">
        <f t="shared" si="35"/>
        <v>472</v>
      </c>
      <c r="B1965" s="53" t="s">
        <v>2693</v>
      </c>
      <c r="C1965" s="85" t="str">
        <f ca="1">IFERROR(__xludf.DUMMYFUNCTION("GOOGLETRANSLATE(B1965:B1980,""RU"",""UK"")"),"Різець токарний радіусний ВК8 25х20х140/32х20х180")</f>
        <v>Різець токарний радіусний ВК8 25х20х140/32х20х180</v>
      </c>
      <c r="D1965" s="15" t="s">
        <v>6</v>
      </c>
      <c r="E1965" s="64" t="s">
        <v>920</v>
      </c>
      <c r="F1965" s="104" t="s">
        <v>371</v>
      </c>
      <c r="G1965" s="4"/>
      <c r="H1965" s="4"/>
      <c r="I1965" s="4"/>
    </row>
    <row r="1966" spans="1:9" ht="15">
      <c r="A1966" s="21">
        <f t="shared" si="35"/>
        <v>473</v>
      </c>
      <c r="B1966" s="53" t="s">
        <v>2694</v>
      </c>
      <c r="C1966" s="85" t="str">
        <f ca="1">IFERROR(__xludf.DUMMYFUNCTION("GOOGLETRANSLATE(B1966:B1981,""RU"",""UK"")"),"Різець токарний радіусний Р6М5 12х12х75")</f>
        <v>Різець токарний радіусний Р6М5 12х12х75</v>
      </c>
      <c r="D1966" s="15" t="s">
        <v>6</v>
      </c>
      <c r="E1966" s="64">
        <v>13</v>
      </c>
      <c r="F1966" s="104" t="s">
        <v>314</v>
      </c>
      <c r="G1966" s="4"/>
      <c r="H1966" s="4"/>
      <c r="I1966" s="4"/>
    </row>
    <row r="1967" spans="1:9" ht="15">
      <c r="A1967" s="21">
        <f t="shared" si="35"/>
        <v>474</v>
      </c>
      <c r="B1967" s="53" t="s">
        <v>2695</v>
      </c>
      <c r="C1967" s="85" t="str">
        <f ca="1">IFERROR(__xludf.DUMMYFUNCTION("GOOGLETRANSLATE(B1967:B1982,""RU"",""UK"")"),"Різець токарний радіусний Р6М5 16х16х80/16х16х100")</f>
        <v>Різець токарний радіусний Р6М5 16х16х80/16х16х100</v>
      </c>
      <c r="D1967" s="15" t="s">
        <v>6</v>
      </c>
      <c r="E1967" s="64" t="s">
        <v>737</v>
      </c>
      <c r="F1967" s="104" t="s">
        <v>209</v>
      </c>
      <c r="G1967" s="4"/>
      <c r="H1967" s="4"/>
      <c r="I1967" s="4"/>
    </row>
    <row r="1968" spans="1:9" ht="15">
      <c r="A1968" s="21">
        <f t="shared" si="35"/>
        <v>475</v>
      </c>
      <c r="B1968" s="53" t="s">
        <v>2696</v>
      </c>
      <c r="C1968" s="85" t="str">
        <f ca="1">IFERROR(__xludf.DUMMYFUNCTION("GOOGLETRANSLATE(B1968:B1983,""RU"",""UK"")"),"Різець токарний радіусний Р6М5 20х20х100")</f>
        <v>Різець токарний радіусний Р6М5 20х20х100</v>
      </c>
      <c r="D1968" s="15" t="s">
        <v>6</v>
      </c>
      <c r="E1968" s="64">
        <v>5</v>
      </c>
      <c r="F1968" s="104" t="s">
        <v>338</v>
      </c>
      <c r="G1968" s="4"/>
      <c r="H1968" s="4"/>
      <c r="I1968" s="4"/>
    </row>
    <row r="1969" spans="1:9" ht="15">
      <c r="A1969" s="21">
        <f t="shared" si="35"/>
        <v>476</v>
      </c>
      <c r="B1969" s="53" t="s">
        <v>2697</v>
      </c>
      <c r="C1969" s="85" t="str">
        <f ca="1">IFERROR(__xludf.DUMMYFUNCTION("GOOGLETRANSLATE(B1969:B1984,""RU"",""UK"")"),"Різець кутовий ВК8 12Х12Х70 / кут. 16х16х70")</f>
        <v>Різець кутовий ВК8 12Х12Х70 / кут. 16х16х70</v>
      </c>
      <c r="D1969" s="15" t="s">
        <v>6</v>
      </c>
      <c r="E1969" s="64" t="s">
        <v>2698</v>
      </c>
      <c r="F1969" s="104" t="s">
        <v>600</v>
      </c>
      <c r="G1969" s="4"/>
      <c r="H1969" s="4"/>
      <c r="I1969" s="4"/>
    </row>
    <row r="1970" spans="1:9" ht="15">
      <c r="A1970" s="21">
        <f t="shared" si="35"/>
        <v>477</v>
      </c>
      <c r="B1970" s="53" t="s">
        <v>2699</v>
      </c>
      <c r="C1970" s="85" t="str">
        <f ca="1">IFERROR(__xludf.DUMMYFUNCTION("GOOGLETRANSLATE(B1970:B1985,""RU"",""UK"")"),"Різець кутовий 60* ВК8 16Х16Х150лев.")</f>
        <v>Різець кутовий 60* ВК8 16Х16Х150лев.</v>
      </c>
      <c r="D1970" s="15" t="s">
        <v>6</v>
      </c>
      <c r="E1970" s="64">
        <v>5</v>
      </c>
      <c r="F1970" s="104" t="s">
        <v>2700</v>
      </c>
      <c r="G1970" s="4"/>
      <c r="H1970" s="4"/>
      <c r="I1970" s="4"/>
    </row>
    <row r="1971" spans="1:9" ht="15">
      <c r="A1971" s="21">
        <f t="shared" si="35"/>
        <v>478</v>
      </c>
      <c r="B1971" s="53" t="s">
        <v>2701</v>
      </c>
      <c r="C1971" s="85" t="str">
        <f ca="1">IFERROR(__xludf.DUMMYFUNCTION("GOOGLETRANSLATE(B1971:B1986,""RU"",""UK"")"),"Різець кутовий 45* ВК8 25х20х140/кут. 25х16х140 / кут. 25х16х100")</f>
        <v>Різець кутовий 45* ВК8 25х20х140/кут. 25х16х140 / кут. 25х16х100</v>
      </c>
      <c r="D1971" s="15" t="s">
        <v>6</v>
      </c>
      <c r="E1971" s="64" t="s">
        <v>2702</v>
      </c>
      <c r="F1971" s="104" t="s">
        <v>209</v>
      </c>
      <c r="G1971" s="4"/>
      <c r="H1971" s="4"/>
      <c r="I1971" s="4"/>
    </row>
    <row r="1972" spans="1:9" ht="15">
      <c r="A1972" s="21">
        <f t="shared" si="35"/>
        <v>479</v>
      </c>
      <c r="B1972" s="53" t="s">
        <v>2703</v>
      </c>
      <c r="C1972" s="85" t="str">
        <f ca="1">IFERROR(__xludf.DUMMYFUNCTION("GOOGLETRANSLATE(B1972:B1987,""RU"",""UK"")"),"Різець кутовий 45* ВК8 25х25х160лев.")</f>
        <v>Різець кутовий 45* ВК8 25х25х160лев.</v>
      </c>
      <c r="D1972" s="15" t="s">
        <v>6</v>
      </c>
      <c r="E1972" s="64">
        <v>14</v>
      </c>
      <c r="F1972" s="104" t="s">
        <v>255</v>
      </c>
      <c r="G1972" s="4"/>
      <c r="H1972" s="4"/>
      <c r="I1972" s="4"/>
    </row>
    <row r="1973" spans="1:9" ht="15">
      <c r="A1973" s="21">
        <f t="shared" si="35"/>
        <v>480</v>
      </c>
      <c r="B1973" s="53" t="s">
        <v>2704</v>
      </c>
      <c r="C1973" s="85" t="str">
        <f ca="1">IFERROR(__xludf.DUMMYFUNCTION("GOOGLETRANSLATE(B1973:B1988,""RU"",""UK"")"),"Різець кутовий ВК8 25х20х250лев / 25х25х220лев.")</f>
        <v>Різець кутовий ВК8 25х20х250лев / 25х25х220лев.</v>
      </c>
      <c r="D1973" s="15" t="s">
        <v>6</v>
      </c>
      <c r="E1973" s="64" t="s">
        <v>1198</v>
      </c>
      <c r="F1973" s="104" t="s">
        <v>226</v>
      </c>
      <c r="G1973" s="4"/>
      <c r="H1973" s="4"/>
      <c r="I1973" s="4"/>
    </row>
    <row r="1974" spans="1:9" ht="15">
      <c r="A1974" s="21">
        <f t="shared" si="35"/>
        <v>481</v>
      </c>
      <c r="B1974" s="53" t="s">
        <v>2705</v>
      </c>
      <c r="C1974" s="85" t="str">
        <f ca="1">IFERROR(__xludf.DUMMYFUNCTION("GOOGLETRANSLATE(B1974:B1989,""RU"",""UK"")"),"Різець кутовий 45* ВК8 25х16х200 / 25х20х250")</f>
        <v>Різець кутовий 45* ВК8 25х16х200 / 25х20х250</v>
      </c>
      <c r="D1974" s="15" t="s">
        <v>6</v>
      </c>
      <c r="E1974" s="64" t="s">
        <v>2361</v>
      </c>
      <c r="F1974" s="104" t="s">
        <v>209</v>
      </c>
      <c r="G1974" s="4"/>
      <c r="H1974" s="4"/>
      <c r="I1974" s="4"/>
    </row>
    <row r="1975" spans="1:9" ht="15">
      <c r="A1975" s="21">
        <f t="shared" si="35"/>
        <v>482</v>
      </c>
      <c r="B1975" s="53" t="s">
        <v>2706</v>
      </c>
      <c r="C1975" s="85" t="str">
        <f ca="1">IFERROR(__xludf.DUMMYFUNCTION("GOOGLETRANSLATE(B1975:B1990,""RU"",""UK"")"),"Різець кутовий 14х14х60")</f>
        <v>Різець кутовий 14х14х60</v>
      </c>
      <c r="D1975" s="15" t="s">
        <v>6</v>
      </c>
      <c r="E1975" s="64">
        <v>17</v>
      </c>
      <c r="F1975" s="104" t="s">
        <v>169</v>
      </c>
      <c r="G1975" s="4"/>
      <c r="H1975" s="4"/>
      <c r="I1975" s="4"/>
    </row>
    <row r="1976" spans="1:9" ht="15">
      <c r="A1976" s="21">
        <f t="shared" si="35"/>
        <v>483</v>
      </c>
      <c r="B1976" s="53" t="s">
        <v>2707</v>
      </c>
      <c r="C1976" s="85" t="str">
        <f ca="1">IFERROR(__xludf.DUMMYFUNCTION("GOOGLETRANSLATE(B1976:B1991,""RU"",""UK"")"),"Різець кутовий ВК8 25х16х140/32х20х170")</f>
        <v>Різець кутовий ВК8 25х16х140/32х20х170</v>
      </c>
      <c r="D1976" s="15" t="s">
        <v>6</v>
      </c>
      <c r="E1976" s="64" t="s">
        <v>2708</v>
      </c>
      <c r="F1976" s="104" t="s">
        <v>257</v>
      </c>
      <c r="G1976" s="4"/>
      <c r="H1976" s="4"/>
      <c r="I1976" s="4"/>
    </row>
    <row r="1977" spans="1:9" ht="15">
      <c r="A1977" s="21">
        <f t="shared" si="35"/>
        <v>484</v>
      </c>
      <c r="B1977" s="53" t="s">
        <v>2709</v>
      </c>
      <c r="C1977" s="85" t="str">
        <f ca="1">IFERROR(__xludf.DUMMYFUNCTION("GOOGLETRANSLATE(B1977:B1992,""RU"",""UK"")"),"Різець токарний кутовий 70"" Т5К10 32х20х140")</f>
        <v>Різець токарний кутовий 70" Т5К10 32х20х140</v>
      </c>
      <c r="D1977" s="15" t="s">
        <v>6</v>
      </c>
      <c r="E1977" s="64">
        <v>31</v>
      </c>
      <c r="F1977" s="104" t="s">
        <v>226</v>
      </c>
      <c r="G1977" s="4"/>
      <c r="H1977" s="4"/>
      <c r="I1977" s="4"/>
    </row>
    <row r="1978" spans="1:9" ht="15">
      <c r="A1978" s="21">
        <f t="shared" si="35"/>
        <v>485</v>
      </c>
      <c r="B1978" s="53" t="s">
        <v>2710</v>
      </c>
      <c r="C1978" s="85" t="str">
        <f ca="1">IFERROR(__xludf.DUMMYFUNCTION("GOOGLETRANSLATE(B1978:B1993,""RU"",""UK"")"),"Різець кутовий Р6М5 16х16х65/16х16х140")</f>
        <v>Різець кутовий Р6М5 16х16х65/16х16х140</v>
      </c>
      <c r="D1978" s="15" t="s">
        <v>6</v>
      </c>
      <c r="E1978" s="64" t="s">
        <v>2711</v>
      </c>
      <c r="F1978" s="104" t="s">
        <v>136</v>
      </c>
      <c r="G1978" s="4"/>
      <c r="H1978" s="4"/>
      <c r="I1978" s="4"/>
    </row>
    <row r="1979" spans="1:9" ht="15">
      <c r="A1979" s="21">
        <f t="shared" si="35"/>
        <v>486</v>
      </c>
      <c r="B1979" s="53" t="s">
        <v>2712</v>
      </c>
      <c r="C1979" s="85" t="str">
        <f ca="1">IFERROR(__xludf.DUMMYFUNCTION("GOOGLETRANSLATE(B1979:B1994,""RU"",""UK"")"),"Різець кутовий Р6М5 16х16х120")</f>
        <v>Різець кутовий Р6М5 16х16х120</v>
      </c>
      <c r="D1979" s="15" t="s">
        <v>6</v>
      </c>
      <c r="E1979" s="64">
        <v>3</v>
      </c>
      <c r="F1979" s="104" t="s">
        <v>338</v>
      </c>
      <c r="G1979" s="4"/>
      <c r="H1979" s="4"/>
      <c r="I1979" s="4"/>
    </row>
    <row r="1980" spans="1:9" ht="15">
      <c r="A1980" s="21">
        <f t="shared" si="35"/>
        <v>487</v>
      </c>
      <c r="B1980" s="53" t="s">
        <v>2713</v>
      </c>
      <c r="C1980" s="85" t="str">
        <f ca="1">IFERROR(__xludf.DUMMYFUNCTION("GOOGLETRANSLATE(B1980:B1995,""RU"",""UK"")"),"Різець стругальний Т15К6 20х16х200 / Т15К6 25х20х200")</f>
        <v>Різець стругальний Т15К6 20х16х200 / Т15К6 25х20х200</v>
      </c>
      <c r="D1980" s="15" t="s">
        <v>6</v>
      </c>
      <c r="E1980" s="64" t="s">
        <v>1885</v>
      </c>
      <c r="F1980" s="104" t="s">
        <v>371</v>
      </c>
      <c r="G1980" s="4"/>
      <c r="H1980" s="4"/>
      <c r="I1980" s="4"/>
    </row>
    <row r="1981" spans="1:9" ht="15">
      <c r="A1981" s="21">
        <f t="shared" si="35"/>
        <v>488</v>
      </c>
      <c r="B1981" s="53" t="s">
        <v>2714</v>
      </c>
      <c r="C1981" s="85" t="str">
        <f ca="1">IFERROR(__xludf.DUMMYFUNCTION("GOOGLETRANSLATE(B1981:B1996,""RU"",""UK"")"),"Різець стругальний ВК8 30х25х200 / стор канав. 32х25х230")</f>
        <v>Різець стругальний ВК8 30х25х200 / стор канав. 32х25х230</v>
      </c>
      <c r="D1981" s="15" t="s">
        <v>6</v>
      </c>
      <c r="E1981" s="64" t="s">
        <v>2715</v>
      </c>
      <c r="F1981" s="104" t="s">
        <v>338</v>
      </c>
      <c r="G1981" s="4"/>
      <c r="H1981" s="4"/>
      <c r="I1981" s="4"/>
    </row>
    <row r="1982" spans="1:9" ht="15">
      <c r="A1982" s="21">
        <f t="shared" si="35"/>
        <v>489</v>
      </c>
      <c r="B1982" s="65" t="s">
        <v>2716</v>
      </c>
      <c r="C1982" s="85" t="str">
        <f ca="1">IFERROR(__xludf.DUMMYFUNCTION("GOOGLETRANSLATE(B1982:B1997,""RU"",""UK"")"),"Різець для шківів профіль Б-25х16х170т/с / Б-25х20х140 т/с")</f>
        <v>Різець для шківів профіль Б-25х16х170т/с / Б-25х20х140 т/с</v>
      </c>
      <c r="D1982" s="15" t="s">
        <v>6</v>
      </c>
      <c r="E1982" s="64" t="s">
        <v>438</v>
      </c>
      <c r="F1982" s="104" t="s">
        <v>327</v>
      </c>
      <c r="G1982" s="4"/>
      <c r="H1982" s="4"/>
      <c r="I1982" s="4"/>
    </row>
    <row r="1983" spans="1:9" ht="15">
      <c r="A1983" s="21">
        <f t="shared" si="35"/>
        <v>490</v>
      </c>
      <c r="B1983" s="53" t="s">
        <v>2717</v>
      </c>
      <c r="C1983" s="85" t="str">
        <f ca="1">IFERROR(__xludf.DUMMYFUNCTION("GOOGLETRANSLATE(B1983:B1998,""RU"",""UK"")"),"Різець-заготівля Р6М5 8х8х150/8х8х180")</f>
        <v>Різець-заготівля Р6М5 8х8х150/8х8х180</v>
      </c>
      <c r="D1983" s="15" t="s">
        <v>6</v>
      </c>
      <c r="E1983" s="64" t="s">
        <v>2718</v>
      </c>
      <c r="F1983" s="104" t="s">
        <v>564</v>
      </c>
      <c r="G1983" s="4"/>
      <c r="H1983" s="4"/>
      <c r="I1983" s="4"/>
    </row>
    <row r="1984" spans="1:9" ht="15">
      <c r="A1984" s="21">
        <f t="shared" si="35"/>
        <v>491</v>
      </c>
      <c r="B1984" s="53" t="s">
        <v>2719</v>
      </c>
      <c r="C1984" s="85" t="str">
        <f ca="1">IFERROR(__xludf.DUMMYFUNCTION("GOOGLETRANSLATE(B1984:B1999,""RU"",""UK"")"),"Різець-заготівля Р6М5 9х9х150 шліф")</f>
        <v>Різець-заготівля Р6М5 9х9х150 шліф</v>
      </c>
      <c r="D1984" s="15" t="s">
        <v>6</v>
      </c>
      <c r="E1984" s="64">
        <v>288</v>
      </c>
      <c r="F1984" s="104" t="s">
        <v>1518</v>
      </c>
      <c r="G1984" s="4"/>
      <c r="H1984" s="4"/>
      <c r="I1984" s="4"/>
    </row>
    <row r="1985" spans="1:9" ht="15">
      <c r="A1985" s="21">
        <f t="shared" si="35"/>
        <v>492</v>
      </c>
      <c r="B1985" s="53" t="s">
        <v>2720</v>
      </c>
      <c r="C1985" s="85" t="str">
        <f ca="1">IFERROR(__xludf.DUMMYFUNCTION("GOOGLETRANSLATE(B1985:B2000,""RU"",""UK"")"),"Різець-заготівля Р6М5 10х10х150 шліф")</f>
        <v>Різець-заготівля Р6М5 10х10х150 шліф</v>
      </c>
      <c r="D1985" s="15" t="s">
        <v>6</v>
      </c>
      <c r="E1985" s="64">
        <v>4</v>
      </c>
      <c r="F1985" s="104" t="s">
        <v>567</v>
      </c>
      <c r="G1985" s="4"/>
      <c r="H1985" s="4"/>
      <c r="I1985" s="4"/>
    </row>
    <row r="1986" spans="1:9" ht="15">
      <c r="A1986" s="21">
        <f t="shared" si="35"/>
        <v>493</v>
      </c>
      <c r="B1986" s="66" t="s">
        <v>2721</v>
      </c>
      <c r="C1986" s="85" t="str">
        <f ca="1">IFERROR(__xludf.DUMMYFUNCTION("GOOGLETRANSLATE(B1986:B2001,""RU"",""UK"")"),"Різець-заготівля Р6М5 10х10х180 шліф")</f>
        <v>Різець-заготівля Р6М5 10х10х180 шліф</v>
      </c>
      <c r="D1986" s="15" t="s">
        <v>6</v>
      </c>
      <c r="E1986" s="64">
        <v>0</v>
      </c>
      <c r="F1986" s="104" t="s">
        <v>119</v>
      </c>
      <c r="G1986" s="4"/>
      <c r="H1986" s="4"/>
      <c r="I1986" s="4"/>
    </row>
    <row r="1987" spans="1:9" ht="15">
      <c r="A1987" s="21">
        <f t="shared" si="35"/>
        <v>494</v>
      </c>
      <c r="B1987" s="53" t="s">
        <v>2722</v>
      </c>
      <c r="C1987" s="85" t="str">
        <f ca="1">IFERROR(__xludf.DUMMYFUNCTION("GOOGLETRANSLATE(B1987:B2002,""RU"",""UK"")"),"Різець-заготівля Р6М5 12х6х150")</f>
        <v>Різець-заготівля Р6М5 12х6х150</v>
      </c>
      <c r="D1987" s="15" t="s">
        <v>6</v>
      </c>
      <c r="E1987" s="64">
        <v>2</v>
      </c>
      <c r="F1987" s="104" t="s">
        <v>185</v>
      </c>
      <c r="G1987" s="4"/>
      <c r="H1987" s="4"/>
      <c r="I1987" s="4"/>
    </row>
    <row r="1988" spans="1:9" ht="15">
      <c r="A1988" s="21">
        <f t="shared" si="35"/>
        <v>495</v>
      </c>
      <c r="B1988" s="53" t="s">
        <v>2723</v>
      </c>
      <c r="C1988" s="85" t="str">
        <f ca="1">IFERROR(__xludf.DUMMYFUNCTION("GOOGLETRANSLATE(B1988:B2003,""RU"",""UK"")"),"Різець-заготівля Р6М5 12х12х120")</f>
        <v>Різець-заготівля Р6М5 12х12х120</v>
      </c>
      <c r="D1988" s="15" t="s">
        <v>6</v>
      </c>
      <c r="E1988" s="64">
        <v>10</v>
      </c>
      <c r="F1988" s="104" t="s">
        <v>319</v>
      </c>
      <c r="G1988" s="4"/>
      <c r="H1988" s="4"/>
      <c r="I1988" s="4"/>
    </row>
    <row r="1989" spans="1:9" ht="15">
      <c r="A1989" s="21">
        <f t="shared" si="35"/>
        <v>496</v>
      </c>
      <c r="B1989" s="53" t="s">
        <v>2724</v>
      </c>
      <c r="C1989" s="85" t="str">
        <f ca="1">IFERROR(__xludf.DUMMYFUNCTION("GOOGLETRANSLATE(B1989:B2004,""RU"",""UK"")"),"Різець-заготівля Р6М5 12х12х150 шліф")</f>
        <v>Різець-заготівля Р6М5 12х12х150 шліф</v>
      </c>
      <c r="D1989" s="15" t="s">
        <v>6</v>
      </c>
      <c r="E1989" s="64">
        <v>25</v>
      </c>
      <c r="F1989" s="104" t="s">
        <v>119</v>
      </c>
      <c r="G1989" s="4"/>
      <c r="H1989" s="4"/>
      <c r="I1989" s="4"/>
    </row>
    <row r="1990" spans="1:9" ht="15">
      <c r="A1990" s="21">
        <f t="shared" si="35"/>
        <v>497</v>
      </c>
      <c r="B1990" s="53" t="s">
        <v>2725</v>
      </c>
      <c r="C1990" s="85" t="str">
        <f ca="1">IFERROR(__xludf.DUMMYFUNCTION("GOOGLETRANSLATE(B1990:B2005,""RU"",""UK"")"),"Різець-заготівля Р6М5 12х12х150")</f>
        <v>Різець-заготівля Р6М5 12х12х150</v>
      </c>
      <c r="D1990" s="15" t="s">
        <v>6</v>
      </c>
      <c r="E1990" s="64">
        <v>82</v>
      </c>
      <c r="F1990" s="104" t="s">
        <v>119</v>
      </c>
      <c r="G1990" s="4"/>
      <c r="H1990" s="4"/>
      <c r="I1990" s="4"/>
    </row>
    <row r="1991" spans="1:9" ht="15">
      <c r="A1991" s="21">
        <f t="shared" si="35"/>
        <v>498</v>
      </c>
      <c r="B1991" s="66" t="s">
        <v>2726</v>
      </c>
      <c r="C1991" s="85" t="str">
        <f ca="1">IFERROR(__xludf.DUMMYFUNCTION("GOOGLETRANSLATE(B1991:B2006,""RU"",""UK"")"),"Різець-заготівля Р6М5 12х12х180 шліф")</f>
        <v>Різець-заготівля Р6М5 12х12х180 шліф</v>
      </c>
      <c r="D1991" s="15" t="s">
        <v>6</v>
      </c>
      <c r="E1991" s="64">
        <v>0</v>
      </c>
      <c r="F1991" s="104" t="s">
        <v>327</v>
      </c>
      <c r="G1991" s="4"/>
      <c r="H1991" s="4"/>
      <c r="I1991" s="4"/>
    </row>
    <row r="1992" spans="1:9" ht="15">
      <c r="A1992" s="21">
        <f t="shared" si="35"/>
        <v>499</v>
      </c>
      <c r="B1992" s="53" t="s">
        <v>2727</v>
      </c>
      <c r="C1992" s="85" t="str">
        <f ca="1">IFERROR(__xludf.DUMMYFUNCTION("GOOGLETRANSLATE(B1992:B2007,""RU"",""UK"")"),"Різець-заготівля Р6М5 14х14х95")</f>
        <v>Різець-заготівля Р6М5 14х14х95</v>
      </c>
      <c r="D1992" s="15" t="s">
        <v>6</v>
      </c>
      <c r="E1992" s="64">
        <v>196</v>
      </c>
      <c r="F1992" s="104" t="s">
        <v>319</v>
      </c>
      <c r="G1992" s="4"/>
      <c r="H1992" s="4"/>
      <c r="I1992" s="4"/>
    </row>
    <row r="1993" spans="1:9" ht="15">
      <c r="A1993" s="21">
        <f t="shared" si="35"/>
        <v>500</v>
      </c>
      <c r="B1993" s="53" t="s">
        <v>2728</v>
      </c>
      <c r="C1993" s="85" t="str">
        <f ca="1">IFERROR(__xludf.DUMMYFUNCTION("GOOGLETRANSLATE(B1993:B2008,""RU"",""UK"")"),"Різець-заготівля Р6М5 21х9х130")</f>
        <v>Різець-заготівля Р6М5 21х9х130</v>
      </c>
      <c r="D1993" s="15" t="s">
        <v>6</v>
      </c>
      <c r="E1993" s="64">
        <v>1</v>
      </c>
      <c r="F1993" s="104" t="s">
        <v>20</v>
      </c>
      <c r="G1993" s="4"/>
      <c r="H1993" s="4"/>
      <c r="I1993" s="4"/>
    </row>
    <row r="1994" spans="1:9" ht="15">
      <c r="A1994" s="21">
        <f t="shared" si="35"/>
        <v>501</v>
      </c>
      <c r="B1994" s="53" t="s">
        <v>2729</v>
      </c>
      <c r="C1994" s="85" t="str">
        <f ca="1">IFERROR(__xludf.DUMMYFUNCTION("GOOGLETRANSLATE(B1994:B2009,""RU"",""UK"")"),"Різець-заготівля Р6М5 18х18х150 шліф")</f>
        <v>Різець-заготівля Р6М5 18х18х150 шліф</v>
      </c>
      <c r="D1994" s="15" t="s">
        <v>6</v>
      </c>
      <c r="E1994" s="64">
        <v>8</v>
      </c>
      <c r="F1994" s="104" t="s">
        <v>20</v>
      </c>
      <c r="G1994" s="4"/>
      <c r="H1994" s="4"/>
      <c r="I1994" s="4"/>
    </row>
    <row r="1995" spans="1:9" ht="15">
      <c r="A1995" s="21">
        <f t="shared" si="35"/>
        <v>502</v>
      </c>
      <c r="B1995" s="53" t="s">
        <v>2730</v>
      </c>
      <c r="C1995" s="85" t="str">
        <f ca="1">IFERROR(__xludf.DUMMYFUNCTION("GOOGLETRANSLATE(B1995:B2010,""RU"",""UK"")"),"Різець-заготівля Р6М5 20х20х120/23х5х125ласт хв")</f>
        <v>Різець-заготівля Р6М5 20х20х120/23х5х125ласт хв</v>
      </c>
      <c r="D1995" s="15" t="s">
        <v>6</v>
      </c>
      <c r="E1995" s="64" t="s">
        <v>793</v>
      </c>
      <c r="F1995" s="104" t="s">
        <v>24</v>
      </c>
      <c r="G1995" s="4"/>
      <c r="H1995" s="4"/>
      <c r="I1995" s="4"/>
    </row>
    <row r="1996" spans="1:9" ht="15">
      <c r="A1996" s="21">
        <f t="shared" si="35"/>
        <v>503</v>
      </c>
      <c r="B1996" s="53" t="s">
        <v>2731</v>
      </c>
      <c r="C1996" s="85" t="str">
        <f ca="1">IFERROR(__xludf.DUMMYFUNCTION("GOOGLETRANSLATE(B1996:B2011,""RU"",""UK"")"),"Різець довбіжний кут 90* Р6М5 16х16х150")</f>
        <v>Різець довбіжний кут 90* Р6М5 16х16х150</v>
      </c>
      <c r="D1996" s="15" t="s">
        <v>6</v>
      </c>
      <c r="E1996" s="64">
        <v>11</v>
      </c>
      <c r="F1996" s="104" t="s">
        <v>24</v>
      </c>
      <c r="G1996" s="4"/>
      <c r="H1996" s="4"/>
      <c r="I1996" s="4"/>
    </row>
    <row r="1997" spans="1:9" ht="15">
      <c r="A1997" s="21">
        <f t="shared" si="35"/>
        <v>504</v>
      </c>
      <c r="B1997" s="53" t="s">
        <v>2732</v>
      </c>
      <c r="C1997" s="85" t="str">
        <f ca="1">IFERROR(__xludf.DUMMYFUNCTION("GOOGLETRANSLATE(B1997:B2012,""RU"",""UK"")"),"Різець фасонний Р6М5 16х16х120")</f>
        <v>Різець фасонний Р6М5 16х16х120</v>
      </c>
      <c r="D1997" s="15" t="s">
        <v>6</v>
      </c>
      <c r="E1997" s="64">
        <v>13</v>
      </c>
      <c r="F1997" s="104" t="s">
        <v>140</v>
      </c>
      <c r="G1997" s="4"/>
      <c r="H1997" s="4"/>
      <c r="I1997" s="4"/>
    </row>
    <row r="1998" spans="1:9" ht="15">
      <c r="A1998" s="21">
        <f t="shared" si="35"/>
        <v>505</v>
      </c>
      <c r="B1998" s="53" t="s">
        <v>2733</v>
      </c>
      <c r="C1998" s="85" t="str">
        <f ca="1">IFERROR(__xludf.DUMMYFUNCTION("GOOGLETRANSLATE(B1998:B2013,""RU"",""UK"")"),"Накатка 1-но роликова б/у")</f>
        <v>Накатка 1-но роликова б/у</v>
      </c>
      <c r="D1998" s="15" t="s">
        <v>6</v>
      </c>
      <c r="E1998" s="64">
        <v>1</v>
      </c>
      <c r="F1998" s="104" t="s">
        <v>140</v>
      </c>
      <c r="G1998" s="4"/>
      <c r="H1998" s="4"/>
      <c r="I1998" s="4"/>
    </row>
    <row r="1999" spans="1:9" ht="15">
      <c r="A1999" s="21">
        <f t="shared" si="35"/>
        <v>506</v>
      </c>
      <c r="B1999" s="53" t="s">
        <v>2734</v>
      </c>
      <c r="C1999" s="85" t="str">
        <f ca="1">IFERROR(__xludf.DUMMYFUNCTION("GOOGLETRANSLATE(B1999:B2014,""RU"",""UK"")"),"Накатка 2-х роликова б/у")</f>
        <v>Накатка 2-х роликова б/у</v>
      </c>
      <c r="D1999" s="15" t="s">
        <v>6</v>
      </c>
      <c r="E1999" s="64">
        <v>2</v>
      </c>
      <c r="F1999" s="104" t="s">
        <v>20</v>
      </c>
      <c r="G1999" s="4"/>
      <c r="H1999" s="4"/>
      <c r="I1999" s="4"/>
    </row>
    <row r="2000" spans="1:9" ht="15">
      <c r="A2000" s="21">
        <f t="shared" si="35"/>
        <v>507</v>
      </c>
      <c r="B2000" s="53" t="s">
        <v>2735</v>
      </c>
      <c r="C2000" s="85" t="str">
        <f ca="1">IFERROR(__xludf.DUMMYFUNCTION("GOOGLETRANSLATE(B2000:B2015,""RU"",""UK"")"),"Ролик накатний прямий d24х9х9мм")</f>
        <v>Ролик накатний прямий d24х9х9мм</v>
      </c>
      <c r="D2000" s="15" t="s">
        <v>6</v>
      </c>
      <c r="E2000" s="64">
        <v>2</v>
      </c>
      <c r="F2000" s="104" t="s">
        <v>304</v>
      </c>
      <c r="G2000" s="4"/>
      <c r="H2000" s="4"/>
      <c r="I2000" s="4"/>
    </row>
    <row r="2001" spans="1:9" ht="15">
      <c r="A2001" s="21">
        <f t="shared" si="35"/>
        <v>508</v>
      </c>
      <c r="B2001" s="53" t="s">
        <v>2736</v>
      </c>
      <c r="C2001" s="85" t="str">
        <f ca="1">IFERROR(__xludf.DUMMYFUNCTION("GOOGLETRANSLATE(B2001:B2016,""RU"",""UK"")"),"Ролик накатною косою d27х14хd14мм / прямий d27х14хd14мм")</f>
        <v>Ролик накатною косою d27х14хd14мм / прямий d27х14хd14мм</v>
      </c>
      <c r="D2001" s="15" t="s">
        <v>6</v>
      </c>
      <c r="E2001" s="64" t="s">
        <v>793</v>
      </c>
      <c r="F2001" s="104" t="s">
        <v>209</v>
      </c>
      <c r="G2001" s="4"/>
      <c r="H2001" s="4"/>
      <c r="I2001" s="4"/>
    </row>
    <row r="2002" spans="1:9" ht="15">
      <c r="A2002" s="21">
        <f t="shared" si="35"/>
        <v>509</v>
      </c>
      <c r="B2002" s="53" t="s">
        <v>2737</v>
      </c>
      <c r="C2002" s="85" t="str">
        <f ca="1">IFERROR(__xludf.DUMMYFUNCTION("GOOGLETRANSLATE(B2002:B2017,""RU"",""UK"")"),"Ролик накатний сітчастий d28х14хd14мм/d30х10х10мм")</f>
        <v>Ролик накатний сітчастий d28х14хd14мм/d30х10х10мм</v>
      </c>
      <c r="D2002" s="15" t="s">
        <v>6</v>
      </c>
      <c r="E2002" s="64" t="s">
        <v>2361</v>
      </c>
      <c r="F2002" s="104" t="s">
        <v>2738</v>
      </c>
      <c r="G2002" s="4"/>
      <c r="H2002" s="4"/>
      <c r="I2002" s="4"/>
    </row>
    <row r="2003" spans="1:9" ht="15">
      <c r="A2003" s="21">
        <f t="shared" si="35"/>
        <v>510</v>
      </c>
      <c r="B2003" s="53" t="s">
        <v>2739</v>
      </c>
      <c r="C2003" s="85" t="str">
        <f ca="1">IFERROR(__xludf.DUMMYFUNCTION("GOOGLETRANSLATE(B2003:B2018,""RU"",""UK"")"),"Ролик накатною косою d30х15хd14мм")</f>
        <v>Ролик накатною косою d30х15хd14мм</v>
      </c>
      <c r="D2003" s="15" t="s">
        <v>6</v>
      </c>
      <c r="E2003" s="64">
        <v>2</v>
      </c>
      <c r="F2003" s="104" t="s">
        <v>2738</v>
      </c>
      <c r="G2003" s="4"/>
      <c r="H2003" s="4"/>
      <c r="I2003" s="4"/>
    </row>
    <row r="2004" spans="1:9" ht="15">
      <c r="A2004" s="21">
        <f t="shared" si="35"/>
        <v>511</v>
      </c>
      <c r="B2004" s="53" t="s">
        <v>2740</v>
      </c>
      <c r="C2004" s="85" t="str">
        <f ca="1">IFERROR(__xludf.DUMMYFUNCTION("GOOGLETRANSLATE(B2004:B2019,""RU"",""UK"")"),"Ролик накатний прямий d32х8х10мм / d34х14хd12мм / d45-50х13хd12мм")</f>
        <v>Ролик накатний прямий d32х8х10мм / d34х14хd12мм / d45-50х13хd12мм</v>
      </c>
      <c r="D2004" s="15" t="s">
        <v>6</v>
      </c>
      <c r="E2004" s="64" t="s">
        <v>2741</v>
      </c>
      <c r="F2004" s="104" t="s">
        <v>2738</v>
      </c>
      <c r="G2004" s="4"/>
      <c r="H2004" s="4"/>
      <c r="I2004" s="4"/>
    </row>
    <row r="2005" spans="1:9" ht="15">
      <c r="A2005" s="21">
        <f t="shared" si="35"/>
        <v>512</v>
      </c>
      <c r="B2005" s="53" t="s">
        <v>2742</v>
      </c>
      <c r="C2005" s="85" t="str">
        <f ca="1">IFERROR(__xludf.DUMMYFUNCTION("GOOGLETRANSLATE(B2005:B2020,""RU"",""UK"")"),"Ролик накатною косою d32х6х10мм / косою d32х8х10мм / d32х14хd14мм")</f>
        <v>Ролик накатною косою d32х6х10мм / косою d32х8х10мм / d32х14хd14мм</v>
      </c>
      <c r="D2005" s="15" t="s">
        <v>6</v>
      </c>
      <c r="E2005" s="64" t="s">
        <v>2743</v>
      </c>
      <c r="F2005" s="104" t="s">
        <v>2738</v>
      </c>
      <c r="G2005" s="4"/>
      <c r="H2005" s="4"/>
      <c r="I2005" s="4"/>
    </row>
    <row r="2006" spans="1:9" ht="15">
      <c r="A2006" s="67"/>
      <c r="B2006" s="29" t="s">
        <v>2744</v>
      </c>
      <c r="C2006" s="130" t="str">
        <f ca="1">IFERROR(__xludf.DUMMYFUNCTION("GOOGLETRANSLATE(B2006:B2021,""RU"",""UK"")"),"17. Р І З Ц І  Т О К А Р Н І З МЕХАНІЧНИМ КРІПЛЕННЯМ")</f>
        <v>17. Р І З Ц І  Т О К А Р Н І З МЕХАНІЧНИМ КРІПЛЕННЯМ</v>
      </c>
      <c r="D2006" s="29"/>
      <c r="E2006" s="29"/>
      <c r="F2006" s="100"/>
      <c r="G2006" s="4"/>
      <c r="H2006" s="4"/>
      <c r="I2006" s="4"/>
    </row>
    <row r="2007" spans="1:9" ht="15">
      <c r="A2007" s="52">
        <v>1</v>
      </c>
      <c r="B2007" s="124" t="s">
        <v>2745</v>
      </c>
      <c r="C2007" s="132" t="str">
        <f ca="1">IFERROR(__xludf.DUMMYFUNCTION("GOOGLETRANSLATE(B2007:B2022,""RU"",""UK"")"),"Різець токарний різьбовий з хутро. кріп. ВК8 25х16х150")</f>
        <v>Різець токарний різьбовий з хутро. кріп. ВК8 25х16х150</v>
      </c>
      <c r="D2007" s="15" t="s">
        <v>6</v>
      </c>
      <c r="E2007" s="15">
        <v>5</v>
      </c>
      <c r="F2007" s="91" t="s">
        <v>20</v>
      </c>
      <c r="G2007" s="4"/>
      <c r="H2007" s="4"/>
      <c r="I2007" s="4"/>
    </row>
    <row r="2008" spans="1:9" ht="15">
      <c r="A2008" s="52">
        <f>A2007+1</f>
        <v>2</v>
      </c>
      <c r="B2008" s="124" t="s">
        <v>2746</v>
      </c>
      <c r="C2008" s="132" t="str">
        <f ca="1">IFERROR(__xludf.DUMMYFUNCTION("GOOGLETRANSLATE(B2008:B2023,""RU"",""UK"")"),"Різець токарний різьбовий з хутро. кріп. ВК8 25х25х160")</f>
        <v>Різець токарний різьбовий з хутро. кріп. ВК8 25х25х160</v>
      </c>
      <c r="D2008" s="15" t="s">
        <v>6</v>
      </c>
      <c r="E2008" s="15">
        <v>49</v>
      </c>
      <c r="F2008" s="91" t="s">
        <v>16</v>
      </c>
      <c r="G2008" s="4"/>
      <c r="H2008" s="4"/>
      <c r="I2008" s="4"/>
    </row>
    <row r="2009" spans="1:9" ht="15">
      <c r="A2009" s="63">
        <f t="shared" ref="A2009:A2061" si="36">A2008+1</f>
        <v>3</v>
      </c>
      <c r="B2009" s="124" t="s">
        <v>2747</v>
      </c>
      <c r="C2009" s="132" t="str">
        <f ca="1">IFERROR(__xludf.DUMMYFUNCTION("GOOGLETRANSLATE(B2009:B2024,""RU"",""UK"")"),"Різець токарний різьбовий внутр. з хутра. кріп. 23х25х150")</f>
        <v>Різець токарний різьбовий внутр. з хутра. кріп. 23х25х150</v>
      </c>
      <c r="D2009" s="15" t="s">
        <v>6</v>
      </c>
      <c r="E2009" s="15">
        <v>1</v>
      </c>
      <c r="F2009" s="91" t="s">
        <v>24</v>
      </c>
      <c r="G2009" s="4"/>
      <c r="H2009" s="4"/>
      <c r="I2009" s="4"/>
    </row>
    <row r="2010" spans="1:9" ht="15">
      <c r="A2010" s="63">
        <f t="shared" si="36"/>
        <v>4</v>
      </c>
      <c r="B2010" s="124" t="s">
        <v>2748</v>
      </c>
      <c r="C2010" s="132" t="str">
        <f ca="1">IFERROR(__xludf.DUMMYFUNCTION("GOOGLETRANSLATE(B2010:B2025,""RU"",""UK"")"),"Різець токарний різьбовий внутр. з хутра. кріп. 32х32х170")</f>
        <v>Різець токарний різьбовий внутр. з хутра. кріп. 32х32х170</v>
      </c>
      <c r="D2010" s="15" t="s">
        <v>6</v>
      </c>
      <c r="E2010" s="15">
        <v>2</v>
      </c>
      <c r="F2010" s="91" t="s">
        <v>162</v>
      </c>
      <c r="G2010" s="4"/>
      <c r="H2010" s="4"/>
      <c r="I2010" s="4"/>
    </row>
    <row r="2011" spans="1:9" ht="15">
      <c r="A2011" s="63">
        <f t="shared" si="36"/>
        <v>5</v>
      </c>
      <c r="B2011" s="125" t="s">
        <v>2749</v>
      </c>
      <c r="C2011" s="132" t="str">
        <f ca="1">IFERROR(__xludf.DUMMYFUNCTION("GOOGLETRANSLATE(B2011:B2026,""RU"",""UK"")"),"Різець токарний відрізний з хутро. кріп. 25х20х150 (+20пластин)")</f>
        <v>Різець токарний відрізний з хутро. кріп. 25х20х150 (+20пластин)</v>
      </c>
      <c r="D2011" s="15" t="s">
        <v>6</v>
      </c>
      <c r="E2011" s="15">
        <v>0</v>
      </c>
      <c r="F2011" s="91" t="s">
        <v>102</v>
      </c>
      <c r="G2011" s="4"/>
      <c r="H2011" s="4"/>
      <c r="I2011" s="4"/>
    </row>
    <row r="2012" spans="1:9" ht="15">
      <c r="A2012" s="63">
        <f t="shared" si="36"/>
        <v>6</v>
      </c>
      <c r="B2012" s="124" t="s">
        <v>2750</v>
      </c>
      <c r="C2012" s="132" t="str">
        <f ca="1">IFERROR(__xludf.DUMMYFUNCTION("GOOGLETRANSLATE(B2012:B2027,""RU"",""UK"")"),"Різець токарний прохідний з хутро. кріп. 5гр. 20х20х120")</f>
        <v>Різець токарний прохідний з хутро. кріп. 5гр. 20х20х120</v>
      </c>
      <c r="D2012" s="15" t="s">
        <v>6</v>
      </c>
      <c r="E2012" s="15">
        <v>1</v>
      </c>
      <c r="F2012" s="91" t="s">
        <v>119</v>
      </c>
      <c r="G2012" s="4"/>
      <c r="H2012" s="4"/>
      <c r="I2012" s="4"/>
    </row>
    <row r="2013" spans="1:9" ht="15">
      <c r="A2013" s="63">
        <f t="shared" si="36"/>
        <v>7</v>
      </c>
      <c r="B2013" s="124" t="s">
        <v>2751</v>
      </c>
      <c r="C2013" s="132" t="str">
        <f ca="1">IFERROR(__xludf.DUMMYFUNCTION("GOOGLETRANSLATE(B2013:B2028,""RU"",""UK"")"),"Різець токарний прохідний з хутро. кріп. 5гр. 25х20х120/25х20х140")</f>
        <v>Різець токарний прохідний з хутро. кріп. 5гр. 25х20х120/25х20х140</v>
      </c>
      <c r="D2013" s="15" t="s">
        <v>6</v>
      </c>
      <c r="E2013" s="15" t="s">
        <v>2023</v>
      </c>
      <c r="F2013" s="91" t="s">
        <v>515</v>
      </c>
      <c r="G2013" s="4"/>
      <c r="H2013" s="4"/>
      <c r="I2013" s="4"/>
    </row>
    <row r="2014" spans="1:9" ht="15">
      <c r="A2014" s="63">
        <f t="shared" si="36"/>
        <v>8</v>
      </c>
      <c r="B2014" s="126" t="s">
        <v>2752</v>
      </c>
      <c r="C2014" s="132" t="str">
        <f ca="1">IFERROR(__xludf.DUMMYFUNCTION("GOOGLETRANSLATE(B2014:B2029,""RU"",""UK"")"),"Різець токарний прохідний з хутро. кріп. 5гр. 25х25х140")</f>
        <v>Різець токарний прохідний з хутро. кріп. 5гр. 25х25х140</v>
      </c>
      <c r="D2014" s="15" t="s">
        <v>6</v>
      </c>
      <c r="E2014" s="15">
        <v>10</v>
      </c>
      <c r="F2014" s="91" t="s">
        <v>220</v>
      </c>
      <c r="G2014" s="4"/>
      <c r="H2014" s="4"/>
      <c r="I2014" s="4"/>
    </row>
    <row r="2015" spans="1:9" ht="15">
      <c r="A2015" s="63">
        <f t="shared" si="36"/>
        <v>9</v>
      </c>
      <c r="B2015" s="124" t="s">
        <v>2753</v>
      </c>
      <c r="C2015" s="132" t="str">
        <f ca="1">IFERROR(__xludf.DUMMYFUNCTION("GOOGLETRANSLATE(B2015:B2030,""RU"",""UK"")"),"Різець токарний прохідний з хутро. кріп. 5гр. 32х20х140/40х20х200")</f>
        <v>Різець токарний прохідний з хутро. кріп. 5гр. 32х20х140/40х20х200</v>
      </c>
      <c r="D2015" s="15" t="s">
        <v>6</v>
      </c>
      <c r="E2015" s="15" t="s">
        <v>793</v>
      </c>
      <c r="F2015" s="91" t="s">
        <v>327</v>
      </c>
      <c r="G2015" s="4"/>
      <c r="H2015" s="4"/>
      <c r="I2015" s="4"/>
    </row>
    <row r="2016" spans="1:9" ht="15">
      <c r="A2016" s="63">
        <f t="shared" si="36"/>
        <v>10</v>
      </c>
      <c r="B2016" s="127" t="s">
        <v>2754</v>
      </c>
      <c r="C2016" s="132" t="str">
        <f ca="1">IFERROR(__xludf.DUMMYFUNCTION("GOOGLETRANSLATE(B2016:B2031,""RU"",""UK"")"),"Різець токарний прохідний прямий. з хутра. кріп. 4гр. 20х16х120")</f>
        <v>Різець токарний прохідний прямий. з хутра. кріп. 4гр. 20х16х120</v>
      </c>
      <c r="D2016" s="15" t="s">
        <v>6</v>
      </c>
      <c r="E2016" s="15">
        <v>3</v>
      </c>
      <c r="F2016" s="91" t="s">
        <v>327</v>
      </c>
      <c r="G2016" s="4"/>
      <c r="H2016" s="4"/>
      <c r="I2016" s="4"/>
    </row>
    <row r="2017" spans="1:9" ht="15">
      <c r="A2017" s="63">
        <f t="shared" si="36"/>
        <v>11</v>
      </c>
      <c r="B2017" s="127" t="s">
        <v>2755</v>
      </c>
      <c r="C2017" s="132" t="str">
        <f ca="1">IFERROR(__xludf.DUMMYFUNCTION("GOOGLETRANSLATE(B2017:B2032,""RU"",""UK"")"),"Різець токарний прохідний прямий. з хутра. кріп. 4гр. 25х16х140 (+10 пластин)")</f>
        <v>Різець токарний прохідний прямий. з хутра. кріп. 4гр. 25х16х140 (+10 пластин)</v>
      </c>
      <c r="D2017" s="15" t="s">
        <v>378</v>
      </c>
      <c r="E2017" s="15">
        <v>5</v>
      </c>
      <c r="F2017" s="91" t="s">
        <v>140</v>
      </c>
      <c r="G2017" s="4"/>
      <c r="H2017" s="4"/>
      <c r="I2017" s="4"/>
    </row>
    <row r="2018" spans="1:9" ht="15">
      <c r="A2018" s="63">
        <f t="shared" si="36"/>
        <v>12</v>
      </c>
      <c r="B2018" s="124" t="s">
        <v>2756</v>
      </c>
      <c r="C2018" s="132" t="str">
        <f ca="1">IFERROR(__xludf.DUMMYFUNCTION("GOOGLETRANSLATE(B2018:B2033,""RU"",""UK"")"),"Різець токарний прохідний з хутро. кріп. 4гр. 25х20х120/25х20х140")</f>
        <v>Різець токарний прохідний з хутро. кріп. 4гр. 25х20х120/25х20х140</v>
      </c>
      <c r="D2018" s="15" t="s">
        <v>6</v>
      </c>
      <c r="E2018" s="15" t="s">
        <v>2757</v>
      </c>
      <c r="F2018" s="91" t="s">
        <v>128</v>
      </c>
      <c r="G2018" s="4"/>
      <c r="H2018" s="4"/>
      <c r="I2018" s="4"/>
    </row>
    <row r="2019" spans="1:9" ht="15">
      <c r="A2019" s="63">
        <f t="shared" si="36"/>
        <v>13</v>
      </c>
      <c r="B2019" s="124" t="s">
        <v>2758</v>
      </c>
      <c r="C2019" s="132" t="str">
        <f ca="1">IFERROR(__xludf.DUMMYFUNCTION("GOOGLETRANSLATE(B2019:B2034,""RU"",""UK"")"),"Різець токарний прохідний з хутро. кріп. 4гр. 25х20х150/25х25х150")</f>
        <v>Різець токарний прохідний з хутро. кріп. 4гр. 25х20х150/25х25х150</v>
      </c>
      <c r="D2019" s="15" t="s">
        <v>6</v>
      </c>
      <c r="E2019" s="15" t="s">
        <v>2759</v>
      </c>
      <c r="F2019" s="91" t="s">
        <v>128</v>
      </c>
      <c r="G2019" s="4"/>
      <c r="H2019" s="4"/>
      <c r="I2019" s="4"/>
    </row>
    <row r="2020" spans="1:9" ht="15">
      <c r="A2020" s="63">
        <f t="shared" si="36"/>
        <v>14</v>
      </c>
      <c r="B2020" s="126" t="s">
        <v>2760</v>
      </c>
      <c r="C2020" s="132" t="str">
        <f ca="1">IFERROR(__xludf.DUMMYFUNCTION("GOOGLETRANSLATE(B2020:B2035,""RU"",""UK"")"),"Різець токарний прохідний з хутро. кріп. 4гр. 25х25х160")</f>
        <v>Різець токарний прохідний з хутро. кріп. 4гр. 25х25х160</v>
      </c>
      <c r="D2020" s="15" t="s">
        <v>6</v>
      </c>
      <c r="E2020" s="15">
        <v>55</v>
      </c>
      <c r="F2020" s="91" t="s">
        <v>128</v>
      </c>
      <c r="G2020" s="4"/>
      <c r="H2020" s="4"/>
      <c r="I2020" s="4"/>
    </row>
    <row r="2021" spans="1:9" ht="15">
      <c r="A2021" s="63">
        <f t="shared" si="36"/>
        <v>15</v>
      </c>
      <c r="B2021" s="126" t="s">
        <v>2761</v>
      </c>
      <c r="C2021" s="132" t="str">
        <f ca="1">IFERROR(__xludf.DUMMYFUNCTION("GOOGLETRANSLATE(B2021:B2036,""RU"",""UK"")"),"Різець токарний прохідний з хутро. кріп. 4гр. 32х25х170")</f>
        <v>Різець токарний прохідний з хутро. кріп. 4гр. 32х25х170</v>
      </c>
      <c r="D2021" s="15" t="s">
        <v>6</v>
      </c>
      <c r="E2021" s="15">
        <v>3</v>
      </c>
      <c r="F2021" s="91" t="s">
        <v>553</v>
      </c>
      <c r="G2021" s="4"/>
      <c r="H2021" s="4"/>
      <c r="I2021" s="4"/>
    </row>
    <row r="2022" spans="1:9" ht="15">
      <c r="A2022" s="63">
        <f t="shared" si="36"/>
        <v>16</v>
      </c>
      <c r="B2022" s="124" t="s">
        <v>2762</v>
      </c>
      <c r="C2022" s="132" t="str">
        <f ca="1">IFERROR(__xludf.DUMMYFUNCTION("GOOGLETRANSLATE(B2022:B2037,""RU"",""UK"")"),"Різець токарний прохідний з хутро. кріп. 3гр. 20х16х120/25х16х140")</f>
        <v>Різець токарний прохідний з хутро. кріп. 3гр. 20х16х120/25х16х140</v>
      </c>
      <c r="D2022" s="15" t="s">
        <v>6</v>
      </c>
      <c r="E2022" s="15" t="s">
        <v>2763</v>
      </c>
      <c r="F2022" s="91" t="s">
        <v>327</v>
      </c>
      <c r="G2022" s="4"/>
      <c r="H2022" s="4"/>
      <c r="I2022" s="4"/>
    </row>
    <row r="2023" spans="1:9" ht="15">
      <c r="A2023" s="63">
        <f t="shared" si="36"/>
        <v>17</v>
      </c>
      <c r="B2023" s="124" t="s">
        <v>2764</v>
      </c>
      <c r="C2023" s="132" t="str">
        <f ca="1">IFERROR(__xludf.DUMMYFUNCTION("GOOGLETRANSLATE(B2023:B2038,""RU"",""UK"")"),"Різець токарний прохідний з хутро. кріп. 3гр. ломан. Пріж. 20х20х125")</f>
        <v>Різець токарний прохідний з хутро. кріп. 3гр. ломан. Пріж. 20х20х125</v>
      </c>
      <c r="D2023" s="15" t="s">
        <v>6</v>
      </c>
      <c r="E2023" s="15">
        <v>1</v>
      </c>
      <c r="F2023" s="91" t="s">
        <v>413</v>
      </c>
      <c r="G2023" s="4"/>
      <c r="H2023" s="4"/>
      <c r="I2023" s="4"/>
    </row>
    <row r="2024" spans="1:9" ht="15">
      <c r="A2024" s="63">
        <f t="shared" si="36"/>
        <v>18</v>
      </c>
      <c r="B2024" s="125" t="s">
        <v>2765</v>
      </c>
      <c r="C2024" s="132" t="str">
        <f ca="1">IFERROR(__xludf.DUMMYFUNCTION("GOOGLETRANSLATE(B2024:B2039,""RU"",""UK"")"),"Різець токарний прохідний з хутро. кріп. 3гр. 25х20х120")</f>
        <v>Різець токарний прохідний з хутро. кріп. 3гр. 25х20х120</v>
      </c>
      <c r="D2024" s="26" t="s">
        <v>6</v>
      </c>
      <c r="E2024" s="26">
        <v>14</v>
      </c>
      <c r="F2024" s="105" t="s">
        <v>20</v>
      </c>
      <c r="G2024" s="4"/>
      <c r="H2024" s="4"/>
      <c r="I2024" s="4"/>
    </row>
    <row r="2025" spans="1:9" ht="15">
      <c r="A2025" s="63">
        <f t="shared" si="36"/>
        <v>19</v>
      </c>
      <c r="B2025" s="124" t="s">
        <v>2766</v>
      </c>
      <c r="C2025" s="132" t="str">
        <f ca="1">IFERROR(__xludf.DUMMYFUNCTION("GOOGLETRANSLATE(B2025:B2040,""RU"",""UK"")"),"Різець токарний прохідний з хутро. кріп. 3гр. ломан. приж. 25х25х160")</f>
        <v>Різець токарний прохідний з хутро. кріп. 3гр. ломан. приж. 25х25х160</v>
      </c>
      <c r="D2025" s="15" t="s">
        <v>6</v>
      </c>
      <c r="E2025" s="15">
        <v>2</v>
      </c>
      <c r="F2025" s="91" t="s">
        <v>36</v>
      </c>
      <c r="G2025" s="4"/>
      <c r="H2025" s="4"/>
      <c r="I2025" s="4"/>
    </row>
    <row r="2026" spans="1:9" ht="15">
      <c r="A2026" s="63">
        <f t="shared" si="36"/>
        <v>20</v>
      </c>
      <c r="B2026" s="128" t="s">
        <v>2767</v>
      </c>
      <c r="C2026" s="132" t="str">
        <f ca="1">IFERROR(__xludf.DUMMYFUNCTION("GOOGLETRANSLATE(B2026:B2041,""RU"",""UK"")"),"Різець токарний прохідний з хутро. кріп. 3гр. ломан. пор. клин. 25х25х160 Т5К10")</f>
        <v>Різець токарний прохідний з хутро. кріп. 3гр. ломан. пор. клин. 25х25х160 Т5К10</v>
      </c>
      <c r="D2026" s="15" t="s">
        <v>6</v>
      </c>
      <c r="E2026" s="15">
        <v>17</v>
      </c>
      <c r="F2026" s="91" t="s">
        <v>272</v>
      </c>
      <c r="G2026" s="4"/>
      <c r="H2026" s="4"/>
      <c r="I2026" s="4"/>
    </row>
    <row r="2027" spans="1:9" ht="15">
      <c r="A2027" s="63">
        <f t="shared" si="36"/>
        <v>21</v>
      </c>
      <c r="B2027" s="124" t="s">
        <v>2768</v>
      </c>
      <c r="C2027" s="132" t="str">
        <f ca="1">IFERROR(__xludf.DUMMYFUNCTION("GOOGLETRANSLATE(B2027:B2042,""RU"",""UK"")"),"Різець токарний прохідний з хутро. кріп. 3гр. ломан. приж. 25х25х160лев")</f>
        <v>Різець токарний прохідний з хутро. кріп. 3гр. ломан. приж. 25х25х160лев</v>
      </c>
      <c r="D2027" s="15" t="s">
        <v>6</v>
      </c>
      <c r="E2027" s="15">
        <v>1</v>
      </c>
      <c r="F2027" s="91" t="s">
        <v>36</v>
      </c>
      <c r="G2027" s="4"/>
      <c r="H2027" s="4"/>
      <c r="I2027" s="4"/>
    </row>
    <row r="2028" spans="1:9" ht="15">
      <c r="A2028" s="63">
        <f t="shared" si="36"/>
        <v>22</v>
      </c>
      <c r="B2028" s="124" t="s">
        <v>2769</v>
      </c>
      <c r="C2028" s="132" t="str">
        <f ca="1">IFERROR(__xludf.DUMMYFUNCTION("GOOGLETRANSLATE(B2028:B2043,""RU"",""UK"")"),"Різець токарний прохідний з хутро. кріп. 3гр. 28х20х140лев.")</f>
        <v>Різець токарний прохідний з хутро. кріп. 3гр. 28х20х140лев.</v>
      </c>
      <c r="D2028" s="15" t="s">
        <v>6</v>
      </c>
      <c r="E2028" s="15">
        <v>1</v>
      </c>
      <c r="F2028" s="91" t="s">
        <v>24</v>
      </c>
      <c r="G2028" s="4"/>
      <c r="H2028" s="4"/>
      <c r="I2028" s="4"/>
    </row>
    <row r="2029" spans="1:9" ht="15">
      <c r="A2029" s="63">
        <f t="shared" si="36"/>
        <v>23</v>
      </c>
      <c r="B2029" s="124" t="s">
        <v>2770</v>
      </c>
      <c r="C2029" s="132" t="str">
        <f ca="1">IFERROR(__xludf.DUMMYFUNCTION("GOOGLETRANSLATE(B2029:B2044,""RU"",""UK"")"),"Різець токарний прохідний з хутро. кріп. 3гр. прямий 32х20х120")</f>
        <v>Різець токарний прохідний з хутро. кріп. 3гр. прямий 32х20х120</v>
      </c>
      <c r="D2029" s="15" t="s">
        <v>6</v>
      </c>
      <c r="E2029" s="15">
        <v>5</v>
      </c>
      <c r="F2029" s="91" t="s">
        <v>140</v>
      </c>
      <c r="G2029" s="4"/>
      <c r="H2029" s="4"/>
      <c r="I2029" s="4"/>
    </row>
    <row r="2030" spans="1:9" ht="15">
      <c r="A2030" s="63">
        <f t="shared" si="36"/>
        <v>24</v>
      </c>
      <c r="B2030" s="124" t="s">
        <v>2771</v>
      </c>
      <c r="C2030" s="132" t="str">
        <f ca="1">IFERROR(__xludf.DUMMYFUNCTION("GOOGLETRANSLATE(B2030:B2045,""RU"",""UK"")"),"Різець токарний прохідний з хутро. кріп. 3гр. прямий 32х25х160")</f>
        <v>Різець токарний прохідний з хутро. кріп. 3гр. прямий 32х25х160</v>
      </c>
      <c r="D2030" s="15" t="s">
        <v>6</v>
      </c>
      <c r="E2030" s="15">
        <v>3</v>
      </c>
      <c r="F2030" s="91" t="s">
        <v>140</v>
      </c>
      <c r="G2030" s="4"/>
      <c r="H2030" s="4"/>
      <c r="I2030" s="4"/>
    </row>
    <row r="2031" spans="1:9" ht="15">
      <c r="A2031" s="63">
        <f t="shared" si="36"/>
        <v>25</v>
      </c>
      <c r="B2031" s="124" t="s">
        <v>2772</v>
      </c>
      <c r="C2031" s="132" t="str">
        <f ca="1">IFERROR(__xludf.DUMMYFUNCTION("GOOGLETRANSLATE(B2031:B2046,""RU"",""UK"")"),"Різець токарний прохідний з хутро. кріп. 3гр. прямий 32х32х170 лев")</f>
        <v>Різець токарний прохідний з хутро. кріп. 3гр. прямий 32х32х170 лев</v>
      </c>
      <c r="D2031" s="15" t="s">
        <v>6</v>
      </c>
      <c r="E2031" s="15">
        <v>1</v>
      </c>
      <c r="F2031" s="91" t="s">
        <v>140</v>
      </c>
      <c r="G2031" s="4"/>
      <c r="H2031" s="4"/>
      <c r="I2031" s="4"/>
    </row>
    <row r="2032" spans="1:9" ht="15">
      <c r="A2032" s="63">
        <f t="shared" si="36"/>
        <v>26</v>
      </c>
      <c r="B2032" s="124" t="s">
        <v>2773</v>
      </c>
      <c r="C2032" s="132" t="str">
        <f ca="1">IFERROR(__xludf.DUMMYFUNCTION("GOOGLETRANSLATE(B2032:B2047,""RU"",""UK"")"),"Різець токарний прохідний з хутро. кріп. 3гр. ломан. клин 32х25х170")</f>
        <v>Різець токарний прохідний з хутро. кріп. 3гр. ломан. клин 32х25х170</v>
      </c>
      <c r="D2032" s="15" t="s">
        <v>6</v>
      </c>
      <c r="E2032" s="15">
        <v>4</v>
      </c>
      <c r="F2032" s="91" t="s">
        <v>22</v>
      </c>
      <c r="G2032" s="4"/>
      <c r="H2032" s="4"/>
      <c r="I2032" s="4"/>
    </row>
    <row r="2033" spans="1:9" ht="15">
      <c r="A2033" s="63">
        <f t="shared" si="36"/>
        <v>27</v>
      </c>
      <c r="B2033" s="124" t="s">
        <v>2774</v>
      </c>
      <c r="C2033" s="132" t="str">
        <f ca="1">IFERROR(__xludf.DUMMYFUNCTION("GOOGLETRANSLATE(B2033:B2048,""RU"",""UK"")"),"Різець токарний прохідний з хутро. кріп. 3гр.ломан.приж.32х25х170пр")</f>
        <v>Різець токарний прохідний з хутро. кріп. 3гр.ломан.приж.32х25х170пр</v>
      </c>
      <c r="D2033" s="15" t="s">
        <v>6</v>
      </c>
      <c r="E2033" s="15">
        <v>13</v>
      </c>
      <c r="F2033" s="91" t="s">
        <v>36</v>
      </c>
      <c r="G2033" s="4"/>
      <c r="H2033" s="4"/>
      <c r="I2033" s="4"/>
    </row>
    <row r="2034" spans="1:9" ht="15">
      <c r="A2034" s="63">
        <f t="shared" si="36"/>
        <v>28</v>
      </c>
      <c r="B2034" s="124" t="s">
        <v>2775</v>
      </c>
      <c r="C2034" s="132" t="str">
        <f ca="1">IFERROR(__xludf.DUMMYFUNCTION("GOOGLETRANSLATE(B2034:B2049,""RU"",""UK"")"),"Різець токарний прохідний з хутро. кріп. 3гр. ломан. клин 32х25х170лев.")</f>
        <v>Різець токарний прохідний з хутро. кріп. 3гр. ломан. клин 32х25х170лев.</v>
      </c>
      <c r="D2034" s="15" t="s">
        <v>6</v>
      </c>
      <c r="E2034" s="15">
        <v>8</v>
      </c>
      <c r="F2034" s="91" t="s">
        <v>36</v>
      </c>
      <c r="G2034" s="4"/>
      <c r="H2034" s="4"/>
      <c r="I2034" s="4"/>
    </row>
    <row r="2035" spans="1:9" ht="15">
      <c r="A2035" s="63">
        <f t="shared" si="36"/>
        <v>29</v>
      </c>
      <c r="B2035" s="124" t="s">
        <v>2776</v>
      </c>
      <c r="C2035" s="132" t="str">
        <f ca="1">IFERROR(__xludf.DUMMYFUNCTION("GOOGLETRANSLATE(B2035:B2050,""RU"",""UK"")"),"Різець токарний прохідний з хутро. кріп. 3гр. ломан. Пріж. 32х32х170лев.")</f>
        <v>Різець токарний прохідний з хутро. кріп. 3гр. ломан. Пріж. 32х32х170лев.</v>
      </c>
      <c r="D2035" s="15" t="s">
        <v>6</v>
      </c>
      <c r="E2035" s="15">
        <v>1</v>
      </c>
      <c r="F2035" s="91" t="s">
        <v>27</v>
      </c>
      <c r="G2035" s="4"/>
      <c r="H2035" s="4"/>
      <c r="I2035" s="4"/>
    </row>
    <row r="2036" spans="1:9" ht="15">
      <c r="A2036" s="63">
        <f t="shared" si="36"/>
        <v>30</v>
      </c>
      <c r="B2036" s="124" t="s">
        <v>2777</v>
      </c>
      <c r="C2036" s="132" t="str">
        <f ca="1">IFERROR(__xludf.DUMMYFUNCTION("GOOGLETRANSLATE(B2036:B2051,""RU"",""UK"")"),"Різець токарний прохідний з хутро. кріп. 3гр. 40х30х200")</f>
        <v>Різець токарний прохідний з хутро. кріп. 3гр. 40х30х200</v>
      </c>
      <c r="D2036" s="15" t="s">
        <v>6</v>
      </c>
      <c r="E2036" s="15">
        <v>1</v>
      </c>
      <c r="F2036" s="91" t="s">
        <v>842</v>
      </c>
      <c r="G2036" s="4"/>
      <c r="H2036" s="4"/>
      <c r="I2036" s="4"/>
    </row>
    <row r="2037" spans="1:9" ht="15">
      <c r="A2037" s="63">
        <f t="shared" si="36"/>
        <v>31</v>
      </c>
      <c r="B2037" s="124" t="s">
        <v>2778</v>
      </c>
      <c r="C2037" s="132" t="str">
        <f ca="1">IFERROR(__xludf.DUMMYFUNCTION("GOOGLETRANSLATE(B2037:B2052,""RU"",""UK"")"),"Різець токарний прохідний з хутро. кріп. 6гр. 25х20х140")</f>
        <v>Різець токарний прохідний з хутро. кріп. 6гр. 25х20х140</v>
      </c>
      <c r="D2037" s="15" t="s">
        <v>6</v>
      </c>
      <c r="E2037" s="15">
        <v>2</v>
      </c>
      <c r="F2037" s="91" t="s">
        <v>20</v>
      </c>
      <c r="G2037" s="4"/>
      <c r="H2037" s="4"/>
      <c r="I2037" s="4"/>
    </row>
    <row r="2038" spans="1:9" ht="15">
      <c r="A2038" s="63">
        <f t="shared" si="36"/>
        <v>32</v>
      </c>
      <c r="B2038" s="127" t="s">
        <v>2779</v>
      </c>
      <c r="C2038" s="132" t="str">
        <f ca="1">IFERROR(__xludf.DUMMYFUNCTION("GOOGLETRANSLATE(B2038:B2053,""RU"",""UK"")"),"Різець токарний прохідний з хутро. кріп. ромб. 16х16х100 (+10 пластин)")</f>
        <v>Різець токарний прохідний з хутро. кріп. ромб. 16х16х100 (+10 пластин)</v>
      </c>
      <c r="D2038" s="17" t="s">
        <v>6</v>
      </c>
      <c r="E2038" s="17">
        <v>5</v>
      </c>
      <c r="F2038" s="92" t="s">
        <v>36</v>
      </c>
      <c r="G2038" s="4"/>
      <c r="H2038" s="4"/>
      <c r="I2038" s="4"/>
    </row>
    <row r="2039" spans="1:9" ht="15">
      <c r="A2039" s="63">
        <f t="shared" si="36"/>
        <v>33</v>
      </c>
      <c r="B2039" s="124" t="s">
        <v>2780</v>
      </c>
      <c r="C2039" s="132" t="str">
        <f ca="1">IFERROR(__xludf.DUMMYFUNCTION("GOOGLETRANSLATE(B2039:B2054,""RU"",""UK"")"),"Різець токарний прохідний з хутро. кріп. ромб. 25х25х140")</f>
        <v>Різець токарний прохідний з хутро. кріп. ромб. 25х25х140</v>
      </c>
      <c r="D2039" s="15" t="s">
        <v>6</v>
      </c>
      <c r="E2039" s="15">
        <v>9</v>
      </c>
      <c r="F2039" s="91" t="s">
        <v>272</v>
      </c>
      <c r="G2039" s="4"/>
      <c r="H2039" s="4"/>
      <c r="I2039" s="4"/>
    </row>
    <row r="2040" spans="1:9" ht="15">
      <c r="A2040" s="63">
        <f t="shared" si="36"/>
        <v>34</v>
      </c>
      <c r="B2040" s="124" t="s">
        <v>2781</v>
      </c>
      <c r="C2040" s="132" t="str">
        <f ca="1">IFERROR(__xludf.DUMMYFUNCTION("GOOGLETRANSLATE(B2040:B2055,""RU"",""UK"")"),"Різець токарний прохідний з хутро. кріп. ромб. 25х25х150 крамниця")</f>
        <v>Різець токарний прохідний з хутро. кріп. ромб. 25х25х150 крамниця</v>
      </c>
      <c r="D2040" s="15" t="s">
        <v>6</v>
      </c>
      <c r="E2040" s="15">
        <v>1</v>
      </c>
      <c r="F2040" s="91" t="s">
        <v>24</v>
      </c>
      <c r="G2040" s="4"/>
      <c r="H2040" s="4"/>
      <c r="I2040" s="4"/>
    </row>
    <row r="2041" spans="1:9" ht="15">
      <c r="A2041" s="63">
        <f t="shared" si="36"/>
        <v>35</v>
      </c>
      <c r="B2041" s="124" t="s">
        <v>2782</v>
      </c>
      <c r="C2041" s="132" t="str">
        <f ca="1">IFERROR(__xludf.DUMMYFUNCTION("GOOGLETRANSLATE(B2041:B2056,""RU"",""UK"")"),"Різець токарний прохідний з хутро. кріп. ромб. 32х32х160")</f>
        <v>Різець токарний прохідний з хутро. кріп. ромб. 32х32х160</v>
      </c>
      <c r="D2041" s="15" t="s">
        <v>6</v>
      </c>
      <c r="E2041" s="15">
        <v>5</v>
      </c>
      <c r="F2041" s="91" t="s">
        <v>53</v>
      </c>
      <c r="G2041" s="4"/>
      <c r="H2041" s="4"/>
      <c r="I2041" s="4"/>
    </row>
    <row r="2042" spans="1:9" ht="15">
      <c r="A2042" s="63">
        <f t="shared" si="36"/>
        <v>36</v>
      </c>
      <c r="B2042" s="124" t="s">
        <v>2783</v>
      </c>
      <c r="C2042" s="132" t="str">
        <f ca="1">IFERROR(__xludf.DUMMYFUNCTION("GOOGLETRANSLATE(B2042:B2057,""RU"",""UK"")"),"Різець для контурних. точення з хутро. кр. паралелогр.""шифер"" 25х25х150прав")</f>
        <v>Різець для контурних. точення з хутро. кр. паралелогр."шифер" 25х25х150прав</v>
      </c>
      <c r="D2042" s="15" t="s">
        <v>6</v>
      </c>
      <c r="E2042" s="15">
        <v>2</v>
      </c>
      <c r="F2042" s="91" t="s">
        <v>27</v>
      </c>
      <c r="G2042" s="4"/>
      <c r="H2042" s="4"/>
      <c r="I2042" s="4"/>
    </row>
    <row r="2043" spans="1:9" ht="15">
      <c r="A2043" s="63">
        <f t="shared" si="36"/>
        <v>37</v>
      </c>
      <c r="B2043" s="124" t="s">
        <v>2784</v>
      </c>
      <c r="C2043" s="132" t="str">
        <f ca="1">IFERROR(__xludf.DUMMYFUNCTION("GOOGLETRANSLATE(B2043:B2058,""RU"",""UK"")"),"Різець для контурних. точення з хутро. кр. паралелогр. ""шифер"" 25х25х150лев")</f>
        <v>Різець для контурних. точення з хутро. кр. паралелогр. "шифер" 25х25х150лев</v>
      </c>
      <c r="D2043" s="15" t="s">
        <v>6</v>
      </c>
      <c r="E2043" s="15">
        <v>5</v>
      </c>
      <c r="F2043" s="91" t="s">
        <v>27</v>
      </c>
      <c r="G2043" s="4"/>
      <c r="H2043" s="4"/>
      <c r="I2043" s="4"/>
    </row>
    <row r="2044" spans="1:9" ht="15">
      <c r="A2044" s="63">
        <f t="shared" si="36"/>
        <v>38</v>
      </c>
      <c r="B2044" s="129" t="s">
        <v>2785</v>
      </c>
      <c r="C2044" s="132" t="str">
        <f ca="1">IFERROR(__xludf.DUMMYFUNCTION("GOOGLETRANSLATE(B2044:B2059,""RU"",""UK"")"),"Різець токарний прохідний з хутро. кріп. ""Ельбор"" 16х16х110 (+ 1 вставка)")</f>
        <v>Різець токарний прохідний з хутро. кріп. "Ельбор" 16х16х110 (+ 1 вставка)</v>
      </c>
      <c r="D2044" s="15" t="s">
        <v>6</v>
      </c>
      <c r="E2044" s="15">
        <v>1</v>
      </c>
      <c r="F2044" s="91" t="s">
        <v>140</v>
      </c>
      <c r="G2044" s="4"/>
      <c r="H2044" s="4"/>
      <c r="I2044" s="4"/>
    </row>
    <row r="2045" spans="1:9" ht="15">
      <c r="A2045" s="63">
        <f t="shared" si="36"/>
        <v>39</v>
      </c>
      <c r="B2045" s="129" t="s">
        <v>2786</v>
      </c>
      <c r="C2045" s="132" t="str">
        <f ca="1">IFERROR(__xludf.DUMMYFUNCTION("GOOGLETRANSLATE(B2045:B2060,""RU"",""UK"")"),"Різець токарний прохідний з хутро. кріп. ""Ельбор"" 16х16х120")</f>
        <v>Різець токарний прохідний з хутро. кріп. "Ельбор" 16х16х120</v>
      </c>
      <c r="D2045" s="15" t="s">
        <v>6</v>
      </c>
      <c r="E2045" s="15">
        <v>1</v>
      </c>
      <c r="F2045" s="91" t="s">
        <v>140</v>
      </c>
      <c r="G2045" s="4"/>
      <c r="H2045" s="4"/>
      <c r="I2045" s="4"/>
    </row>
    <row r="2046" spans="1:9" ht="15">
      <c r="A2046" s="63">
        <f t="shared" si="36"/>
        <v>40</v>
      </c>
      <c r="B2046" s="129" t="s">
        <v>2787</v>
      </c>
      <c r="C2046" s="132" t="str">
        <f ca="1">IFERROR(__xludf.DUMMYFUNCTION("GOOGLETRANSLATE(B2046:B2061,""RU"",""UK"")"),"Різець токарний прохідний з хутро. кріп. ""Ельбор"" 3х гр. 20х20х120")</f>
        <v>Різець токарний прохідний з хутро. кріп. "Ельбор" 3х гр. 20х20х120</v>
      </c>
      <c r="D2046" s="15" t="s">
        <v>6</v>
      </c>
      <c r="E2046" s="15">
        <v>1</v>
      </c>
      <c r="F2046" s="91" t="s">
        <v>140</v>
      </c>
      <c r="G2046" s="4"/>
      <c r="H2046" s="4"/>
      <c r="I2046" s="4"/>
    </row>
    <row r="2047" spans="1:9" ht="15">
      <c r="A2047" s="63">
        <f t="shared" si="36"/>
        <v>41</v>
      </c>
      <c r="B2047" s="129" t="s">
        <v>2788</v>
      </c>
      <c r="C2047" s="132" t="str">
        <f ca="1">IFERROR(__xludf.DUMMYFUNCTION("GOOGLETRANSLATE(B2047:B2062,""RU"",""UK"")"),"Різець токарний прохідний з хутро. кріп. ""Ельбор"" 20х20х170 (+ 1 вставка)")</f>
        <v>Різець токарний прохідний з хутро. кріп. "Ельбор" 20х20х170 (+ 1 вставка)</v>
      </c>
      <c r="D2047" s="15" t="s">
        <v>6</v>
      </c>
      <c r="E2047" s="15">
        <v>1</v>
      </c>
      <c r="F2047" s="91" t="s">
        <v>24</v>
      </c>
      <c r="G2047" s="4"/>
      <c r="H2047" s="4"/>
      <c r="I2047" s="4"/>
    </row>
    <row r="2048" spans="1:9" ht="15">
      <c r="A2048" s="63">
        <f t="shared" si="36"/>
        <v>42</v>
      </c>
      <c r="B2048" s="129" t="s">
        <v>2789</v>
      </c>
      <c r="C2048" s="132" t="str">
        <f ca="1">IFERROR(__xludf.DUMMYFUNCTION("GOOGLETRANSLATE(B2048:B2063,""RU"",""UK"")"),"Різець токарний прохідний з хутро. кріп. ""Ельбор"" 25х16х140")</f>
        <v>Різець токарний прохідний з хутро. кріп. "Ельбор" 25х16х140</v>
      </c>
      <c r="D2048" s="15" t="s">
        <v>6</v>
      </c>
      <c r="E2048" s="15">
        <v>1</v>
      </c>
      <c r="F2048" s="91" t="s">
        <v>24</v>
      </c>
      <c r="G2048" s="4"/>
      <c r="H2048" s="4"/>
      <c r="I2048" s="4"/>
    </row>
    <row r="2049" spans="1:9" ht="15">
      <c r="A2049" s="63">
        <f t="shared" si="36"/>
        <v>43</v>
      </c>
      <c r="B2049" s="129" t="s">
        <v>2790</v>
      </c>
      <c r="C2049" s="132" t="str">
        <f ca="1">IFERROR(__xludf.DUMMYFUNCTION("GOOGLETRANSLATE(B2049:B2064,""RU"",""UK"")"),"Різець токарний підрізний з хутро. кріп. ""Ельбор"" 20х20х125")</f>
        <v>Різець токарний підрізний з хутро. кріп. "Ельбор" 20х20х125</v>
      </c>
      <c r="D2049" s="15" t="s">
        <v>6</v>
      </c>
      <c r="E2049" s="15">
        <v>4</v>
      </c>
      <c r="F2049" s="91" t="s">
        <v>20</v>
      </c>
      <c r="G2049" s="4"/>
      <c r="H2049" s="4"/>
      <c r="I2049" s="4"/>
    </row>
    <row r="2050" spans="1:9" ht="15">
      <c r="A2050" s="63">
        <f t="shared" si="36"/>
        <v>44</v>
      </c>
      <c r="B2050" s="129" t="s">
        <v>2791</v>
      </c>
      <c r="C2050" s="132" t="str">
        <f ca="1">IFERROR(__xludf.DUMMYFUNCTION("GOOGLETRANSLATE(B2050:B2065,""RU"",""UK"")"),"Різець токарний підрізний з хутро. кріп. ""Ельбор"" 25х20х160 (+2 вставки)")</f>
        <v>Різець токарний підрізний з хутро. кріп. "Ельбор" 25х20х160 (+2 вставки)</v>
      </c>
      <c r="D2050" s="15" t="s">
        <v>6</v>
      </c>
      <c r="E2050" s="15">
        <v>2</v>
      </c>
      <c r="F2050" s="91" t="s">
        <v>106</v>
      </c>
      <c r="G2050" s="4"/>
      <c r="H2050" s="4"/>
      <c r="I2050" s="4"/>
    </row>
    <row r="2051" spans="1:9" ht="15">
      <c r="A2051" s="63">
        <f t="shared" si="36"/>
        <v>45</v>
      </c>
      <c r="B2051" s="124" t="s">
        <v>2792</v>
      </c>
      <c r="C2051" s="132" t="str">
        <f ca="1">IFERROR(__xludf.DUMMYFUNCTION("GOOGLETRANSLATE(B2051:B2066,""RU"",""UK"")"),"Різець токарний підрізний з хутро. кріп. ромб 20х20х125")</f>
        <v>Різець токарний підрізний з хутро. кріп. ромб 20х20х125</v>
      </c>
      <c r="D2051" s="15" t="s">
        <v>6</v>
      </c>
      <c r="E2051" s="15">
        <v>1</v>
      </c>
      <c r="F2051" s="91" t="s">
        <v>162</v>
      </c>
      <c r="G2051" s="4"/>
      <c r="H2051" s="4"/>
      <c r="I2051" s="4"/>
    </row>
    <row r="2052" spans="1:9" ht="15">
      <c r="A2052" s="63">
        <f t="shared" si="36"/>
        <v>46</v>
      </c>
      <c r="B2052" s="124" t="s">
        <v>2793</v>
      </c>
      <c r="C2052" s="132" t="str">
        <f ca="1">IFERROR(__xludf.DUMMYFUNCTION("GOOGLETRANSLATE(B2052:B2067,""RU"",""UK"")"),"Різець токарний підрізний з хутро. кріп. ромб 25х25х150")</f>
        <v>Різець токарний підрізний з хутро. кріп. ромб 25х25х150</v>
      </c>
      <c r="D2052" s="15" t="s">
        <v>6</v>
      </c>
      <c r="E2052" s="15">
        <v>1</v>
      </c>
      <c r="F2052" s="91" t="s">
        <v>272</v>
      </c>
      <c r="G2052" s="4"/>
      <c r="H2052" s="4"/>
      <c r="I2052" s="4"/>
    </row>
    <row r="2053" spans="1:9" ht="15">
      <c r="A2053" s="63">
        <f t="shared" si="36"/>
        <v>47</v>
      </c>
      <c r="B2053" s="124" t="s">
        <v>2794</v>
      </c>
      <c r="C2053" s="132" t="str">
        <f ca="1">IFERROR(__xludf.DUMMYFUNCTION("GOOGLETRANSLATE(B2053:B2068,""RU"",""UK"")"),"Різець токарний розточний глухий. з хутра. кріп. D3х3 24х24х170")</f>
        <v>Різець токарний розточний глухий. з хутра. кріп. D3х3 24х24х170</v>
      </c>
      <c r="D2053" s="15" t="s">
        <v>6</v>
      </c>
      <c r="E2053" s="15">
        <v>1</v>
      </c>
      <c r="F2053" s="91" t="s">
        <v>16</v>
      </c>
      <c r="G2053" s="4"/>
      <c r="H2053" s="4"/>
      <c r="I2053" s="4"/>
    </row>
    <row r="2054" spans="1:9" ht="15">
      <c r="A2054" s="63">
        <f t="shared" si="36"/>
        <v>48</v>
      </c>
      <c r="B2054" s="124" t="s">
        <v>2795</v>
      </c>
      <c r="C2054" s="132" t="str">
        <f ca="1">IFERROR(__xludf.DUMMYFUNCTION("GOOGLETRANSLATE(B2054:B2069,""RU"",""UK"")"),"Різець токарний розточний глухий. з хутра. кріп. D3х3 20х25х200")</f>
        <v>Різець токарний розточний глухий. з хутра. кріп. D3х3 20х25х200</v>
      </c>
      <c r="D2054" s="15" t="s">
        <v>6</v>
      </c>
      <c r="E2054" s="15">
        <v>1</v>
      </c>
      <c r="F2054" s="91" t="s">
        <v>16</v>
      </c>
      <c r="G2054" s="4"/>
      <c r="H2054" s="4"/>
      <c r="I2054" s="4"/>
    </row>
    <row r="2055" spans="1:9" ht="15">
      <c r="A2055" s="63">
        <f t="shared" si="36"/>
        <v>49</v>
      </c>
      <c r="B2055" s="124" t="s">
        <v>2796</v>
      </c>
      <c r="C2055" s="132" t="str">
        <f ca="1">IFERROR(__xludf.DUMMYFUNCTION("GOOGLETRANSLATE(B2055:B2070,""RU"",""UK"")"),"Різець токарний розточний глухий. з хутра. кріп. Ромб. 25х200 лев")</f>
        <v>Різець токарний розточний глухий. з хутра. кріп. Ромб. 25х200 лев</v>
      </c>
      <c r="D2055" s="15" t="s">
        <v>6</v>
      </c>
      <c r="E2055" s="15">
        <v>1</v>
      </c>
      <c r="F2055" s="91" t="s">
        <v>27</v>
      </c>
      <c r="G2055" s="4"/>
      <c r="H2055" s="4"/>
      <c r="I2055" s="4"/>
    </row>
    <row r="2056" spans="1:9" ht="15">
      <c r="A2056" s="63">
        <f t="shared" si="36"/>
        <v>50</v>
      </c>
      <c r="B2056" s="124" t="s">
        <v>2797</v>
      </c>
      <c r="C2056" s="132" t="str">
        <f ca="1">IFERROR(__xludf.DUMMYFUNCTION("GOOGLETRANSLATE(B2056:B2071,""RU"",""UK"")"),"Різець токарний розточний глухий. з хутра. кріп. 40х250")</f>
        <v>Різець токарний розточний глухий. з хутра. кріп. 40х250</v>
      </c>
      <c r="D2056" s="15" t="s">
        <v>6</v>
      </c>
      <c r="E2056" s="15">
        <v>1</v>
      </c>
      <c r="F2056" s="91" t="s">
        <v>27</v>
      </c>
      <c r="G2056" s="4"/>
      <c r="H2056" s="4"/>
      <c r="I2056" s="4"/>
    </row>
    <row r="2057" spans="1:9" ht="15">
      <c r="A2057" s="63">
        <f t="shared" si="36"/>
        <v>51</v>
      </c>
      <c r="B2057" s="124" t="s">
        <v>2798</v>
      </c>
      <c r="C2057" s="132" t="str">
        <f ca="1">IFERROR(__xludf.DUMMYFUNCTION("GOOGLETRANSLATE(B2057:B2072,""RU"",""UK"")"),"Різець токарний розточувальний наскріз. з хутра. кріп. ромб 23х25х200")</f>
        <v>Різець токарний розточувальний наскріз. з хутра. кріп. ромб 23х25х200</v>
      </c>
      <c r="D2057" s="15" t="s">
        <v>6</v>
      </c>
      <c r="E2057" s="15">
        <v>1</v>
      </c>
      <c r="F2057" s="91" t="s">
        <v>27</v>
      </c>
      <c r="G2057" s="4"/>
      <c r="H2057" s="4"/>
      <c r="I2057" s="4"/>
    </row>
    <row r="2058" spans="1:9" ht="15">
      <c r="A2058" s="63">
        <f t="shared" si="36"/>
        <v>52</v>
      </c>
      <c r="B2058" s="124" t="s">
        <v>2799</v>
      </c>
      <c r="C2058" s="132" t="str">
        <f ca="1">IFERROR(__xludf.DUMMYFUNCTION("GOOGLETRANSLATE(B2058:B2073,""RU"",""UK"")"),"Різець токарний розточувальний наскріз. з хутра. кріп. 4гр. 25х25х250")</f>
        <v>Різець токарний розточувальний наскріз. з хутра. кріп. 4гр. 25х25х250</v>
      </c>
      <c r="D2058" s="15" t="s">
        <v>6</v>
      </c>
      <c r="E2058" s="15">
        <v>1</v>
      </c>
      <c r="F2058" s="91" t="s">
        <v>27</v>
      </c>
      <c r="G2058" s="4"/>
      <c r="H2058" s="4"/>
      <c r="I2058" s="4"/>
    </row>
    <row r="2059" spans="1:9" ht="15">
      <c r="A2059" s="63">
        <f t="shared" si="36"/>
        <v>53</v>
      </c>
      <c r="B2059" s="129" t="s">
        <v>2800</v>
      </c>
      <c r="C2059" s="132" t="str">
        <f ca="1">IFERROR(__xludf.DUMMYFUNCTION("GOOGLETRANSLATE(B2059:B2074,""RU"",""UK"")"),"Різець токарний розточувальні з хутро. кріп. ""Ельбор"" 25х20х170")</f>
        <v>Різець токарний розточувальні з хутро. кріп. "Ельбор" 25х20х170</v>
      </c>
      <c r="D2059" s="15" t="s">
        <v>6</v>
      </c>
      <c r="E2059" s="15">
        <v>4</v>
      </c>
      <c r="F2059" s="91" t="s">
        <v>272</v>
      </c>
      <c r="G2059" s="4"/>
      <c r="H2059" s="4"/>
      <c r="I2059" s="4"/>
    </row>
    <row r="2060" spans="1:9" ht="15">
      <c r="A2060" s="63">
        <f t="shared" si="36"/>
        <v>54</v>
      </c>
      <c r="B2060" s="129" t="s">
        <v>2801</v>
      </c>
      <c r="C2060" s="132" t="str">
        <f ca="1">IFERROR(__xludf.DUMMYFUNCTION("GOOGLETRANSLATE(B2060:B2075,""RU"",""UK"")"),"Різець токарний розточувальні з хутро. кріп. ""Гексоніт"" 22х25х200")</f>
        <v>Різець токарний розточувальні з хутро. кріп. "Гексоніт" 22х25х200</v>
      </c>
      <c r="D2060" s="15" t="s">
        <v>6</v>
      </c>
      <c r="E2060" s="15">
        <v>3</v>
      </c>
      <c r="F2060" s="91" t="s">
        <v>18</v>
      </c>
      <c r="G2060" s="4"/>
      <c r="H2060" s="4"/>
      <c r="I2060" s="4"/>
    </row>
    <row r="2061" spans="1:9" ht="15">
      <c r="A2061" s="63">
        <f t="shared" si="36"/>
        <v>55</v>
      </c>
      <c r="B2061" s="129" t="s">
        <v>2802</v>
      </c>
      <c r="C2061" s="132" t="str">
        <f ca="1">IFERROR(__xludf.DUMMYFUNCTION("GOOGLETRANSLATE(B2061:B2076,""RU"",""UK"")"),"Різець токарний розточувальний наскріз. з хутра. кріп. ""Гексоніт"" 22х23х170")</f>
        <v>Різець токарний розточувальний наскріз. з хутра. кріп. "Гексоніт" 22х23х170</v>
      </c>
      <c r="D2061" s="15" t="s">
        <v>6</v>
      </c>
      <c r="E2061" s="15">
        <v>1</v>
      </c>
      <c r="F2061" s="91" t="s">
        <v>18</v>
      </c>
      <c r="G2061" s="4"/>
      <c r="H2061" s="4"/>
      <c r="I2061" s="4"/>
    </row>
    <row r="2062" spans="1:9" ht="15">
      <c r="A2062" s="22"/>
      <c r="B2062" s="29" t="s">
        <v>2803</v>
      </c>
      <c r="C2062" s="131" t="str">
        <f ca="1">IFERROR(__xludf.DUMMYFUNCTION("GOOGLETRANSLATE(B2062:B2077,""RU"",""UK"")"),"18. МЕТАЛОРІЖУЧИЙ І Н С Т Р У М Е Н Т")</f>
        <v>18. МЕТАЛОРІЖУЧИЙ І Н С Т Р У М Е Н Т</v>
      </c>
      <c r="D2062" s="29"/>
      <c r="E2062" s="29"/>
      <c r="F2062" s="95"/>
      <c r="G2062" s="4"/>
      <c r="H2062" s="4"/>
      <c r="I2062" s="4"/>
    </row>
    <row r="2063" spans="1:9" ht="15">
      <c r="A2063" s="13">
        <v>1</v>
      </c>
      <c r="B2063" s="14" t="s">
        <v>2804</v>
      </c>
      <c r="C2063" s="85" t="str">
        <f ca="1">IFERROR(__xludf.DUMMYFUNCTION("GOOGLETRANSLATE(B2063:B2078,""RU"",""UK"")"),"Ножовка по металу")</f>
        <v>Ножовка по металу</v>
      </c>
      <c r="D2063" s="15" t="s">
        <v>6</v>
      </c>
      <c r="E2063" s="15">
        <v>12</v>
      </c>
      <c r="F2063" s="91" t="s">
        <v>319</v>
      </c>
      <c r="G2063" s="4"/>
      <c r="H2063" s="4"/>
      <c r="I2063" s="4"/>
    </row>
    <row r="2064" spans="1:9" ht="15">
      <c r="A2064" s="13">
        <f>A2063+1</f>
        <v>2</v>
      </c>
      <c r="B2064" s="14" t="s">
        <v>2805</v>
      </c>
      <c r="C2064" s="85" t="str">
        <f ca="1">IFERROR(__xludf.DUMMYFUNCTION("GOOGLETRANSLATE(B2064:B2079,""RU"",""UK"")"),"Полотно ножОвкове")</f>
        <v>Полотно ножОвкове</v>
      </c>
      <c r="D2064" s="15" t="s">
        <v>6</v>
      </c>
      <c r="E2064" s="15">
        <v>0</v>
      </c>
      <c r="F2064" s="91" t="s">
        <v>286</v>
      </c>
      <c r="G2064" s="4"/>
      <c r="H2064" s="4"/>
      <c r="I2064" s="4"/>
    </row>
    <row r="2065" spans="1:9" ht="15">
      <c r="A2065" s="21">
        <f t="shared" ref="A2065:A2089" si="37">A2064+1</f>
        <v>3</v>
      </c>
      <c r="B2065" s="14" t="s">
        <v>2806</v>
      </c>
      <c r="C2065" s="85" t="str">
        <f ca="1">IFERROR(__xludf.DUMMYFUNCTION("GOOGLETRANSLATE(B2065:B2080,""RU"",""UK"")"),"Полотно машинне (Робеля) 350х32х4х2 (11Р3АМ3Ф2)")</f>
        <v>Полотно машинне (Робеля) 350х32х4х2 (11Р3АМ3Ф2)</v>
      </c>
      <c r="D2065" s="15" t="s">
        <v>6</v>
      </c>
      <c r="E2065" s="15">
        <v>67</v>
      </c>
      <c r="F2065" s="91" t="s">
        <v>119</v>
      </c>
      <c r="G2065" s="4"/>
      <c r="H2065" s="4"/>
      <c r="I2065" s="4"/>
    </row>
    <row r="2066" spans="1:9" ht="15">
      <c r="A2066" s="21">
        <f t="shared" si="37"/>
        <v>4</v>
      </c>
      <c r="B2066" s="14" t="s">
        <v>2807</v>
      </c>
      <c r="C2066" s="85" t="str">
        <f ca="1">IFERROR(__xludf.DUMMYFUNCTION("GOOGLETRANSLATE(B2066:B2081,""RU"",""UK"")"),"Полотно машинне (Робеля) 400х32х4х2")</f>
        <v>Полотно машинне (Робеля) 400х32х4х2</v>
      </c>
      <c r="D2066" s="15" t="s">
        <v>6</v>
      </c>
      <c r="E2066" s="15">
        <v>37</v>
      </c>
      <c r="F2066" s="91" t="s">
        <v>140</v>
      </c>
      <c r="G2066" s="4"/>
      <c r="H2066" s="4"/>
      <c r="I2066" s="4"/>
    </row>
    <row r="2067" spans="1:9" ht="15">
      <c r="A2067" s="21">
        <f t="shared" si="37"/>
        <v>5</v>
      </c>
      <c r="B2067" s="16" t="s">
        <v>2808</v>
      </c>
      <c r="C2067" s="85" t="str">
        <f ca="1">IFERROR(__xludf.DUMMYFUNCTION("GOOGLETRANSLATE(B2067:B2082,""RU"",""UK"")"),"Полотно машинне (Робеля) 450х32х4х2")</f>
        <v>Полотно машинне (Робеля) 450х32х4х2</v>
      </c>
      <c r="D2067" s="15" t="s">
        <v>6</v>
      </c>
      <c r="E2067" s="15">
        <v>156</v>
      </c>
      <c r="F2067" s="91" t="s">
        <v>2809</v>
      </c>
      <c r="G2067" s="4"/>
      <c r="H2067" s="4"/>
      <c r="I2067" s="4"/>
    </row>
    <row r="2068" spans="1:9" ht="15">
      <c r="A2068" s="21">
        <f t="shared" si="37"/>
        <v>6</v>
      </c>
      <c r="B2068" s="16" t="s">
        <v>2810</v>
      </c>
      <c r="C2068" s="85" t="str">
        <f ca="1">IFERROR(__xludf.DUMMYFUNCTION("GOOGLETRANSLATE(B2068:B2083,""RU"",""UK"")"),"Полотно машинне (Робеля) 450х40х4х2")</f>
        <v>Полотно машинне (Робеля) 450х40х4х2</v>
      </c>
      <c r="D2068" s="15" t="s">
        <v>6</v>
      </c>
      <c r="E2068" s="15">
        <v>4</v>
      </c>
      <c r="F2068" s="91" t="s">
        <v>16</v>
      </c>
      <c r="G2068" s="4"/>
      <c r="H2068" s="4"/>
      <c r="I2068" s="4"/>
    </row>
    <row r="2069" spans="1:9" ht="15">
      <c r="A2069" s="21">
        <f t="shared" si="37"/>
        <v>7</v>
      </c>
      <c r="B2069" s="19" t="s">
        <v>2811</v>
      </c>
      <c r="C2069" s="85" t="str">
        <f ca="1">IFERROR(__xludf.DUMMYFUNCTION("GOOGLETRANSLATE(B2069:B2084,""RU"",""UK"")"),"Полотно машинне (Робеля) 500х40х4х2")</f>
        <v>Полотно машинне (Робеля) 500х40х4х2</v>
      </c>
      <c r="D2069" s="15" t="s">
        <v>6</v>
      </c>
      <c r="E2069" s="15">
        <v>0</v>
      </c>
      <c r="F2069" s="91" t="s">
        <v>22</v>
      </c>
      <c r="G2069" s="4"/>
      <c r="H2069" s="4"/>
      <c r="I2069" s="4"/>
    </row>
    <row r="2070" spans="1:9" ht="15">
      <c r="A2070" s="21">
        <f t="shared" si="37"/>
        <v>8</v>
      </c>
      <c r="B2070" s="14" t="s">
        <v>2812</v>
      </c>
      <c r="C2070" s="85" t="str">
        <f ca="1">IFERROR(__xludf.DUMMYFUNCTION("GOOGLETRANSLATE(B2070:B2085,""RU"",""UK"")"),"Пила сегментна 400мм")</f>
        <v>Пила сегментна 400мм</v>
      </c>
      <c r="D2070" s="15" t="s">
        <v>6</v>
      </c>
      <c r="E2070" s="15">
        <v>3</v>
      </c>
      <c r="F2070" s="91" t="s">
        <v>80</v>
      </c>
      <c r="G2070" s="4"/>
      <c r="H2070" s="4"/>
      <c r="I2070" s="4"/>
    </row>
    <row r="2071" spans="1:9" ht="15">
      <c r="A2071" s="21">
        <f t="shared" si="37"/>
        <v>9</v>
      </c>
      <c r="B2071" s="14" t="s">
        <v>2813</v>
      </c>
      <c r="C2071" s="85" t="str">
        <f ca="1">IFERROR(__xludf.DUMMYFUNCTION("GOOGLETRANSLATE(B2071:B2086,""RU"",""UK"")"),"Пила сегментна 510мм (4зуб)")</f>
        <v>Пила сегментна 510мм (4зуб)</v>
      </c>
      <c r="D2071" s="15" t="s">
        <v>6</v>
      </c>
      <c r="E2071" s="15">
        <v>1</v>
      </c>
      <c r="F2071" s="91" t="s">
        <v>2814</v>
      </c>
      <c r="G2071" s="4"/>
      <c r="H2071" s="4"/>
      <c r="I2071" s="4"/>
    </row>
    <row r="2072" spans="1:9" ht="15">
      <c r="A2072" s="21">
        <f t="shared" si="37"/>
        <v>10</v>
      </c>
      <c r="B2072" s="14" t="s">
        <v>2815</v>
      </c>
      <c r="C2072" s="85" t="str">
        <f ca="1">IFERROR(__xludf.DUMMYFUNCTION("GOOGLETRANSLATE(B2072:B2087,""RU"",""UK"")"),"Пила сегментна 630мм (4зуб/6зуб)")</f>
        <v>Пила сегментна 630мм (4зуб/6зуб)</v>
      </c>
      <c r="D2072" s="15" t="s">
        <v>6</v>
      </c>
      <c r="E2072" s="15" t="s">
        <v>438</v>
      </c>
      <c r="F2072" s="91" t="s">
        <v>2816</v>
      </c>
      <c r="G2072" s="4"/>
      <c r="H2072" s="4"/>
      <c r="I2072" s="4"/>
    </row>
    <row r="2073" spans="1:9" ht="15">
      <c r="A2073" s="21">
        <f t="shared" si="37"/>
        <v>11</v>
      </c>
      <c r="B2073" s="14" t="s">
        <v>2817</v>
      </c>
      <c r="C2073" s="85" t="str">
        <f ca="1">IFERROR(__xludf.DUMMYFUNCTION("GOOGLETRANSLATE(B2073:B2088,""RU"",""UK"")"),"Пила сегментна 710мм (8зуб)")</f>
        <v>Пила сегментна 710мм (8зуб)</v>
      </c>
      <c r="D2073" s="15" t="s">
        <v>6</v>
      </c>
      <c r="E2073" s="15">
        <v>1</v>
      </c>
      <c r="F2073" s="91" t="s">
        <v>910</v>
      </c>
      <c r="G2073" s="4"/>
      <c r="H2073" s="4"/>
      <c r="I2073" s="4"/>
    </row>
    <row r="2074" spans="1:9" ht="15">
      <c r="A2074" s="21">
        <f t="shared" si="37"/>
        <v>12</v>
      </c>
      <c r="B2074" s="16" t="s">
        <v>2818</v>
      </c>
      <c r="C2074" s="85" t="str">
        <f ca="1">IFERROR(__xludf.DUMMYFUNCTION("GOOGLETRANSLATE(B2074:B2089,""RU"",""UK"")"),"Ножиці важільні для дроту до 3мм СРСР (дерев'яна ручка)")</f>
        <v>Ножиці важільні для дроту до 3мм СРСР (дерев'яна ручка)</v>
      </c>
      <c r="D2074" s="15" t="s">
        <v>6</v>
      </c>
      <c r="E2074" s="15">
        <v>6</v>
      </c>
      <c r="F2074" s="91" t="s">
        <v>78</v>
      </c>
      <c r="G2074" s="4"/>
      <c r="H2074" s="4"/>
      <c r="I2074" s="4"/>
    </row>
    <row r="2075" spans="1:9" ht="15">
      <c r="A2075" s="21">
        <f t="shared" si="37"/>
        <v>13</v>
      </c>
      <c r="B2075" s="16" t="s">
        <v>2819</v>
      </c>
      <c r="C2075" s="85" t="str">
        <f ca="1">IFERROR(__xludf.DUMMYFUNCTION("GOOGLETRANSLATE(B2075:B2090,""RU"",""UK"")"),"Ножиці важільні для дроту до 6мм СРСР")</f>
        <v>Ножиці важільні для дроту до 6мм СРСР</v>
      </c>
      <c r="D2075" s="15" t="s">
        <v>6</v>
      </c>
      <c r="E2075" s="15">
        <v>5</v>
      </c>
      <c r="F2075" s="91" t="s">
        <v>100</v>
      </c>
      <c r="G2075" s="4"/>
      <c r="H2075" s="4"/>
      <c r="I2075" s="4"/>
    </row>
    <row r="2076" spans="1:9" ht="15">
      <c r="A2076" s="21">
        <f t="shared" si="37"/>
        <v>14</v>
      </c>
      <c r="B2076" s="16" t="s">
        <v>2820</v>
      </c>
      <c r="C2076" s="85" t="str">
        <f ca="1">IFERROR(__xludf.DUMMYFUNCTION("GOOGLETRANSLATE(B2076:B2091,""RU"",""UK"")"),"Ножиці важільні для дроту до 8мм СРСР")</f>
        <v>Ножиці важільні для дроту до 8мм СРСР</v>
      </c>
      <c r="D2076" s="15" t="s">
        <v>6</v>
      </c>
      <c r="E2076" s="15">
        <v>4</v>
      </c>
      <c r="F2076" s="91" t="s">
        <v>231</v>
      </c>
      <c r="G2076" s="4"/>
      <c r="H2076" s="4"/>
      <c r="I2076" s="4"/>
    </row>
    <row r="2077" spans="1:9" ht="15">
      <c r="A2077" s="21">
        <f t="shared" si="37"/>
        <v>15</v>
      </c>
      <c r="B2077" s="16" t="s">
        <v>2821</v>
      </c>
      <c r="C2077" s="85" t="str">
        <f ca="1">IFERROR(__xludf.DUMMYFUNCTION("GOOGLETRANSLATE(B2077:B2092,""RU"",""UK"")"),"Ножиці для різання листової сталі до 2мм (кріплення у дерев'яну колоду)")</f>
        <v>Ножиці для різання листової сталі до 2мм (кріплення у дерев'яну колоду)</v>
      </c>
      <c r="D2077" s="15" t="s">
        <v>6</v>
      </c>
      <c r="E2077" s="15">
        <v>1</v>
      </c>
      <c r="F2077" s="91" t="s">
        <v>1086</v>
      </c>
      <c r="G2077" s="4"/>
      <c r="H2077" s="4"/>
      <c r="I2077" s="4"/>
    </row>
    <row r="2078" spans="1:9" ht="15">
      <c r="A2078" s="21">
        <f t="shared" si="37"/>
        <v>16</v>
      </c>
      <c r="B2078" s="14" t="s">
        <v>2822</v>
      </c>
      <c r="C2078" s="85" t="str">
        <f ca="1">IFERROR(__xludf.DUMMYFUNCTION("GOOGLETRANSLATE(B2078:B2093,""RU"",""UK"")"),"Ножиці стільці для різання листової сталі до 3мм")</f>
        <v>Ножиці стільці для різання листової сталі до 3мм</v>
      </c>
      <c r="D2078" s="15" t="s">
        <v>6</v>
      </c>
      <c r="E2078" s="15">
        <v>2</v>
      </c>
      <c r="F2078" s="91" t="s">
        <v>2823</v>
      </c>
      <c r="G2078" s="4"/>
      <c r="H2078" s="4"/>
      <c r="I2078" s="4"/>
    </row>
    <row r="2079" spans="1:9" ht="15">
      <c r="A2079" s="21">
        <f t="shared" si="37"/>
        <v>17</v>
      </c>
      <c r="B2079" s="19" t="s">
        <v>2824</v>
      </c>
      <c r="C2079" s="85" t="str">
        <f ca="1">IFERROR(__xludf.DUMMYFUNCTION("GOOGLETRANSLATE(B2079:B2094,""RU"",""UK"")"),"Ножиці по металу із прям. різом Cr-V, 250 мм")</f>
        <v>Ножиці по металу із прям. різом Cr-V, 250 мм</v>
      </c>
      <c r="D2079" s="15" t="s">
        <v>6</v>
      </c>
      <c r="E2079" s="15">
        <v>0</v>
      </c>
      <c r="F2079" s="91" t="s">
        <v>2825</v>
      </c>
      <c r="G2079" s="4"/>
      <c r="H2079" s="4"/>
      <c r="I2079" s="4"/>
    </row>
    <row r="2080" spans="1:9" ht="15">
      <c r="A2080" s="21">
        <f t="shared" si="37"/>
        <v>18</v>
      </c>
      <c r="B2080" s="14" t="s">
        <v>2826</v>
      </c>
      <c r="C2080" s="85" t="str">
        <f ca="1">IFERROR(__xludf.DUMMYFUNCTION("GOOGLETRANSLATE(B2080:B2095,""RU"",""UK"")"),"Клейма цифрові 2мм/3мм")</f>
        <v>Клейма цифрові 2мм/3мм</v>
      </c>
      <c r="D2080" s="15" t="s">
        <v>378</v>
      </c>
      <c r="E2080" s="15" t="s">
        <v>1761</v>
      </c>
      <c r="F2080" s="91" t="s">
        <v>78</v>
      </c>
      <c r="G2080" s="4"/>
      <c r="H2080" s="4"/>
      <c r="I2080" s="4"/>
    </row>
    <row r="2081" spans="1:9" ht="15">
      <c r="A2081" s="21">
        <f t="shared" si="37"/>
        <v>19</v>
      </c>
      <c r="B2081" s="14" t="s">
        <v>2827</v>
      </c>
      <c r="C2081" s="85" t="str">
        <f ca="1">IFERROR(__xludf.DUMMYFUNCTION("GOOGLETRANSLATE(B2081:B2096,""RU"",""UK"")"),"Клейма цифрові 4мм")</f>
        <v>Клейма цифрові 4мм</v>
      </c>
      <c r="D2081" s="15" t="s">
        <v>378</v>
      </c>
      <c r="E2081" s="15">
        <v>7</v>
      </c>
      <c r="F2081" s="91" t="s">
        <v>33</v>
      </c>
      <c r="G2081" s="4"/>
      <c r="H2081" s="4"/>
      <c r="I2081" s="4"/>
    </row>
    <row r="2082" spans="1:9" ht="15">
      <c r="A2082" s="21">
        <f t="shared" si="37"/>
        <v>20</v>
      </c>
      <c r="B2082" s="14" t="s">
        <v>2828</v>
      </c>
      <c r="C2082" s="85" t="str">
        <f ca="1">IFERROR(__xludf.DUMMYFUNCTION("GOOGLETRANSLATE(B2082:B2097,""RU"",""UK"")"),"Клейма цифрові 5мм")</f>
        <v>Клейма цифрові 5мм</v>
      </c>
      <c r="D2082" s="15" t="s">
        <v>378</v>
      </c>
      <c r="E2082" s="15">
        <v>6</v>
      </c>
      <c r="F2082" s="91" t="s">
        <v>1874</v>
      </c>
      <c r="G2082" s="4"/>
      <c r="H2082" s="4"/>
      <c r="I2082" s="4"/>
    </row>
    <row r="2083" spans="1:9" ht="15">
      <c r="A2083" s="21">
        <f t="shared" si="37"/>
        <v>21</v>
      </c>
      <c r="B2083" s="14" t="s">
        <v>2829</v>
      </c>
      <c r="C2083" s="85" t="str">
        <f ca="1">IFERROR(__xludf.DUMMYFUNCTION("GOOGLETRANSLATE(B2083:B2098,""RU"",""UK"")"),"Клейма цифрові 6мм")</f>
        <v>Клейма цифрові 6мм</v>
      </c>
      <c r="D2083" s="15" t="s">
        <v>378</v>
      </c>
      <c r="E2083" s="15">
        <v>10</v>
      </c>
      <c r="F2083" s="91" t="s">
        <v>102</v>
      </c>
      <c r="G2083" s="4"/>
      <c r="H2083" s="4"/>
      <c r="I2083" s="4"/>
    </row>
    <row r="2084" spans="1:9" ht="15">
      <c r="A2084" s="21">
        <f t="shared" si="37"/>
        <v>22</v>
      </c>
      <c r="B2084" s="14" t="s">
        <v>2830</v>
      </c>
      <c r="C2084" s="85" t="str">
        <f ca="1">IFERROR(__xludf.DUMMYFUNCTION("GOOGLETRANSLATE(B2084:B2099,""RU"",""UK"")"),"Клейма цифрові 10мм")</f>
        <v>Клейма цифрові 10мм</v>
      </c>
      <c r="D2084" s="15" t="s">
        <v>378</v>
      </c>
      <c r="E2084" s="15">
        <v>4</v>
      </c>
      <c r="F2084" s="91" t="s">
        <v>88</v>
      </c>
      <c r="G2084" s="4"/>
      <c r="H2084" s="4"/>
      <c r="I2084" s="4"/>
    </row>
    <row r="2085" spans="1:9" ht="15">
      <c r="A2085" s="21">
        <f t="shared" si="37"/>
        <v>23</v>
      </c>
      <c r="B2085" s="14" t="s">
        <v>2831</v>
      </c>
      <c r="C2085" s="85" t="str">
        <f ca="1">IFERROR(__xludf.DUMMYFUNCTION("GOOGLETRANSLATE(B2085:B2100,""RU"",""UK"")"),"Клейма алфавіт 2мм/3мм")</f>
        <v>Клейма алфавіт 2мм/3мм</v>
      </c>
      <c r="D2085" s="15" t="s">
        <v>378</v>
      </c>
      <c r="E2085" s="15" t="s">
        <v>749</v>
      </c>
      <c r="F2085" s="91" t="s">
        <v>231</v>
      </c>
      <c r="G2085" s="4"/>
      <c r="H2085" s="4"/>
      <c r="I2085" s="4"/>
    </row>
    <row r="2086" spans="1:9" ht="15">
      <c r="A2086" s="21">
        <f t="shared" si="37"/>
        <v>24</v>
      </c>
      <c r="B2086" s="14" t="s">
        <v>2832</v>
      </c>
      <c r="C2086" s="85" t="str">
        <f ca="1">IFERROR(__xludf.DUMMYFUNCTION("GOOGLETRANSLATE(B2086:B2101,""RU"",""UK"")"),"Клейма алфавіт 28шт ЛІЗ 3мм")</f>
        <v>Клейма алфавіт 28шт ЛІЗ 3мм</v>
      </c>
      <c r="D2086" s="15" t="s">
        <v>378</v>
      </c>
      <c r="E2086" s="15">
        <v>1</v>
      </c>
      <c r="F2086" s="91" t="s">
        <v>80</v>
      </c>
      <c r="G2086" s="4"/>
      <c r="H2086" s="4"/>
      <c r="I2086" s="4"/>
    </row>
    <row r="2087" spans="1:9" ht="15">
      <c r="A2087" s="21">
        <f t="shared" si="37"/>
        <v>25</v>
      </c>
      <c r="B2087" s="16" t="s">
        <v>2833</v>
      </c>
      <c r="C2087" s="85" t="str">
        <f ca="1">IFERROR(__xludf.DUMMYFUNCTION("GOOGLETRANSLATE(B2087:B2102,""RU"",""UK"")"),"Клейма алфавіт 5мм")</f>
        <v>Клейма алфавіт 5мм</v>
      </c>
      <c r="D2087" s="15" t="s">
        <v>378</v>
      </c>
      <c r="E2087" s="15">
        <v>1</v>
      </c>
      <c r="F2087" s="91" t="s">
        <v>2834</v>
      </c>
      <c r="G2087" s="4"/>
      <c r="H2087" s="4"/>
      <c r="I2087" s="4"/>
    </row>
    <row r="2088" spans="1:9" ht="15">
      <c r="A2088" s="21">
        <f t="shared" si="37"/>
        <v>26</v>
      </c>
      <c r="B2088" s="14" t="s">
        <v>2835</v>
      </c>
      <c r="C2088" s="85" t="str">
        <f ca="1">IFERROR(__xludf.DUMMYFUNCTION("GOOGLETRANSLATE(B2088:B2103,""RU"",""UK"")"),"Клейма алфавіт 6мм")</f>
        <v>Клейма алфавіт 6мм</v>
      </c>
      <c r="D2088" s="15" t="s">
        <v>378</v>
      </c>
      <c r="E2088" s="15">
        <v>5</v>
      </c>
      <c r="F2088" s="91" t="s">
        <v>237</v>
      </c>
      <c r="G2088" s="4"/>
      <c r="H2088" s="4"/>
      <c r="I2088" s="4"/>
    </row>
    <row r="2089" spans="1:9" ht="15">
      <c r="A2089" s="21">
        <f t="shared" si="37"/>
        <v>27</v>
      </c>
      <c r="B2089" s="14" t="s">
        <v>2836</v>
      </c>
      <c r="C2089" s="115" t="str">
        <f ca="1">IFERROR(__xludf.DUMMYFUNCTION("GOOGLETRANSLATE(B2089:B2104,""RU"",""UK"")"),"Клейма алфавіт 8мм/8мм без А")</f>
        <v>Клейма алфавіт 8мм/8мм без А</v>
      </c>
      <c r="D2089" s="15" t="s">
        <v>378</v>
      </c>
      <c r="E2089" s="15" t="s">
        <v>749</v>
      </c>
      <c r="F2089" s="91" t="s">
        <v>237</v>
      </c>
      <c r="G2089" s="4"/>
      <c r="H2089" s="4"/>
      <c r="I2089" s="4"/>
    </row>
    <row r="2090" spans="1:9" ht="15">
      <c r="A2090" s="68"/>
      <c r="B2090" s="69"/>
      <c r="C2090" s="119" t="s">
        <v>6036</v>
      </c>
      <c r="D2090" s="69"/>
      <c r="E2090" s="69"/>
      <c r="F2090" s="106"/>
      <c r="G2090" s="4"/>
      <c r="H2090" s="4"/>
      <c r="I2090" s="4"/>
    </row>
    <row r="2091" spans="1:9" ht="15">
      <c r="A2091" s="13">
        <v>1</v>
      </c>
      <c r="B2091" s="14" t="s">
        <v>2837</v>
      </c>
      <c r="C2091" s="47" t="str">
        <f ca="1">IFERROR(__xludf.DUMMYFUNCTION("GOOGLETRANSLATE(B2091:B2106,""RU"",""UK"")"),"Пластина твердосплавна 5гр. отв.6мм зі стружколомом 10114-110408(т15 та ВК8)")</f>
        <v>Пластина твердосплавна 5гр. отв.6мм зі стружколомом 10114-110408(т15 та ВК8)</v>
      </c>
      <c r="D2091" s="15" t="s">
        <v>6</v>
      </c>
      <c r="E2091" s="15" t="s">
        <v>2838</v>
      </c>
      <c r="F2091" s="91" t="s">
        <v>253</v>
      </c>
      <c r="G2091" s="4"/>
      <c r="H2091" s="4"/>
      <c r="I2091" s="4"/>
    </row>
    <row r="2092" spans="1:9" ht="15">
      <c r="A2092" s="13">
        <f>A2091+1</f>
        <v>2</v>
      </c>
      <c r="B2092" s="19" t="s">
        <v>2839</v>
      </c>
      <c r="C2092" s="85" t="str">
        <f ca="1">IFERROR(__xludf.DUMMYFUNCTION("GOOGLETRANSLATE(B2092:B2107,""RU"",""UK"")"),"Пластина тверда 5гр. отв.6мм гладкий. 10113-110408 ВК8/Т5К10/Т15К6")</f>
        <v>Пластина тверда 5гр. отв.6мм гладкий. 10113-110408 ВК8/Т5К10/Т15К6</v>
      </c>
      <c r="D2092" s="15" t="s">
        <v>6</v>
      </c>
      <c r="E2092" s="15" t="s">
        <v>2840</v>
      </c>
      <c r="F2092" s="91" t="s">
        <v>596</v>
      </c>
      <c r="G2092" s="4"/>
      <c r="H2092" s="4"/>
      <c r="I2092" s="4"/>
    </row>
    <row r="2093" spans="1:9" ht="15">
      <c r="A2093" s="21">
        <f t="shared" ref="A2093:A2156" si="38">A2092+1</f>
        <v>3</v>
      </c>
      <c r="B2093" s="14" t="s">
        <v>2841</v>
      </c>
      <c r="C2093" s="85" t="str">
        <f ca="1">IFERROR(__xludf.DUMMYFUNCTION("GOOGLETRANSLATE(B2093:B2108,""RU"",""UK"")"),"Пластина твердосплавна 5гр. велика зі стружк. ВК8 КІБ 101114-130612")</f>
        <v>Пластина твердосплавна 5гр. велика зі стружк. ВК8 КІБ 101114-130612</v>
      </c>
      <c r="D2093" s="15" t="s">
        <v>6</v>
      </c>
      <c r="E2093" s="15">
        <v>30</v>
      </c>
      <c r="F2093" s="91" t="s">
        <v>2842</v>
      </c>
      <c r="G2093" s="4"/>
      <c r="H2093" s="4"/>
      <c r="I2093" s="4"/>
    </row>
    <row r="2094" spans="1:9" ht="15">
      <c r="A2094" s="21">
        <f t="shared" si="38"/>
        <v>4</v>
      </c>
      <c r="B2094" s="14" t="s">
        <v>2843</v>
      </c>
      <c r="C2094" s="85" t="str">
        <f ca="1">IFERROR(__xludf.DUMMYFUNCTION("GOOGLETRANSLATE(B2094:B2109,""RU"",""UK"")"),"Пластина тверда 5гр. отв.8мм гладкий. 10113-110412 Т15К6")</f>
        <v>Пластина тверда 5гр. отв.8мм гладкий. 10113-110412 Т15К6</v>
      </c>
      <c r="D2094" s="15" t="s">
        <v>6</v>
      </c>
      <c r="E2094" s="15">
        <v>30</v>
      </c>
      <c r="F2094" s="91" t="s">
        <v>2842</v>
      </c>
      <c r="G2094" s="4"/>
      <c r="H2094" s="4"/>
      <c r="I2094" s="4"/>
    </row>
    <row r="2095" spans="1:9" ht="15">
      <c r="A2095" s="21">
        <f t="shared" si="38"/>
        <v>5</v>
      </c>
      <c r="B2095" s="14" t="s">
        <v>2844</v>
      </c>
      <c r="C2095" s="85" t="str">
        <f ca="1">IFERROR(__xludf.DUMMYFUNCTION("GOOGLETRANSLATE(B2095:B2110,""RU"",""UK"")"),"Пластина твердосплавна 4гр. дрібна Т15К10 03114-120408")</f>
        <v>Пластина твердосплавна 4гр. дрібна Т15К10 03114-120408</v>
      </c>
      <c r="D2095" s="15" t="s">
        <v>6</v>
      </c>
      <c r="E2095" s="15">
        <v>185</v>
      </c>
      <c r="F2095" s="91" t="s">
        <v>584</v>
      </c>
      <c r="G2095" s="4"/>
      <c r="H2095" s="4"/>
      <c r="I2095" s="4"/>
    </row>
    <row r="2096" spans="1:9" ht="15">
      <c r="A2096" s="21">
        <f t="shared" si="38"/>
        <v>6</v>
      </c>
      <c r="B2096" s="14" t="s">
        <v>2845</v>
      </c>
      <c r="C2096" s="85" t="str">
        <f ca="1">IFERROR(__xludf.DUMMYFUNCTION("GOOGLETRANSLATE(B2096:B2111,""RU"",""UK"")"),"Пластина твердосплавна 4гр. дрібна ВК8 03114-120408 / 0900304")</f>
        <v>Пластина твердосплавна 4гр. дрібна ВК8 03114-120408 / 0900304</v>
      </c>
      <c r="D2096" s="15" t="s">
        <v>6</v>
      </c>
      <c r="E2096" s="15" t="s">
        <v>2846</v>
      </c>
      <c r="F2096" s="91" t="s">
        <v>1174</v>
      </c>
      <c r="G2096" s="4"/>
      <c r="H2096" s="4"/>
      <c r="I2096" s="4"/>
    </row>
    <row r="2097" spans="1:9" ht="15">
      <c r="A2097" s="21">
        <f t="shared" si="38"/>
        <v>7</v>
      </c>
      <c r="B2097" s="14" t="s">
        <v>2847</v>
      </c>
      <c r="C2097" s="85" t="str">
        <f ca="1">IFERROR(__xludf.DUMMYFUNCTION("GOOGLETRANSLATE(B2097:B2112,""RU"",""UK"")"),"Пластина твердосплавна 4гр. середня Т15К6 03114-090308")</f>
        <v>Пластина твердосплавна 4гр. середня Т15К6 03114-090308</v>
      </c>
      <c r="D2097" s="15" t="s">
        <v>6</v>
      </c>
      <c r="E2097" s="15">
        <v>215</v>
      </c>
      <c r="F2097" s="91" t="s">
        <v>248</v>
      </c>
      <c r="G2097" s="4"/>
      <c r="H2097" s="4"/>
      <c r="I2097" s="4"/>
    </row>
    <row r="2098" spans="1:9" ht="15">
      <c r="A2098" s="21">
        <f t="shared" si="38"/>
        <v>8</v>
      </c>
      <c r="B2098" s="14" t="s">
        <v>2848</v>
      </c>
      <c r="C2098" s="85" t="str">
        <f ca="1">IFERROR(__xludf.DUMMYFUNCTION("GOOGLETRANSLATE(B2098:B2113,""RU"",""UK"")"),"Пластина твердосплавна 4гр. середня Т15К6 03114-150412 / 02114-100608")</f>
        <v>Пластина твердосплавна 4гр. середня Т15К6 03114-150412 / 02114-100608</v>
      </c>
      <c r="D2098" s="15" t="s">
        <v>6</v>
      </c>
      <c r="E2098" s="15" t="s">
        <v>2849</v>
      </c>
      <c r="F2098" s="91" t="s">
        <v>2850</v>
      </c>
      <c r="G2098" s="4"/>
      <c r="H2098" s="4"/>
      <c r="I2098" s="4"/>
    </row>
    <row r="2099" spans="1:9" ht="15">
      <c r="A2099" s="21">
        <f t="shared" si="38"/>
        <v>9</v>
      </c>
      <c r="B2099" s="14" t="s">
        <v>2851</v>
      </c>
      <c r="C2099" s="85" t="str">
        <f ca="1">IFERROR(__xludf.DUMMYFUNCTION("GOOGLETRANSLATE(B2099:B2114,""RU"",""UK"")"),"Пластина твердосплавна 4гр. гладка Т15К6 (15,8 х4, 76мм)")</f>
        <v>Пластина твердосплавна 4гр. гладка Т15К6 (15,8 х4, 76мм)</v>
      </c>
      <c r="D2099" s="15" t="s">
        <v>6</v>
      </c>
      <c r="E2099" s="15">
        <v>20</v>
      </c>
      <c r="F2099" s="91" t="s">
        <v>248</v>
      </c>
      <c r="G2099" s="4"/>
      <c r="H2099" s="4"/>
      <c r="I2099" s="4"/>
    </row>
    <row r="2100" spans="1:9" ht="15">
      <c r="A2100" s="21">
        <f t="shared" si="38"/>
        <v>10</v>
      </c>
      <c r="B2100" s="14" t="s">
        <v>2852</v>
      </c>
      <c r="C2100" s="85" t="str">
        <f ca="1">IFERROR(__xludf.DUMMYFUNCTION("GOOGLETRANSLATE(B2100:B2115,""RU"",""UK"")"),"Пластина твердосплавна 4гр. середня Т5К10 03114-150412")</f>
        <v>Пластина твердосплавна 4гр. середня Т5К10 03114-150412</v>
      </c>
      <c r="D2100" s="15" t="s">
        <v>6</v>
      </c>
      <c r="E2100" s="15">
        <v>0</v>
      </c>
      <c r="F2100" s="91" t="s">
        <v>2850</v>
      </c>
      <c r="G2100" s="4"/>
      <c r="H2100" s="4"/>
      <c r="I2100" s="4"/>
    </row>
    <row r="2101" spans="1:9" ht="15">
      <c r="A2101" s="21">
        <f t="shared" si="38"/>
        <v>11</v>
      </c>
      <c r="B2101" s="14" t="s">
        <v>2853</v>
      </c>
      <c r="C2101" s="85" t="str">
        <f ca="1">IFERROR(__xludf.DUMMYFUNCTION("GOOGLETRANSLATE(B2101:B2116,""RU"",""UK"")"),"Пластина твердосплавна 4гр. середня ВК8 03114-150412")</f>
        <v>Пластина твердосплавна 4гр. середня ВК8 03114-150412</v>
      </c>
      <c r="D2101" s="15" t="s">
        <v>6</v>
      </c>
      <c r="E2101" s="15">
        <v>78</v>
      </c>
      <c r="F2101" s="91" t="s">
        <v>2850</v>
      </c>
      <c r="G2101" s="4"/>
      <c r="H2101" s="4"/>
      <c r="I2101" s="4"/>
    </row>
    <row r="2102" spans="1:9" ht="15">
      <c r="A2102" s="21">
        <f t="shared" si="38"/>
        <v>12</v>
      </c>
      <c r="B2102" s="14" t="s">
        <v>2854</v>
      </c>
      <c r="C2102" s="85" t="str">
        <f ca="1">IFERROR(__xludf.DUMMYFUNCTION("GOOGLETRANSLATE(B2102:B2117,""RU"",""UK"")"),"Пластина твердосплавна 4гр. велика ВК8")</f>
        <v>Пластина твердосплавна 4гр. велика ВК8</v>
      </c>
      <c r="D2102" s="15" t="s">
        <v>6</v>
      </c>
      <c r="E2102" s="15">
        <v>45</v>
      </c>
      <c r="F2102" s="91" t="s">
        <v>183</v>
      </c>
      <c r="G2102" s="4"/>
      <c r="H2102" s="4"/>
      <c r="I2102" s="4"/>
    </row>
    <row r="2103" spans="1:9" ht="15">
      <c r="A2103" s="21">
        <f t="shared" si="38"/>
        <v>13</v>
      </c>
      <c r="B2103" s="14" t="s">
        <v>2855</v>
      </c>
      <c r="C2103" s="85" t="str">
        <f ca="1">IFERROR(__xludf.DUMMYFUNCTION("GOOGLETRANSLATE(B2103:B2118,""RU"",""UK"")"),"Пластина твердосплавна 4гр. без отвору Т15К6 03111-120408")</f>
        <v>Пластина твердосплавна 4гр. без отвору Т15К6 03111-120408</v>
      </c>
      <c r="D2103" s="15" t="s">
        <v>6</v>
      </c>
      <c r="E2103" s="15">
        <v>28</v>
      </c>
      <c r="F2103" s="91" t="s">
        <v>134</v>
      </c>
      <c r="G2103" s="4"/>
      <c r="H2103" s="4"/>
      <c r="I2103" s="4"/>
    </row>
    <row r="2104" spans="1:9" ht="15">
      <c r="A2104" s="21">
        <f t="shared" si="38"/>
        <v>14</v>
      </c>
      <c r="B2104" s="16" t="s">
        <v>2856</v>
      </c>
      <c r="C2104" s="85" t="str">
        <f ca="1">IFERROR(__xludf.DUMMYFUNCTION("GOOGLETRANSLATE(B2104:B2119,""RU"",""UK"")"),"Пластина твердосплавна кераміка 4гр. КНТ16/ТН20")</f>
        <v>Пластина твердосплавна кераміка 4гр. КНТ16/ТН20</v>
      </c>
      <c r="D2104" s="15" t="s">
        <v>6</v>
      </c>
      <c r="E2104" s="15" t="s">
        <v>2857</v>
      </c>
      <c r="F2104" s="91" t="s">
        <v>2858</v>
      </c>
      <c r="G2104" s="4"/>
      <c r="H2104" s="4"/>
      <c r="I2104" s="4"/>
    </row>
    <row r="2105" spans="1:9" ht="15">
      <c r="A2105" s="21">
        <f t="shared" si="38"/>
        <v>15</v>
      </c>
      <c r="B2105" s="45" t="s">
        <v>2859</v>
      </c>
      <c r="C2105" s="85" t="str">
        <f ca="1">IFERROR(__xludf.DUMMYFUNCTION("GOOGLETRANSLATE(B2105:B2120,""RU"",""UK"")"),"Пластина твердосплавна кераміка без отвору 4гр. ВОК (зел/червоний)")</f>
        <v>Пластина твердосплавна кераміка без отвору 4гр. ВОК (зел/червоний)</v>
      </c>
      <c r="D2105" s="60" t="s">
        <v>6</v>
      </c>
      <c r="E2105" s="60" t="s">
        <v>2860</v>
      </c>
      <c r="F2105" s="103" t="s">
        <v>201</v>
      </c>
      <c r="G2105" s="4"/>
      <c r="H2105" s="4"/>
      <c r="I2105" s="4"/>
    </row>
    <row r="2106" spans="1:9" ht="15">
      <c r="A2106" s="21">
        <f t="shared" si="38"/>
        <v>16</v>
      </c>
      <c r="B2106" s="14" t="s">
        <v>2861</v>
      </c>
      <c r="C2106" s="85" t="str">
        <f ca="1">IFERROR(__xludf.DUMMYFUNCTION("GOOGLETRANSLATE(B2106:B2121,""RU"",""UK"")"),"Пластина твердосплавна 3гр. дрібна Т15К6 02114-060308 (2,9гр)")</f>
        <v>Пластина твердосплавна 3гр. дрібна Т15К6 02114-060308 (2,9гр)</v>
      </c>
      <c r="D2106" s="15" t="s">
        <v>6</v>
      </c>
      <c r="E2106" s="15">
        <v>113</v>
      </c>
      <c r="F2106" s="91" t="s">
        <v>290</v>
      </c>
      <c r="G2106" s="4"/>
      <c r="H2106" s="4"/>
      <c r="I2106" s="4"/>
    </row>
    <row r="2107" spans="1:9" ht="15">
      <c r="A2107" s="21">
        <f t="shared" si="38"/>
        <v>17</v>
      </c>
      <c r="B2107" s="19" t="s">
        <v>2862</v>
      </c>
      <c r="C2107" s="85" t="str">
        <f ca="1">IFERROR(__xludf.DUMMYFUNCTION("GOOGLETRANSLATE(B2107:B2122,""RU"",""UK"")"),"Пластина твердосплавна 3гр. дрібна ВК8 02114-080408")</f>
        <v>Пластина твердосплавна 3гр. дрібна ВК8 02114-080408</v>
      </c>
      <c r="D2107" s="15" t="s">
        <v>6</v>
      </c>
      <c r="E2107" s="15" t="s">
        <v>2863</v>
      </c>
      <c r="F2107" s="91" t="s">
        <v>1174</v>
      </c>
      <c r="G2107" s="4"/>
      <c r="H2107" s="4"/>
      <c r="I2107" s="4"/>
    </row>
    <row r="2108" spans="1:9" ht="15">
      <c r="A2108" s="21">
        <f t="shared" si="38"/>
        <v>18</v>
      </c>
      <c r="B2108" s="14" t="s">
        <v>2864</v>
      </c>
      <c r="C2108" s="85" t="str">
        <f ca="1">IFERROR(__xludf.DUMMYFUNCTION("GOOGLETRANSLATE(B2108:B2123,""RU"",""UK"")"),"Пластина твердосплавна 3гр. дрібна Т5К10 02114-060304")</f>
        <v>Пластина твердосплавна 3гр. дрібна Т5К10 02114-060304</v>
      </c>
      <c r="D2108" s="15" t="s">
        <v>6</v>
      </c>
      <c r="E2108" s="15">
        <v>0</v>
      </c>
      <c r="F2108" s="91" t="s">
        <v>366</v>
      </c>
      <c r="G2108" s="4"/>
      <c r="H2108" s="4"/>
      <c r="I2108" s="4"/>
    </row>
    <row r="2109" spans="1:9" ht="15">
      <c r="A2109" s="21">
        <f t="shared" si="38"/>
        <v>19</v>
      </c>
      <c r="B2109" s="14" t="s">
        <v>2865</v>
      </c>
      <c r="C2109" s="85" t="str">
        <f ca="1">IFERROR(__xludf.DUMMYFUNCTION("GOOGLETRANSLATE(B2109:B2124,""RU"",""UK"")"),"Пластина твердосплавна 3гр. дрібна Т5К10 02114-080408")</f>
        <v>Пластина твердосплавна 3гр. дрібна Т5К10 02114-080408</v>
      </c>
      <c r="D2109" s="15" t="s">
        <v>6</v>
      </c>
      <c r="E2109" s="15">
        <v>16</v>
      </c>
      <c r="F2109" s="91" t="s">
        <v>1174</v>
      </c>
      <c r="G2109" s="4"/>
      <c r="H2109" s="4"/>
      <c r="I2109" s="4"/>
    </row>
    <row r="2110" spans="1:9" ht="15">
      <c r="A2110" s="21">
        <f t="shared" si="38"/>
        <v>20</v>
      </c>
      <c r="B2110" s="14" t="s">
        <v>2866</v>
      </c>
      <c r="C2110" s="85" t="str">
        <f ca="1">IFERROR(__xludf.DUMMYFUNCTION("GOOGLETRANSLATE(B2110:B2125,""RU"",""UK"")"),"Пластина твердосплавна 3гр. середня ВК1755-Р30 01114-220408")</f>
        <v>Пластина твердосплавна 3гр. середня ВК1755-Р30 01114-220408</v>
      </c>
      <c r="D2110" s="15" t="s">
        <v>6</v>
      </c>
      <c r="E2110" s="15">
        <v>300</v>
      </c>
      <c r="F2110" s="91" t="s">
        <v>2867</v>
      </c>
      <c r="G2110" s="4"/>
      <c r="H2110" s="4"/>
      <c r="I2110" s="4"/>
    </row>
    <row r="2111" spans="1:9" ht="15">
      <c r="A2111" s="21">
        <f t="shared" si="38"/>
        <v>21</v>
      </c>
      <c r="B2111" s="14" t="s">
        <v>2868</v>
      </c>
      <c r="C2111" s="85" t="str">
        <f ca="1">IFERROR(__xludf.DUMMYFUNCTION("GOOGLETRANSLATE(B2111:B2126,""RU"",""UK"")"),"Пластина твердосплавна 3гр. дрібна Т15К6 02114-080404")</f>
        <v>Пластина твердосплавна 3гр. дрібна Т15К6 02114-080404</v>
      </c>
      <c r="D2111" s="15" t="s">
        <v>6</v>
      </c>
      <c r="E2111" s="15">
        <v>168</v>
      </c>
      <c r="F2111" s="91" t="s">
        <v>169</v>
      </c>
      <c r="G2111" s="4"/>
      <c r="H2111" s="4"/>
      <c r="I2111" s="4"/>
    </row>
    <row r="2112" spans="1:9" ht="15">
      <c r="A2112" s="21">
        <f t="shared" si="38"/>
        <v>22</v>
      </c>
      <c r="B2112" s="16" t="s">
        <v>2869</v>
      </c>
      <c r="C2112" s="85" t="str">
        <f ca="1">IFERROR(__xludf.DUMMYFUNCTION("GOOGLETRANSLATE(B2112:B2127,""RU"",""UK"")"),"Пластина твердосплавна 3гр. середня Т5К10 02114-100608 (відп. 6,3мм)")</f>
        <v>Пластина твердосплавна 3гр. середня Т5К10 02114-100608 (відп. 6,3мм)</v>
      </c>
      <c r="D2112" s="15" t="s">
        <v>6</v>
      </c>
      <c r="E2112" s="15">
        <v>183</v>
      </c>
      <c r="F2112" s="91" t="s">
        <v>314</v>
      </c>
      <c r="G2112" s="4"/>
      <c r="H2112" s="4"/>
      <c r="I2112" s="4"/>
    </row>
    <row r="2113" spans="1:9" ht="15">
      <c r="A2113" s="21">
        <f t="shared" si="38"/>
        <v>23</v>
      </c>
      <c r="B2113" s="16" t="s">
        <v>2870</v>
      </c>
      <c r="C2113" s="85" t="str">
        <f ca="1">IFERROR(__xludf.DUMMYFUNCTION("GOOGLETRANSLATE(B2113:B2128,""RU"",""UK"")"),"Пластина твердосплавна 3гр. середня Т15К6 02114-100608 (відп. 6,3мм)")</f>
        <v>Пластина твердосплавна 3гр. середня Т15К6 02114-100608 (відп. 6,3мм)</v>
      </c>
      <c r="D2113" s="15" t="s">
        <v>6</v>
      </c>
      <c r="E2113" s="15">
        <v>312</v>
      </c>
      <c r="F2113" s="91" t="s">
        <v>314</v>
      </c>
      <c r="G2113" s="4"/>
      <c r="H2113" s="4"/>
      <c r="I2113" s="4"/>
    </row>
    <row r="2114" spans="1:9" ht="15">
      <c r="A2114" s="21">
        <f t="shared" si="38"/>
        <v>24</v>
      </c>
      <c r="B2114" s="16" t="s">
        <v>2871</v>
      </c>
      <c r="C2114" s="85" t="str">
        <f ca="1">IFERROR(__xludf.DUMMYFUNCTION("GOOGLETRANSLATE(B2114:B2129,""RU"",""UK"")"),"Пластина твердосплавна 3гр. середня ВК8 02114-100608 (відп. 6,3мм)")</f>
        <v>Пластина твердосплавна 3гр. середня ВК8 02114-100608 (відп. 6,3мм)</v>
      </c>
      <c r="D2114" s="15" t="s">
        <v>6</v>
      </c>
      <c r="E2114" s="15">
        <v>167</v>
      </c>
      <c r="F2114" s="91" t="s">
        <v>314</v>
      </c>
      <c r="G2114" s="4"/>
      <c r="H2114" s="4"/>
      <c r="I2114" s="4"/>
    </row>
    <row r="2115" spans="1:9" ht="15">
      <c r="A2115" s="21">
        <f t="shared" si="38"/>
        <v>25</v>
      </c>
      <c r="B2115" s="16" t="s">
        <v>2872</v>
      </c>
      <c r="C2115" s="85" t="str">
        <f ca="1">IFERROR(__xludf.DUMMYFUNCTION("GOOGLETRANSLATE(B2115:B2130,""RU"",""UK"")"),"Пластина твердосплавна 3гр. велика Т5К10 02114-120612 (відп. 7,93 мм)")</f>
        <v>Пластина твердосплавна 3гр. велика Т5К10 02114-120612 (відп. 7,93 мм)</v>
      </c>
      <c r="D2115" s="15" t="s">
        <v>6</v>
      </c>
      <c r="E2115" s="15">
        <v>0</v>
      </c>
      <c r="F2115" s="91" t="s">
        <v>596</v>
      </c>
      <c r="G2115" s="4"/>
      <c r="H2115" s="4"/>
      <c r="I2115" s="4"/>
    </row>
    <row r="2116" spans="1:9" ht="15">
      <c r="A2116" s="21">
        <f t="shared" si="38"/>
        <v>26</v>
      </c>
      <c r="B2116" s="14" t="s">
        <v>2873</v>
      </c>
      <c r="C2116" s="85" t="str">
        <f ca="1">IFERROR(__xludf.DUMMYFUNCTION("GOOGLETRANSLATE(B2116:B2131,""RU"",""UK"")"),"Пластина твердосплавна 3гр. велика ВК8 02114-120612(відп. 7,93мм)")</f>
        <v>Пластина твердосплавна 3гр. велика ВК8 02114-120612(відп. 7,93мм)</v>
      </c>
      <c r="D2116" s="15" t="s">
        <v>6</v>
      </c>
      <c r="E2116" s="15">
        <v>75</v>
      </c>
      <c r="F2116" s="91" t="s">
        <v>596</v>
      </c>
      <c r="G2116" s="4"/>
      <c r="H2116" s="4"/>
      <c r="I2116" s="4"/>
    </row>
    <row r="2117" spans="1:9" ht="15">
      <c r="A2117" s="21">
        <f t="shared" si="38"/>
        <v>27</v>
      </c>
      <c r="B2117" s="14" t="s">
        <v>2874</v>
      </c>
      <c r="C2117" s="85" t="str">
        <f ca="1">IFERROR(__xludf.DUMMYFUNCTION("GOOGLETRANSLATE(B2117:B2132,""RU"",""UK"")"),"Пластина твердосплавна 3гр. без отвору Т15К6 01117-160408")</f>
        <v>Пластина твердосплавна 3гр. без отвору Т15К6 01117-160408</v>
      </c>
      <c r="D2117" s="15" t="s">
        <v>6</v>
      </c>
      <c r="E2117" s="15">
        <v>9</v>
      </c>
      <c r="F2117" s="91" t="s">
        <v>167</v>
      </c>
      <c r="G2117" s="4"/>
      <c r="H2117" s="4"/>
      <c r="I2117" s="4"/>
    </row>
    <row r="2118" spans="1:9" ht="15">
      <c r="A2118" s="21">
        <f t="shared" si="38"/>
        <v>28</v>
      </c>
      <c r="B2118" s="45" t="s">
        <v>2875</v>
      </c>
      <c r="C2118" s="85" t="str">
        <f ca="1">IFERROR(__xludf.DUMMYFUNCTION("GOOGLETRANSLATE(B2118:B2133,""RU"",""UK"")"),"Пластина твердосплавна 3гр. без отвору ВОК71")</f>
        <v>Пластина твердосплавна 3гр. без отвору ВОК71</v>
      </c>
      <c r="D2118" s="60" t="s">
        <v>6</v>
      </c>
      <c r="E2118" s="60">
        <v>205</v>
      </c>
      <c r="F2118" s="103" t="s">
        <v>169</v>
      </c>
      <c r="G2118" s="4"/>
      <c r="H2118" s="4"/>
      <c r="I2118" s="4"/>
    </row>
    <row r="2119" spans="1:9" ht="15">
      <c r="A2119" s="21">
        <f t="shared" si="38"/>
        <v>29</v>
      </c>
      <c r="B2119" s="14" t="s">
        <v>2876</v>
      </c>
      <c r="C2119" s="85" t="str">
        <f ca="1">IFERROR(__xludf.DUMMYFUNCTION("GOOGLETRANSLATE(B2119:B2134,""RU"",""UK"")"),"Пластина тверда ромб. Т15К6 / ВК8 / Т5К10 05114-120412 / 2008-1952")</f>
        <v>Пластина тверда ромб. Т15К6 / ВК8 / Т5К10 05114-120412 / 2008-1952</v>
      </c>
      <c r="D2119" s="15" t="s">
        <v>6</v>
      </c>
      <c r="E2119" s="15" t="s">
        <v>2877</v>
      </c>
      <c r="F2119" s="91" t="s">
        <v>1180</v>
      </c>
      <c r="G2119" s="4"/>
      <c r="H2119" s="4"/>
      <c r="I2119" s="4"/>
    </row>
    <row r="2120" spans="1:9" ht="15">
      <c r="A2120" s="21">
        <f t="shared" si="38"/>
        <v>30</v>
      </c>
      <c r="B2120" s="14" t="s">
        <v>2878</v>
      </c>
      <c r="C2120" s="85" t="str">
        <f ca="1">IFERROR(__xludf.DUMMYFUNCTION("GOOGLETRANSLATE(B2120:B2135,""RU"",""UK"")"),"Пластина тверда ромб. 05114-190612")</f>
        <v>Пластина тверда ромб. 05114-190612</v>
      </c>
      <c r="D2120" s="15" t="s">
        <v>6</v>
      </c>
      <c r="E2120" s="15">
        <v>37</v>
      </c>
      <c r="F2120" s="91" t="s">
        <v>209</v>
      </c>
      <c r="G2120" s="4"/>
      <c r="H2120" s="4"/>
      <c r="I2120" s="4"/>
    </row>
    <row r="2121" spans="1:9" ht="15">
      <c r="A2121" s="21">
        <f t="shared" si="38"/>
        <v>31</v>
      </c>
      <c r="B2121" s="14" t="s">
        <v>2879</v>
      </c>
      <c r="C2121" s="85" t="str">
        <f ca="1">IFERROR(__xludf.DUMMYFUNCTION("GOOGLETRANSLATE(B2121:B2136,""RU"",""UK"")"),"Пластина тверда ромб. різц.")</f>
        <v>Пластина тверда ромб. різц.</v>
      </c>
      <c r="D2121" s="15" t="s">
        <v>6</v>
      </c>
      <c r="E2121" s="15">
        <v>49</v>
      </c>
      <c r="F2121" s="91" t="s">
        <v>1180</v>
      </c>
      <c r="G2121" s="4"/>
      <c r="H2121" s="4"/>
      <c r="I2121" s="4"/>
    </row>
    <row r="2122" spans="1:9" ht="15">
      <c r="A2122" s="21">
        <f t="shared" si="38"/>
        <v>32</v>
      </c>
      <c r="B2122" s="19" t="s">
        <v>2880</v>
      </c>
      <c r="C2122" s="85" t="str">
        <f ca="1">IFERROR(__xludf.DUMMYFUNCTION("GOOGLETRANSLATE(B2122:B2137,""RU"",""UK"")"),"Пластина тверда кругла 12113-150600 Т5К10 (Р40)")</f>
        <v>Пластина тверда кругла 12113-150600 Т5К10 (Р40)</v>
      </c>
      <c r="D2122" s="15" t="s">
        <v>6</v>
      </c>
      <c r="E2122" s="15">
        <v>0</v>
      </c>
      <c r="F2122" s="91" t="s">
        <v>314</v>
      </c>
      <c r="G2122" s="4"/>
      <c r="H2122" s="4"/>
      <c r="I2122" s="4"/>
    </row>
    <row r="2123" spans="1:9" ht="15">
      <c r="A2123" s="21">
        <f t="shared" si="38"/>
        <v>33</v>
      </c>
      <c r="B2123" s="14" t="s">
        <v>2881</v>
      </c>
      <c r="C2123" s="85" t="str">
        <f ca="1">IFERROR(__xludf.DUMMYFUNCTION("GOOGLETRANSLATE(B2123:B2138,""RU"",""UK"")"),"Пластина паралелогр. (Шифер) прав. 08116-190610 Т5К10/ВК8/Т15")</f>
        <v>Пластина паралелогр. (Шифер) прав. 08116-190610 Т5К10/ВК8/Т15</v>
      </c>
      <c r="D2123" s="15" t="s">
        <v>6</v>
      </c>
      <c r="E2123" s="15" t="s">
        <v>2882</v>
      </c>
      <c r="F2123" s="91" t="s">
        <v>183</v>
      </c>
      <c r="G2123" s="4"/>
      <c r="H2123" s="4"/>
      <c r="I2123" s="4"/>
    </row>
    <row r="2124" spans="1:9" ht="15">
      <c r="A2124" s="21">
        <f t="shared" si="38"/>
        <v>34</v>
      </c>
      <c r="B2124" s="14" t="s">
        <v>2883</v>
      </c>
      <c r="C2124" s="85" t="str">
        <f ca="1">IFERROR(__xludf.DUMMYFUNCTION("GOOGLETRANSLATE(B2124:B2139,""RU"",""UK"")"),"Пластина паралелогр. (Шифер) лев. 08116-190610 Т15К6/Т5К10")</f>
        <v>Пластина паралелогр. (Шифер) лев. 08116-190610 Т15К6/Т5К10</v>
      </c>
      <c r="D2124" s="15" t="s">
        <v>6</v>
      </c>
      <c r="E2124" s="15" t="s">
        <v>2884</v>
      </c>
      <c r="F2124" s="91" t="s">
        <v>183</v>
      </c>
      <c r="G2124" s="4"/>
      <c r="H2124" s="4"/>
      <c r="I2124" s="4"/>
    </row>
    <row r="2125" spans="1:9" ht="15">
      <c r="A2125" s="21">
        <f t="shared" si="38"/>
        <v>35</v>
      </c>
      <c r="B2125" s="14" t="s">
        <v>2885</v>
      </c>
      <c r="C2125" s="85" t="str">
        <f ca="1">IFERROR(__xludf.DUMMYFUNCTION("GOOGLETRANSLATE(B2125:B2140,""RU"",""UK"")"),"Пластина шаберна ВК6-ОМ 30х15")</f>
        <v>Пластина шаберна ВК6-ОМ 30х15</v>
      </c>
      <c r="D2125" s="15" t="s">
        <v>6</v>
      </c>
      <c r="E2125" s="15">
        <v>3</v>
      </c>
      <c r="F2125" s="91" t="s">
        <v>33</v>
      </c>
      <c r="G2125" s="4"/>
      <c r="H2125" s="4"/>
      <c r="I2125" s="4"/>
    </row>
    <row r="2126" spans="1:9" ht="15">
      <c r="A2126" s="21">
        <f t="shared" si="38"/>
        <v>36</v>
      </c>
      <c r="B2126" s="14" t="s">
        <v>2886</v>
      </c>
      <c r="C2126" s="85" t="str">
        <f ca="1">IFERROR(__xludf.DUMMYFUNCTION("GOOGLETRANSLATE(B2126:B2141,""RU"",""UK"")"),"Пластина відрізна Т5К10 13171 (6.54) / 1363")</f>
        <v>Пластина відрізна Т5К10 13171 (6.54) / 1363</v>
      </c>
      <c r="D2126" s="15" t="s">
        <v>6</v>
      </c>
      <c r="E2126" s="15" t="s">
        <v>2887</v>
      </c>
      <c r="F2126" s="91" t="s">
        <v>302</v>
      </c>
      <c r="G2126" s="4"/>
      <c r="H2126" s="4"/>
      <c r="I2126" s="4"/>
    </row>
    <row r="2127" spans="1:9" ht="15">
      <c r="A2127" s="21">
        <f t="shared" si="38"/>
        <v>37</v>
      </c>
      <c r="B2127" s="14" t="s">
        <v>2888</v>
      </c>
      <c r="C2127" s="85" t="str">
        <f ca="1">IFERROR(__xludf.DUMMYFUNCTION("GOOGLETRANSLATE(B2127:B2142,""RU"",""UK"")"),"Пластина відрізна Т5К10 13151")</f>
        <v>Пластина відрізна Т5К10 13151</v>
      </c>
      <c r="D2127" s="15" t="s">
        <v>6</v>
      </c>
      <c r="E2127" s="15">
        <v>148</v>
      </c>
      <c r="F2127" s="91" t="s">
        <v>2889</v>
      </c>
      <c r="G2127" s="4"/>
      <c r="H2127" s="4"/>
      <c r="I2127" s="4"/>
    </row>
    <row r="2128" spans="1:9" ht="15">
      <c r="A2128" s="21">
        <f t="shared" si="38"/>
        <v>38</v>
      </c>
      <c r="B2128" s="14" t="s">
        <v>2890</v>
      </c>
      <c r="C2128" s="85" t="str">
        <f ca="1">IFERROR(__xludf.DUMMYFUNCTION("GOOGLETRANSLATE(B2128:B2143,""RU"",""UK"")"),"Пластина відрізна Т15К6 13131 (3.53)")</f>
        <v>Пластина відрізна Т15К6 13131 (3.53)</v>
      </c>
      <c r="D2128" s="15" t="s">
        <v>6</v>
      </c>
      <c r="E2128" s="15">
        <v>1060</v>
      </c>
      <c r="F2128" s="91" t="s">
        <v>1301</v>
      </c>
      <c r="G2128" s="4"/>
      <c r="H2128" s="4"/>
      <c r="I2128" s="4"/>
    </row>
    <row r="2129" spans="1:9" ht="15">
      <c r="A2129" s="21">
        <f t="shared" si="38"/>
        <v>39</v>
      </c>
      <c r="B2129" s="14" t="s">
        <v>2891</v>
      </c>
      <c r="C2129" s="85" t="str">
        <f ca="1">IFERROR(__xludf.DUMMYFUNCTION("GOOGLETRANSLATE(B2129:B2144,""RU"",""UK"")"),"Пластина відрізна Т15К6 13151")</f>
        <v>Пластина відрізна Т15К6 13151</v>
      </c>
      <c r="D2129" s="15" t="s">
        <v>6</v>
      </c>
      <c r="E2129" s="15">
        <v>0</v>
      </c>
      <c r="F2129" s="91" t="s">
        <v>2892</v>
      </c>
      <c r="G2129" s="4"/>
      <c r="H2129" s="4"/>
      <c r="I2129" s="4"/>
    </row>
    <row r="2130" spans="1:9" ht="15">
      <c r="A2130" s="21">
        <f t="shared" si="38"/>
        <v>40</v>
      </c>
      <c r="B2130" s="14" t="s">
        <v>2893</v>
      </c>
      <c r="C2130" s="85" t="str">
        <f ca="1">IFERROR(__xludf.DUMMYFUNCTION("GOOGLETRANSLATE(B2130:B2145,""RU"",""UK"")"),"Пластина відрізна Т15К6 13351")</f>
        <v>Пластина відрізна Т15К6 13351</v>
      </c>
      <c r="D2130" s="15" t="s">
        <v>6</v>
      </c>
      <c r="E2130" s="15">
        <v>110</v>
      </c>
      <c r="F2130" s="91" t="s">
        <v>292</v>
      </c>
      <c r="G2130" s="4"/>
      <c r="H2130" s="4"/>
      <c r="I2130" s="4"/>
    </row>
    <row r="2131" spans="1:9" ht="15">
      <c r="A2131" s="21">
        <f t="shared" si="38"/>
        <v>41</v>
      </c>
      <c r="B2131" s="14" t="s">
        <v>2894</v>
      </c>
      <c r="C2131" s="85" t="str">
        <f ca="1">IFERROR(__xludf.DUMMYFUNCTION("GOOGLETRANSLATE(B2131:B2146,""RU"",""UK"")"),"Пластина відрізна Т15К6 13532 (1.7)")</f>
        <v>Пластина відрізна Т15К6 13532 (1.7)</v>
      </c>
      <c r="D2131" s="15" t="s">
        <v>6</v>
      </c>
      <c r="E2131" s="15">
        <v>9</v>
      </c>
      <c r="F2131" s="91" t="s">
        <v>1236</v>
      </c>
      <c r="G2131" s="4"/>
      <c r="H2131" s="4"/>
      <c r="I2131" s="4"/>
    </row>
    <row r="2132" spans="1:9" ht="15">
      <c r="A2132" s="21">
        <f t="shared" si="38"/>
        <v>42</v>
      </c>
      <c r="B2132" s="14" t="s">
        <v>2895</v>
      </c>
      <c r="C2132" s="85" t="str">
        <f ca="1">IFERROR(__xludf.DUMMYFUNCTION("GOOGLETRANSLATE(B2132:B2147,""RU"",""UK"")"),"Пластина відрізна Т15К6 13572 (4.8)")</f>
        <v>Пластина відрізна Т15К6 13572 (4.8)</v>
      </c>
      <c r="D2132" s="15" t="s">
        <v>6</v>
      </c>
      <c r="E2132" s="15">
        <v>17</v>
      </c>
      <c r="F2132" s="91" t="s">
        <v>417</v>
      </c>
      <c r="G2132" s="4"/>
      <c r="H2132" s="4"/>
      <c r="I2132" s="4"/>
    </row>
    <row r="2133" spans="1:9" ht="15">
      <c r="A2133" s="21">
        <f t="shared" si="38"/>
        <v>43</v>
      </c>
      <c r="B2133" s="14" t="s">
        <v>2896</v>
      </c>
      <c r="C2133" s="85" t="str">
        <f ca="1">IFERROR(__xludf.DUMMYFUNCTION("GOOGLETRANSLATE(B2133:B2148,""RU"",""UK"")"),"Пластина відрізна Т15К6 13171 (11.5)")</f>
        <v>Пластина відрізна Т15К6 13171 (11.5)</v>
      </c>
      <c r="D2133" s="15" t="s">
        <v>6</v>
      </c>
      <c r="E2133" s="15">
        <v>196</v>
      </c>
      <c r="F2133" s="91" t="s">
        <v>286</v>
      </c>
      <c r="G2133" s="4"/>
      <c r="H2133" s="4"/>
      <c r="I2133" s="4"/>
    </row>
    <row r="2134" spans="1:9" ht="15">
      <c r="A2134" s="21">
        <f t="shared" si="38"/>
        <v>44</v>
      </c>
      <c r="B2134" s="14" t="s">
        <v>2897</v>
      </c>
      <c r="C2134" s="85" t="str">
        <f ca="1">IFERROR(__xludf.DUMMYFUNCTION("GOOGLETRANSLATE(B2134:B2149,""RU"",""UK"")"),"Пластина відрізна Т15К6 13351 (5.73)")</f>
        <v>Пластина відрізна Т15К6 13351 (5.73)</v>
      </c>
      <c r="D2134" s="15" t="s">
        <v>6</v>
      </c>
      <c r="E2134" s="15">
        <v>560</v>
      </c>
      <c r="F2134" s="91" t="s">
        <v>2898</v>
      </c>
      <c r="G2134" s="4"/>
      <c r="H2134" s="4"/>
      <c r="I2134" s="4"/>
    </row>
    <row r="2135" spans="1:9" ht="15">
      <c r="A2135" s="21">
        <f t="shared" si="38"/>
        <v>45</v>
      </c>
      <c r="B2135" s="14" t="s">
        <v>2899</v>
      </c>
      <c r="C2135" s="85" t="str">
        <f ca="1">IFERROR(__xludf.DUMMYFUNCTION("GOOGLETRANSLATE(B2135:B2150,""RU"",""UK"")"),"Пластина відрізна ВК8 13552 (2.84)")</f>
        <v>Пластина відрізна ВК8 13552 (2.84)</v>
      </c>
      <c r="D2135" s="15" t="s">
        <v>6</v>
      </c>
      <c r="E2135" s="15">
        <v>318</v>
      </c>
      <c r="F2135" s="91" t="s">
        <v>417</v>
      </c>
      <c r="G2135" s="4"/>
      <c r="H2135" s="4"/>
      <c r="I2135" s="4"/>
    </row>
    <row r="2136" spans="1:9" ht="15">
      <c r="A2136" s="21">
        <f t="shared" si="38"/>
        <v>46</v>
      </c>
      <c r="B2136" s="14" t="s">
        <v>2900</v>
      </c>
      <c r="C2136" s="85" t="str">
        <f ca="1">IFERROR(__xludf.DUMMYFUNCTION("GOOGLETRANSLATE(B2136:B2151,""RU"",""UK"")"),"Пластина відрізна ВК8 13572 (4.08)")</f>
        <v>Пластина відрізна ВК8 13572 (4.08)</v>
      </c>
      <c r="D2136" s="15" t="s">
        <v>6</v>
      </c>
      <c r="E2136" s="15">
        <v>220</v>
      </c>
      <c r="F2136" s="91" t="s">
        <v>2343</v>
      </c>
      <c r="G2136" s="4"/>
      <c r="H2136" s="4"/>
      <c r="I2136" s="4"/>
    </row>
    <row r="2137" spans="1:9" ht="15">
      <c r="A2137" s="21">
        <f t="shared" si="38"/>
        <v>47</v>
      </c>
      <c r="B2137" s="14" t="s">
        <v>2901</v>
      </c>
      <c r="C2137" s="85" t="str">
        <f ca="1">IFERROR(__xludf.DUMMYFUNCTION("GOOGLETRANSLATE(B2137:B2152,""RU"",""UK"")"),"Пластина відрізна ВК8 13151 (4.46)")</f>
        <v>Пластина відрізна ВК8 13151 (4.46)</v>
      </c>
      <c r="D2137" s="15" t="s">
        <v>6</v>
      </c>
      <c r="E2137" s="15">
        <v>1205</v>
      </c>
      <c r="F2137" s="91" t="s">
        <v>606</v>
      </c>
      <c r="G2137" s="4"/>
      <c r="H2137" s="4"/>
      <c r="I2137" s="4"/>
    </row>
    <row r="2138" spans="1:9" ht="15">
      <c r="A2138" s="21">
        <f t="shared" si="38"/>
        <v>48</v>
      </c>
      <c r="B2138" s="14" t="s">
        <v>2902</v>
      </c>
      <c r="C2138" s="85" t="str">
        <f ca="1">IFERROR(__xludf.DUMMYFUNCTION("GOOGLETRANSLATE(B2138:B2153,""RU"",""UK"")"),"Пластина відрізна ВК8 13131 (4.54)")</f>
        <v>Пластина відрізна ВК8 13131 (4.54)</v>
      </c>
      <c r="D2138" s="15" t="s">
        <v>6</v>
      </c>
      <c r="E2138" s="15">
        <v>1280</v>
      </c>
      <c r="F2138" s="91" t="s">
        <v>292</v>
      </c>
      <c r="G2138" s="4"/>
      <c r="H2138" s="4"/>
      <c r="I2138" s="4"/>
    </row>
    <row r="2139" spans="1:9" ht="15">
      <c r="A2139" s="21">
        <f t="shared" si="38"/>
        <v>49</v>
      </c>
      <c r="B2139" s="14" t="s">
        <v>2903</v>
      </c>
      <c r="C2139" s="85" t="str">
        <f ca="1">IFERROR(__xludf.DUMMYFUNCTION("GOOGLETRANSLATE(B2139:B2154,""RU"",""UK"")"),"Пластина відрізна ВК8 13171 (7.5)")</f>
        <v>Пластина відрізна ВК8 13171 (7.5)</v>
      </c>
      <c r="D2139" s="15" t="s">
        <v>6</v>
      </c>
      <c r="E2139" s="15">
        <v>269</v>
      </c>
      <c r="F2139" s="91" t="s">
        <v>2904</v>
      </c>
      <c r="G2139" s="4"/>
      <c r="H2139" s="4"/>
      <c r="I2139" s="4"/>
    </row>
    <row r="2140" spans="1:9" ht="15">
      <c r="A2140" s="21">
        <f t="shared" si="38"/>
        <v>50</v>
      </c>
      <c r="B2140" s="14" t="s">
        <v>2905</v>
      </c>
      <c r="C2140" s="85" t="str">
        <f ca="1">IFERROR(__xludf.DUMMYFUNCTION("GOOGLETRANSLATE(B2140:B2155,""RU"",""UK"")"),"Пластина відрізна ВК8 13612 (12гр)")</f>
        <v>Пластина відрізна ВК8 13612 (12гр)</v>
      </c>
      <c r="D2140" s="15" t="s">
        <v>6</v>
      </c>
      <c r="E2140" s="15">
        <v>65</v>
      </c>
      <c r="F2140" s="91" t="s">
        <v>2906</v>
      </c>
      <c r="G2140" s="4"/>
      <c r="H2140" s="4"/>
      <c r="I2140" s="4"/>
    </row>
    <row r="2141" spans="1:9" ht="15">
      <c r="A2141" s="21">
        <f t="shared" si="38"/>
        <v>51</v>
      </c>
      <c r="B2141" s="14" t="s">
        <v>2907</v>
      </c>
      <c r="C2141" s="85" t="str">
        <f ca="1">IFERROR(__xludf.DUMMYFUNCTION("GOOGLETRANSLATE(B2141:B2156,""RU"",""UK"")"),"Пластина різьбова Т5К10 11170 (2.55)")</f>
        <v>Пластина різьбова Т5К10 11170 (2.55)</v>
      </c>
      <c r="D2141" s="15" t="s">
        <v>6</v>
      </c>
      <c r="E2141" s="15">
        <v>139</v>
      </c>
      <c r="F2141" s="91" t="s">
        <v>1391</v>
      </c>
      <c r="G2141" s="4"/>
      <c r="H2141" s="4"/>
      <c r="I2141" s="4"/>
    </row>
    <row r="2142" spans="1:9" ht="15">
      <c r="A2142" s="21">
        <f t="shared" si="38"/>
        <v>52</v>
      </c>
      <c r="B2142" s="14" t="s">
        <v>2908</v>
      </c>
      <c r="C2142" s="85" t="str">
        <f ca="1">IFERROR(__xludf.DUMMYFUNCTION("GOOGLETRANSLATE(B2142:B2157,""RU"",""UK"")"),"Пластина різьбова Т5К10 11210 (9.77)")</f>
        <v>Пластина різьбова Т5К10 11210 (9.77)</v>
      </c>
      <c r="D2142" s="15" t="s">
        <v>6</v>
      </c>
      <c r="E2142" s="15">
        <v>40</v>
      </c>
      <c r="F2142" s="91" t="s">
        <v>290</v>
      </c>
      <c r="G2142" s="4"/>
      <c r="H2142" s="4"/>
      <c r="I2142" s="4"/>
    </row>
    <row r="2143" spans="1:9" ht="15">
      <c r="A2143" s="21">
        <f t="shared" si="38"/>
        <v>53</v>
      </c>
      <c r="B2143" s="14" t="s">
        <v>2909</v>
      </c>
      <c r="C2143" s="85" t="str">
        <f ca="1">IFERROR(__xludf.DUMMYFUNCTION("GOOGLETRANSLATE(B2143:B2158,""RU"",""UK"")"),"Пластина різьбова Т5К10 11190 (13.95)")</f>
        <v>Пластина різьбова Т5К10 11190 (13.95)</v>
      </c>
      <c r="D2143" s="15" t="s">
        <v>6</v>
      </c>
      <c r="E2143" s="15">
        <v>250</v>
      </c>
      <c r="F2143" s="91" t="s">
        <v>1239</v>
      </c>
      <c r="G2143" s="4"/>
      <c r="H2143" s="4"/>
      <c r="I2143" s="4"/>
    </row>
    <row r="2144" spans="1:9" ht="15">
      <c r="A2144" s="21">
        <f t="shared" si="38"/>
        <v>54</v>
      </c>
      <c r="B2144" s="14" t="s">
        <v>2910</v>
      </c>
      <c r="C2144" s="85" t="str">
        <f ca="1">IFERROR(__xludf.DUMMYFUNCTION("GOOGLETRANSLATE(B2144:B2159,""RU"",""UK"")"),"Пластина різьбова Т5К10 11230 (15.27)")</f>
        <v>Пластина різьбова Т5К10 11230 (15.27)</v>
      </c>
      <c r="D2144" s="15" t="s">
        <v>6</v>
      </c>
      <c r="E2144" s="15">
        <v>35</v>
      </c>
      <c r="F2144" s="91" t="s">
        <v>2911</v>
      </c>
      <c r="G2144" s="4"/>
      <c r="H2144" s="4"/>
      <c r="I2144" s="4"/>
    </row>
    <row r="2145" spans="1:9" ht="15">
      <c r="A2145" s="21">
        <f t="shared" si="38"/>
        <v>55</v>
      </c>
      <c r="B2145" s="14" t="s">
        <v>2912</v>
      </c>
      <c r="C2145" s="85" t="str">
        <f ca="1">IFERROR(__xludf.DUMMYFUNCTION("GOOGLETRANSLATE(B2145:B2160,""RU"",""UK"")"),"Пластина різьбова Т15К6 11170 (2.27)")</f>
        <v>Пластина різьбова Т15К6 11170 (2.27)</v>
      </c>
      <c r="D2145" s="15" t="s">
        <v>6</v>
      </c>
      <c r="E2145" s="15">
        <v>956</v>
      </c>
      <c r="F2145" s="91" t="s">
        <v>2913</v>
      </c>
      <c r="G2145" s="4"/>
      <c r="H2145" s="4"/>
      <c r="I2145" s="4"/>
    </row>
    <row r="2146" spans="1:9" ht="15">
      <c r="A2146" s="21">
        <f t="shared" si="38"/>
        <v>56</v>
      </c>
      <c r="B2146" s="14" t="s">
        <v>2914</v>
      </c>
      <c r="C2146" s="85" t="str">
        <f ca="1">IFERROR(__xludf.DUMMYFUNCTION("GOOGLETRANSLATE(B2146:B2161,""RU"",""UK"")"),"Пластина різьбова Т15К6 11210 (9,70)")</f>
        <v>Пластина різьбова Т15К6 11210 (9,70)</v>
      </c>
      <c r="D2146" s="15" t="s">
        <v>6</v>
      </c>
      <c r="E2146" s="15">
        <v>42</v>
      </c>
      <c r="F2146" s="91" t="s">
        <v>602</v>
      </c>
      <c r="G2146" s="4"/>
      <c r="H2146" s="4"/>
      <c r="I2146" s="4"/>
    </row>
    <row r="2147" spans="1:9" ht="15">
      <c r="A2147" s="21">
        <f t="shared" si="38"/>
        <v>57</v>
      </c>
      <c r="B2147" s="14" t="s">
        <v>2915</v>
      </c>
      <c r="C2147" s="85" t="str">
        <f ca="1">IFERROR(__xludf.DUMMYFUNCTION("GOOGLETRANSLATE(B2147:B2162,""RU"",""UK"")"),"Пластина різьбова Т15К6 11230 (13.50)")</f>
        <v>Пластина різьбова Т15К6 11230 (13.50)</v>
      </c>
      <c r="D2147" s="15" t="s">
        <v>6</v>
      </c>
      <c r="E2147" s="15">
        <v>240</v>
      </c>
      <c r="F2147" s="91" t="s">
        <v>1073</v>
      </c>
      <c r="G2147" s="4"/>
      <c r="H2147" s="4"/>
      <c r="I2147" s="4"/>
    </row>
    <row r="2148" spans="1:9" ht="15">
      <c r="A2148" s="21">
        <f t="shared" si="38"/>
        <v>58</v>
      </c>
      <c r="B2148" s="14" t="s">
        <v>2916</v>
      </c>
      <c r="C2148" s="85" t="str">
        <f ca="1">IFERROR(__xludf.DUMMYFUNCTION("GOOGLETRANSLATE(B2148:B2163,""RU"",""UK"")"),"Пластина різьбова ВК8 11150 (1.73) / ВК3М 11150 (1.76)")</f>
        <v>Пластина різьбова ВК8 11150 (1.73) / ВК3М 11150 (1.76)</v>
      </c>
      <c r="D2148" s="15" t="s">
        <v>6</v>
      </c>
      <c r="E2148" s="15" t="s">
        <v>2917</v>
      </c>
      <c r="F2148" s="91" t="s">
        <v>682</v>
      </c>
      <c r="G2148" s="4"/>
      <c r="H2148" s="4"/>
      <c r="I2148" s="4"/>
    </row>
    <row r="2149" spans="1:9" ht="15">
      <c r="A2149" s="21">
        <f t="shared" si="38"/>
        <v>59</v>
      </c>
      <c r="B2149" s="14" t="s">
        <v>2918</v>
      </c>
      <c r="C2149" s="85" t="str">
        <f ca="1">IFERROR(__xludf.DUMMYFUNCTION("GOOGLETRANSLATE(B2149:B2164,""RU"",""UK"")"),"Пластина різьбова ВК8 11170 (2.91) / ВК6М 11170 (2.91)")</f>
        <v>Пластина різьбова ВК8 11170 (2.91) / ВК6М 11170 (2.91)</v>
      </c>
      <c r="D2149" s="15" t="s">
        <v>6</v>
      </c>
      <c r="E2149" s="15" t="s">
        <v>2919</v>
      </c>
      <c r="F2149" s="91" t="s">
        <v>610</v>
      </c>
      <c r="G2149" s="4"/>
      <c r="H2149" s="4"/>
      <c r="I2149" s="4"/>
    </row>
    <row r="2150" spans="1:9" ht="15">
      <c r="A2150" s="21">
        <f t="shared" si="38"/>
        <v>60</v>
      </c>
      <c r="B2150" s="14" t="s">
        <v>2920</v>
      </c>
      <c r="C2150" s="85" t="str">
        <f ca="1">IFERROR(__xludf.DUMMYFUNCTION("GOOGLETRANSLATE(B2150:B2165,""RU"",""UK"")"),"Пластина різьбова ВК8 11190 (4.52)")</f>
        <v>Пластина різьбова ВК8 11190 (4.52)</v>
      </c>
      <c r="D2150" s="15" t="s">
        <v>6</v>
      </c>
      <c r="E2150" s="15">
        <v>182</v>
      </c>
      <c r="F2150" s="91" t="s">
        <v>2921</v>
      </c>
      <c r="G2150" s="4"/>
      <c r="H2150" s="4"/>
      <c r="I2150" s="4"/>
    </row>
    <row r="2151" spans="1:9" ht="15">
      <c r="A2151" s="21">
        <f t="shared" si="38"/>
        <v>61</v>
      </c>
      <c r="B2151" s="14" t="s">
        <v>2922</v>
      </c>
      <c r="C2151" s="85" t="str">
        <f ca="1">IFERROR(__xludf.DUMMYFUNCTION("GOOGLETRANSLATE(B2151:B2166,""RU"",""UK"")"),"Пластина різьбова ВК8 11210 (9.31)")</f>
        <v>Пластина різьбова ВК8 11210 (9.31)</v>
      </c>
      <c r="D2151" s="15" t="s">
        <v>6</v>
      </c>
      <c r="E2151" s="15">
        <v>83</v>
      </c>
      <c r="F2151" s="91" t="s">
        <v>124</v>
      </c>
      <c r="G2151" s="4"/>
      <c r="H2151" s="4"/>
      <c r="I2151" s="4"/>
    </row>
    <row r="2152" spans="1:9" ht="15">
      <c r="A2152" s="21">
        <f t="shared" si="38"/>
        <v>62</v>
      </c>
      <c r="B2152" s="14" t="s">
        <v>2923</v>
      </c>
      <c r="C2152" s="85" t="str">
        <f ca="1">IFERROR(__xludf.DUMMYFUNCTION("GOOGLETRANSLATE(B2152:B2167,""RU"",""UK"")"),"Пластина різьбова ВК8 11230 (17.48)")</f>
        <v>Пластина різьбова ВК8 11230 (17.48)</v>
      </c>
      <c r="D2152" s="15" t="s">
        <v>6</v>
      </c>
      <c r="E2152" s="15">
        <v>46</v>
      </c>
      <c r="F2152" s="91" t="s">
        <v>169</v>
      </c>
      <c r="G2152" s="4"/>
      <c r="H2152" s="4"/>
      <c r="I2152" s="4"/>
    </row>
    <row r="2153" spans="1:9" ht="15">
      <c r="A2153" s="21">
        <f t="shared" si="38"/>
        <v>63</v>
      </c>
      <c r="B2153" s="14" t="s">
        <v>2924</v>
      </c>
      <c r="C2153" s="85" t="str">
        <f ca="1">IFERROR(__xludf.DUMMYFUNCTION("GOOGLETRANSLATE(B2153:B2168,""RU"",""UK"")"),"Пластина підрізна Т5К10 07115 (16.58)")</f>
        <v>Пластина підрізна Т5К10 07115 (16.58)</v>
      </c>
      <c r="D2153" s="15" t="s">
        <v>6</v>
      </c>
      <c r="E2153" s="15">
        <v>20</v>
      </c>
      <c r="F2153" s="91" t="s">
        <v>1073</v>
      </c>
      <c r="G2153" s="4"/>
      <c r="H2153" s="4"/>
      <c r="I2153" s="4"/>
    </row>
    <row r="2154" spans="1:9" ht="15">
      <c r="A2154" s="21">
        <f t="shared" si="38"/>
        <v>64</v>
      </c>
      <c r="B2154" s="14" t="s">
        <v>2925</v>
      </c>
      <c r="C2154" s="85" t="str">
        <f ca="1">IFERROR(__xludf.DUMMYFUNCTION("GOOGLETRANSLATE(B2154:B2169,""RU"",""UK"")"),"Пластина підрізна Т15К6 67390 (7.51)")</f>
        <v>Пластина підрізна Т15К6 67390 (7.51)</v>
      </c>
      <c r="D2154" s="15" t="s">
        <v>6</v>
      </c>
      <c r="E2154" s="15">
        <v>187</v>
      </c>
      <c r="F2154" s="91" t="s">
        <v>302</v>
      </c>
      <c r="G2154" s="4"/>
      <c r="H2154" s="4"/>
      <c r="I2154" s="4"/>
    </row>
    <row r="2155" spans="1:9" ht="15">
      <c r="A2155" s="21">
        <f t="shared" si="38"/>
        <v>65</v>
      </c>
      <c r="B2155" s="14" t="s">
        <v>2926</v>
      </c>
      <c r="C2155" s="85" t="str">
        <f ca="1">IFERROR(__xludf.DUMMYFUNCTION("GOOGLETRANSLATE(B2155:B2170,""RU"",""UK"")"),"Пластина підрізна Т15К6 07410 (16.3) / 07420лев (16.3)")</f>
        <v>Пластина підрізна Т15К6 07410 (16.3) / 07420лев (16.3)</v>
      </c>
      <c r="D2155" s="15" t="s">
        <v>6</v>
      </c>
      <c r="E2155" s="15" t="s">
        <v>2927</v>
      </c>
      <c r="F2155" s="91" t="s">
        <v>169</v>
      </c>
      <c r="G2155" s="4"/>
      <c r="H2155" s="4"/>
      <c r="I2155" s="4"/>
    </row>
    <row r="2156" spans="1:9" ht="15">
      <c r="A2156" s="21">
        <f t="shared" si="38"/>
        <v>66</v>
      </c>
      <c r="B2156" s="14" t="s">
        <v>2928</v>
      </c>
      <c r="C2156" s="85" t="str">
        <f ca="1">IFERROR(__xludf.DUMMYFUNCTION("GOOGLETRANSLATE(B2156:B2171,""RU"",""UK"")"),"Пластина підрізна Т15К6 67340 (26.1)")</f>
        <v>Пластина підрізна Т15К6 67340 (26.1)</v>
      </c>
      <c r="D2156" s="15" t="s">
        <v>6</v>
      </c>
      <c r="E2156" s="15">
        <v>13</v>
      </c>
      <c r="F2156" s="91" t="s">
        <v>2929</v>
      </c>
      <c r="G2156" s="4"/>
      <c r="H2156" s="4"/>
      <c r="I2156" s="4"/>
    </row>
    <row r="2157" spans="1:9" ht="15">
      <c r="A2157" s="21">
        <f t="shared" ref="A2157:A2204" si="39">A2156+1</f>
        <v>67</v>
      </c>
      <c r="B2157" s="14" t="s">
        <v>2930</v>
      </c>
      <c r="C2157" s="85" t="str">
        <f ca="1">IFERROR(__xludf.DUMMYFUNCTION("GOOGLETRANSLATE(B2157:B2172,""RU"",""UK"")"),"Пластина підрізна ВК8 07090")</f>
        <v>Пластина підрізна ВК8 07090</v>
      </c>
      <c r="D2157" s="15" t="s">
        <v>6</v>
      </c>
      <c r="E2157" s="15">
        <v>132</v>
      </c>
      <c r="F2157" s="91" t="s">
        <v>588</v>
      </c>
      <c r="G2157" s="4"/>
      <c r="H2157" s="4"/>
      <c r="I2157" s="4"/>
    </row>
    <row r="2158" spans="1:9" ht="15">
      <c r="A2158" s="21">
        <f t="shared" si="39"/>
        <v>68</v>
      </c>
      <c r="B2158" s="14" t="s">
        <v>2931</v>
      </c>
      <c r="C2158" s="85" t="str">
        <f ca="1">IFERROR(__xludf.DUMMYFUNCTION("GOOGLETRANSLATE(B2158:B2173,""RU"",""UK"")"),"Пластина підрізна ВК8 67390 (7.54) / ВК8 07130")</f>
        <v>Пластина підрізна ВК8 67390 (7.54) / ВК8 07130</v>
      </c>
      <c r="D2158" s="15" t="s">
        <v>6</v>
      </c>
      <c r="E2158" s="15" t="s">
        <v>2932</v>
      </c>
      <c r="F2158" s="91" t="s">
        <v>302</v>
      </c>
      <c r="G2158" s="4"/>
      <c r="H2158" s="4"/>
      <c r="I2158" s="4"/>
    </row>
    <row r="2159" spans="1:9" ht="15">
      <c r="A2159" s="21">
        <f t="shared" si="39"/>
        <v>69</v>
      </c>
      <c r="B2159" s="14" t="s">
        <v>2933</v>
      </c>
      <c r="C2159" s="85" t="str">
        <f ca="1">IFERROR(__xludf.DUMMYFUNCTION("GOOGLETRANSLATE(B2159:B2174,""RU"",""UK"")"),"Пластина підрізна ВК8 07160 (18.98)")</f>
        <v>Пластина підрізна ВК8 07160 (18.98)</v>
      </c>
      <c r="D2159" s="15" t="s">
        <v>6</v>
      </c>
      <c r="E2159" s="15">
        <v>53</v>
      </c>
      <c r="F2159" s="91" t="s">
        <v>2700</v>
      </c>
      <c r="G2159" s="4"/>
      <c r="H2159" s="4"/>
      <c r="I2159" s="4"/>
    </row>
    <row r="2160" spans="1:9" ht="15">
      <c r="A2160" s="21">
        <f t="shared" si="39"/>
        <v>70</v>
      </c>
      <c r="B2160" s="14" t="s">
        <v>2934</v>
      </c>
      <c r="C2160" s="85" t="str">
        <f ca="1">IFERROR(__xludf.DUMMYFUNCTION("GOOGLETRANSLATE(B2160:B2175,""RU"",""UK"")"),"Пластина підрізна ВК8 67410 (16,7)")</f>
        <v>Пластина підрізна ВК8 67410 (16,7)</v>
      </c>
      <c r="D2160" s="15" t="s">
        <v>6</v>
      </c>
      <c r="E2160" s="15">
        <v>470</v>
      </c>
      <c r="F2160" s="91" t="s">
        <v>169</v>
      </c>
      <c r="G2160" s="4"/>
      <c r="H2160" s="4"/>
      <c r="I2160" s="4"/>
    </row>
    <row r="2161" spans="1:9" ht="15">
      <c r="A2161" s="21">
        <f t="shared" si="39"/>
        <v>71</v>
      </c>
      <c r="B2161" s="14" t="s">
        <v>2935</v>
      </c>
      <c r="C2161" s="85" t="str">
        <f ca="1">IFERROR(__xludf.DUMMYFUNCTION("GOOGLETRANSLATE(B2161:B2176,""RU"",""UK"")"),"Пластина підрізна ВК8 67330 (31.2)")</f>
        <v>Пластина підрізна ВК8 67330 (31.2)</v>
      </c>
      <c r="D2161" s="15" t="s">
        <v>6</v>
      </c>
      <c r="E2161" s="15">
        <v>298</v>
      </c>
      <c r="F2161" s="91" t="s">
        <v>183</v>
      </c>
      <c r="G2161" s="4"/>
      <c r="H2161" s="4"/>
      <c r="I2161" s="4"/>
    </row>
    <row r="2162" spans="1:9" ht="15">
      <c r="A2162" s="21">
        <f t="shared" si="39"/>
        <v>72</v>
      </c>
      <c r="B2162" s="14" t="s">
        <v>2936</v>
      </c>
      <c r="C2162" s="85" t="str">
        <f ca="1">IFERROR(__xludf.DUMMYFUNCTION("GOOGLETRANSLATE(B2162:B2177,""RU"",""UK"")"),"Пластина прохідна Т5К10 06050 (4.46)")</f>
        <v>Пластина прохідна Т5К10 06050 (4.46)</v>
      </c>
      <c r="D2162" s="15" t="s">
        <v>6</v>
      </c>
      <c r="E2162" s="15">
        <v>30</v>
      </c>
      <c r="F2162" s="91" t="s">
        <v>290</v>
      </c>
      <c r="G2162" s="4"/>
      <c r="H2162" s="4"/>
      <c r="I2162" s="4"/>
    </row>
    <row r="2163" spans="1:9" ht="15">
      <c r="A2163" s="21">
        <f t="shared" si="39"/>
        <v>73</v>
      </c>
      <c r="B2163" s="14" t="s">
        <v>2937</v>
      </c>
      <c r="C2163" s="85" t="str">
        <f ca="1">IFERROR(__xludf.DUMMYFUNCTION("GOOGLETRANSLATE(B2163:B2178,""RU"",""UK"")"),"Пластина прохідна Т15К6 10471 (4.56)")</f>
        <v>Пластина прохідна Т15К6 10471 (4.56)</v>
      </c>
      <c r="D2163" s="15" t="s">
        <v>6</v>
      </c>
      <c r="E2163" s="15">
        <v>477</v>
      </c>
      <c r="F2163" s="91" t="s">
        <v>2938</v>
      </c>
      <c r="G2163" s="4"/>
      <c r="H2163" s="4"/>
      <c r="I2163" s="4"/>
    </row>
    <row r="2164" spans="1:9" ht="15">
      <c r="A2164" s="21">
        <f t="shared" si="39"/>
        <v>74</v>
      </c>
      <c r="B2164" s="14" t="s">
        <v>2939</v>
      </c>
      <c r="C2164" s="85" t="str">
        <f ca="1">IFERROR(__xludf.DUMMYFUNCTION("GOOGLETRANSLATE(B2164:B2179,""RU"",""UK"")"),"Пластина прохідна Т15К6 02251 (10.71)")</f>
        <v>Пластина прохідна Т15К6 02251 (10.71)</v>
      </c>
      <c r="D2164" s="15" t="s">
        <v>6</v>
      </c>
      <c r="E2164" s="15">
        <v>23</v>
      </c>
      <c r="F2164" s="91" t="s">
        <v>1073</v>
      </c>
      <c r="G2164" s="4"/>
      <c r="H2164" s="4"/>
      <c r="I2164" s="4"/>
    </row>
    <row r="2165" spans="1:9" ht="15">
      <c r="A2165" s="21">
        <f t="shared" si="39"/>
        <v>75</v>
      </c>
      <c r="B2165" s="14" t="s">
        <v>2940</v>
      </c>
      <c r="C2165" s="85" t="str">
        <f ca="1">IFERROR(__xludf.DUMMYFUNCTION("GOOGLETRANSLATE(B2165:B2180,""RU"",""UK"")"),"Пластина прохідна Т15К6 02311 (29.0)")</f>
        <v>Пластина прохідна Т15К6 02311 (29.0)</v>
      </c>
      <c r="D2165" s="15" t="s">
        <v>6</v>
      </c>
      <c r="E2165" s="15">
        <v>6</v>
      </c>
      <c r="F2165" s="91" t="s">
        <v>183</v>
      </c>
      <c r="G2165" s="4"/>
      <c r="H2165" s="4"/>
      <c r="I2165" s="4"/>
    </row>
    <row r="2166" spans="1:9" ht="15">
      <c r="A2166" s="21">
        <f t="shared" si="39"/>
        <v>76</v>
      </c>
      <c r="B2166" s="14" t="s">
        <v>2941</v>
      </c>
      <c r="C2166" s="85" t="str">
        <f ca="1">IFERROR(__xludf.DUMMYFUNCTION("GOOGLETRANSLATE(B2166:B2181,""RU"",""UK"")"),"Пластина прохідна Т15К6 70541 (31.6)")</f>
        <v>Пластина прохідна Т15К6 70541 (31.6)</v>
      </c>
      <c r="D2166" s="15" t="s">
        <v>6</v>
      </c>
      <c r="E2166" s="15">
        <v>28</v>
      </c>
      <c r="F2166" s="91" t="s">
        <v>226</v>
      </c>
      <c r="G2166" s="4"/>
      <c r="H2166" s="4"/>
      <c r="I2166" s="4"/>
    </row>
    <row r="2167" spans="1:9" ht="15">
      <c r="A2167" s="21">
        <f t="shared" si="39"/>
        <v>77</v>
      </c>
      <c r="B2167" s="14" t="s">
        <v>2942</v>
      </c>
      <c r="C2167" s="85" t="str">
        <f ca="1">IFERROR(__xludf.DUMMYFUNCTION("GOOGLETRANSLATE(B2167:B2182,""RU"",""UK"")"),"Пластина прохідна Т15К6 70551 (36)")</f>
        <v>Пластина прохідна Т15К6 70551 (36)</v>
      </c>
      <c r="D2167" s="15" t="s">
        <v>6</v>
      </c>
      <c r="E2167" s="15">
        <v>11</v>
      </c>
      <c r="F2167" s="91" t="s">
        <v>2842</v>
      </c>
      <c r="G2167" s="4"/>
      <c r="H2167" s="4"/>
      <c r="I2167" s="4"/>
    </row>
    <row r="2168" spans="1:9" ht="15">
      <c r="A2168" s="21">
        <f t="shared" si="39"/>
        <v>78</v>
      </c>
      <c r="B2168" s="14" t="s">
        <v>2943</v>
      </c>
      <c r="C2168" s="85" t="str">
        <f ca="1">IFERROR(__xludf.DUMMYFUNCTION("GOOGLETRANSLATE(B2168:B2183,""RU"",""UK"")"),"Пластина прохідна ВК8 10491 (8.91) / 70311")</f>
        <v>Пластина прохідна ВК8 10491 (8.91) / 70311</v>
      </c>
      <c r="D2168" s="15" t="s">
        <v>6</v>
      </c>
      <c r="E2168" s="15" t="s">
        <v>2944</v>
      </c>
      <c r="F2168" s="91" t="s">
        <v>1073</v>
      </c>
      <c r="G2168" s="4"/>
      <c r="H2168" s="4"/>
      <c r="I2168" s="4"/>
    </row>
    <row r="2169" spans="1:9" ht="15">
      <c r="A2169" s="21">
        <f t="shared" si="39"/>
        <v>79</v>
      </c>
      <c r="B2169" s="14" t="s">
        <v>2945</v>
      </c>
      <c r="C2169" s="85" t="str">
        <f ca="1">IFERROR(__xludf.DUMMYFUNCTION("GOOGLETRANSLATE(B2169:B2184,""RU"",""UK"")"),"Пластина прохідна ВК8 01391 (10)")</f>
        <v>Пластина прохідна ВК8 01391 (10)</v>
      </c>
      <c r="D2169" s="15" t="s">
        <v>6</v>
      </c>
      <c r="E2169" s="15">
        <v>1</v>
      </c>
      <c r="F2169" s="91" t="s">
        <v>248</v>
      </c>
      <c r="G2169" s="4"/>
      <c r="H2169" s="4"/>
      <c r="I2169" s="4"/>
    </row>
    <row r="2170" spans="1:9" ht="15">
      <c r="A2170" s="21">
        <f t="shared" si="39"/>
        <v>80</v>
      </c>
      <c r="B2170" s="14" t="s">
        <v>2946</v>
      </c>
      <c r="C2170" s="85" t="str">
        <f ca="1">IFERROR(__xludf.DUMMYFUNCTION("GOOGLETRANSLATE(B2170:B2185,""RU"",""UK"")"),"Пластина прохідна ВК8 02251 (14,0) / 02271")</f>
        <v>Пластина прохідна ВК8 02251 (14,0) / 02271</v>
      </c>
      <c r="D2170" s="15" t="s">
        <v>6</v>
      </c>
      <c r="E2170" s="15" t="s">
        <v>2947</v>
      </c>
      <c r="F2170" s="91" t="s">
        <v>2700</v>
      </c>
      <c r="G2170" s="4"/>
      <c r="H2170" s="4"/>
      <c r="I2170" s="4"/>
    </row>
    <row r="2171" spans="1:9" ht="15">
      <c r="A2171" s="21">
        <f t="shared" si="39"/>
        <v>81</v>
      </c>
      <c r="B2171" s="14" t="s">
        <v>2948</v>
      </c>
      <c r="C2171" s="85" t="str">
        <f ca="1">IFERROR(__xludf.DUMMYFUNCTION("GOOGLETRANSLATE(B2171:B2186,""RU"",""UK"")"),"Пластина прохідна ВК8 02351 (69,0)")</f>
        <v>Пластина прохідна ВК8 02351 (69,0)</v>
      </c>
      <c r="D2171" s="15" t="s">
        <v>6</v>
      </c>
      <c r="E2171" s="15">
        <v>18</v>
      </c>
      <c r="F2171" s="91" t="s">
        <v>346</v>
      </c>
      <c r="G2171" s="4"/>
      <c r="H2171" s="4"/>
      <c r="I2171" s="4"/>
    </row>
    <row r="2172" spans="1:9" ht="15">
      <c r="A2172" s="21">
        <f t="shared" si="39"/>
        <v>82</v>
      </c>
      <c r="B2172" s="14" t="s">
        <v>2949</v>
      </c>
      <c r="C2172" s="85" t="str">
        <f ca="1">IFERROR(__xludf.DUMMYFUNCTION("GOOGLETRANSLATE(B2172:B2187,""RU"",""UK"")"),"Пластина паросткова гол.відп. Т5К10 06050 (4.26)")</f>
        <v>Пластина паросткова гол.відп. Т5К10 06050 (4.26)</v>
      </c>
      <c r="D2172" s="15" t="s">
        <v>6</v>
      </c>
      <c r="E2172" s="15">
        <v>288</v>
      </c>
      <c r="F2172" s="91" t="s">
        <v>1391</v>
      </c>
      <c r="G2172" s="4"/>
      <c r="H2172" s="4"/>
      <c r="I2172" s="4"/>
    </row>
    <row r="2173" spans="1:9" ht="15">
      <c r="A2173" s="21">
        <f t="shared" si="39"/>
        <v>83</v>
      </c>
      <c r="B2173" s="14" t="s">
        <v>2950</v>
      </c>
      <c r="C2173" s="85" t="str">
        <f ca="1">IFERROR(__xludf.DUMMYFUNCTION("GOOGLETRANSLATE(B2173:B2188,""RU"",""UK"")"),"Пластина паросткова гол.відп. Т5К10 10491 (9.93)")</f>
        <v>Пластина паросткова гол.відп. Т5К10 10491 (9.93)</v>
      </c>
      <c r="D2173" s="15" t="s">
        <v>6</v>
      </c>
      <c r="E2173" s="15">
        <v>50</v>
      </c>
      <c r="F2173" s="91" t="s">
        <v>2938</v>
      </c>
      <c r="G2173" s="4"/>
      <c r="H2173" s="4"/>
      <c r="I2173" s="4"/>
    </row>
    <row r="2174" spans="1:9" ht="15">
      <c r="A2174" s="21">
        <f t="shared" si="39"/>
        <v>84</v>
      </c>
      <c r="B2174" s="14" t="s">
        <v>2951</v>
      </c>
      <c r="C2174" s="85" t="str">
        <f ca="1">IFERROR(__xludf.DUMMYFUNCTION("GOOGLETRANSLATE(B2174:B2189,""RU"",""UK"")"),"Пластина паросткова гол.відп. Т15К6 06050 (4.26)")</f>
        <v>Пластина паросткова гол.відп. Т15К6 06050 (4.26)</v>
      </c>
      <c r="D2174" s="15" t="s">
        <v>6</v>
      </c>
      <c r="E2174" s="15">
        <v>190</v>
      </c>
      <c r="F2174" s="91" t="s">
        <v>610</v>
      </c>
      <c r="G2174" s="4"/>
      <c r="H2174" s="4"/>
      <c r="I2174" s="4"/>
    </row>
    <row r="2175" spans="1:9" ht="15">
      <c r="A2175" s="21">
        <f t="shared" si="39"/>
        <v>85</v>
      </c>
      <c r="B2175" s="14" t="s">
        <v>2952</v>
      </c>
      <c r="C2175" s="85" t="str">
        <f ca="1">IFERROR(__xludf.DUMMYFUNCTION("GOOGLETRANSLATE(B2175:B2190,""RU"",""UK"")"),"Пластина паросткова гол.відп. Т15К6 06090 (8.88)")</f>
        <v>Пластина паросткова гол.відп. Т15К6 06090 (8.88)</v>
      </c>
      <c r="D2175" s="15" t="s">
        <v>6</v>
      </c>
      <c r="E2175" s="15">
        <v>24</v>
      </c>
      <c r="F2175" s="91" t="s">
        <v>2938</v>
      </c>
      <c r="G2175" s="4"/>
      <c r="H2175" s="4"/>
      <c r="I2175" s="4"/>
    </row>
    <row r="2176" spans="1:9" ht="15">
      <c r="A2176" s="21">
        <f t="shared" si="39"/>
        <v>86</v>
      </c>
      <c r="B2176" s="14" t="s">
        <v>2953</v>
      </c>
      <c r="C2176" s="85" t="str">
        <f ca="1">IFERROR(__xludf.DUMMYFUNCTION("GOOGLETRANSLATE(B2176:B2191,""RU"",""UK"")"),"Пластина паросткова гол.відп. Т15К6 06170 (28.3)")</f>
        <v>Пластина паросткова гол.відп. Т15К6 06170 (28.3)</v>
      </c>
      <c r="D2176" s="15" t="s">
        <v>6</v>
      </c>
      <c r="E2176" s="15">
        <v>27</v>
      </c>
      <c r="F2176" s="91" t="s">
        <v>2954</v>
      </c>
      <c r="G2176" s="4"/>
      <c r="H2176" s="4"/>
      <c r="I2176" s="4"/>
    </row>
    <row r="2177" spans="1:9" ht="15">
      <c r="A2177" s="21">
        <f t="shared" si="39"/>
        <v>87</v>
      </c>
      <c r="B2177" s="36" t="s">
        <v>2955</v>
      </c>
      <c r="C2177" s="85" t="str">
        <f ca="1">IFERROR(__xludf.DUMMYFUNCTION("GOOGLETRANSLATE(B2177:B2192,""RU"",""UK"")"),"Пластина паросткова гол.відп. ВК8 06050 (4.26)")</f>
        <v>Пластина паросткова гол.відп. ВК8 06050 (4.26)</v>
      </c>
      <c r="D2177" s="15" t="s">
        <v>6</v>
      </c>
      <c r="E2177" s="15">
        <v>396</v>
      </c>
      <c r="F2177" s="91" t="s">
        <v>1391</v>
      </c>
      <c r="G2177" s="4"/>
      <c r="H2177" s="4"/>
      <c r="I2177" s="4"/>
    </row>
    <row r="2178" spans="1:9" ht="15">
      <c r="A2178" s="21">
        <f t="shared" si="39"/>
        <v>88</v>
      </c>
      <c r="B2178" s="14" t="s">
        <v>2956</v>
      </c>
      <c r="C2178" s="85" t="str">
        <f ca="1">IFERROR(__xludf.DUMMYFUNCTION("GOOGLETRANSLATE(B2178:B2193,""RU"",""UK"")"),"Пластина паросткова гол.відп. ВК8 06360 (4.91)")</f>
        <v>Пластина паросткова гол.відп. ВК8 06360 (4.91)</v>
      </c>
      <c r="D2178" s="15" t="s">
        <v>6</v>
      </c>
      <c r="E2178" s="15">
        <v>33</v>
      </c>
      <c r="F2178" s="91" t="s">
        <v>1401</v>
      </c>
      <c r="G2178" s="4"/>
      <c r="H2178" s="4"/>
      <c r="I2178" s="4"/>
    </row>
    <row r="2179" spans="1:9" ht="15">
      <c r="A2179" s="21">
        <f t="shared" si="39"/>
        <v>89</v>
      </c>
      <c r="B2179" s="14" t="s">
        <v>2957</v>
      </c>
      <c r="C2179" s="85" t="str">
        <f ca="1">IFERROR(__xludf.DUMMYFUNCTION("GOOGLETRANSLATE(B2179:B2194,""RU"",""UK"")"),"Пластина паросткова гол.відп. ВК8 06090 (11.6)")</f>
        <v>Пластина паросткова гол.відп. ВК8 06090 (11.6)</v>
      </c>
      <c r="D2179" s="15" t="s">
        <v>6</v>
      </c>
      <c r="E2179" s="15">
        <v>299</v>
      </c>
      <c r="F2179" s="91" t="s">
        <v>169</v>
      </c>
      <c r="G2179" s="4"/>
      <c r="H2179" s="4"/>
      <c r="I2179" s="4"/>
    </row>
    <row r="2180" spans="1:9" ht="15">
      <c r="A2180" s="21">
        <f t="shared" si="39"/>
        <v>90</v>
      </c>
      <c r="B2180" s="14" t="s">
        <v>2958</v>
      </c>
      <c r="C2180" s="85" t="str">
        <f ca="1">IFERROR(__xludf.DUMMYFUNCTION("GOOGLETRANSLATE(B2180:B2195,""RU"",""UK"")"),"Пластина росткова скв.відп. Т5К10 01371 (5,51)")</f>
        <v>Пластина росткова скв.відп. Т5К10 01371 (5,51)</v>
      </c>
      <c r="D2180" s="15" t="s">
        <v>6</v>
      </c>
      <c r="E2180" s="15">
        <v>82</v>
      </c>
      <c r="F2180" s="91" t="s">
        <v>290</v>
      </c>
      <c r="G2180" s="4"/>
      <c r="H2180" s="4"/>
      <c r="I2180" s="4"/>
    </row>
    <row r="2181" spans="1:9" ht="15">
      <c r="A2181" s="21">
        <f t="shared" si="39"/>
        <v>91</v>
      </c>
      <c r="B2181" s="14" t="s">
        <v>2959</v>
      </c>
      <c r="C2181" s="85" t="str">
        <f ca="1">IFERROR(__xludf.DUMMYFUNCTION("GOOGLETRANSLATE(B2181:B2196,""RU"",""UK"")"),"Пластина росткова скв.відп. Т5К10 02651 (8.16)")</f>
        <v>Пластина росткова скв.відп. Т5К10 02651 (8.16)</v>
      </c>
      <c r="D2181" s="15" t="s">
        <v>6</v>
      </c>
      <c r="E2181" s="15">
        <v>52</v>
      </c>
      <c r="F2181" s="91" t="s">
        <v>2911</v>
      </c>
      <c r="G2181" s="4"/>
      <c r="H2181" s="4"/>
      <c r="I2181" s="4"/>
    </row>
    <row r="2182" spans="1:9" ht="15">
      <c r="A2182" s="21">
        <f t="shared" si="39"/>
        <v>92</v>
      </c>
      <c r="B2182" s="14" t="s">
        <v>2960</v>
      </c>
      <c r="C2182" s="85" t="str">
        <f ca="1">IFERROR(__xludf.DUMMYFUNCTION("GOOGLETRANSLATE(B2182:B2197,""RU"",""UK"")"),"Пластина росткова скв.відп. Т15К6 1391 (9.55)")</f>
        <v>Пластина росткова скв.відп. Т15К6 1391 (9.55)</v>
      </c>
      <c r="D2182" s="15" t="s">
        <v>6</v>
      </c>
      <c r="E2182" s="15">
        <v>50</v>
      </c>
      <c r="F2182" s="91" t="s">
        <v>1073</v>
      </c>
      <c r="G2182" s="4"/>
      <c r="H2182" s="4"/>
      <c r="I2182" s="4"/>
    </row>
    <row r="2183" spans="1:9" ht="15">
      <c r="A2183" s="21">
        <f t="shared" si="39"/>
        <v>93</v>
      </c>
      <c r="B2183" s="14" t="s">
        <v>2961</v>
      </c>
      <c r="C2183" s="85" t="str">
        <f ca="1">IFERROR(__xludf.DUMMYFUNCTION("GOOGLETRANSLATE(B2183:B2198,""RU"",""UK"")"),"Пластина росткова скв.відп. ВК8 61151 (21.8)")</f>
        <v>Пластина росткова скв.відп. ВК8 61151 (21.8)</v>
      </c>
      <c r="D2183" s="15" t="s">
        <v>6</v>
      </c>
      <c r="E2183" s="15">
        <v>14</v>
      </c>
      <c r="F2183" s="91" t="s">
        <v>2487</v>
      </c>
      <c r="G2183" s="4"/>
      <c r="H2183" s="4"/>
      <c r="I2183" s="4"/>
    </row>
    <row r="2184" spans="1:9" ht="15">
      <c r="A2184" s="21">
        <f t="shared" si="39"/>
        <v>94</v>
      </c>
      <c r="B2184" s="14" t="s">
        <v>2962</v>
      </c>
      <c r="C2184" s="85" t="str">
        <f ca="1">IFERROR(__xludf.DUMMYFUNCTION("GOOGLETRANSLATE(B2184:B2199,""RU"",""UK"")"),"Пластина росткова скв.відп. ВК8 02651 (9.34)")</f>
        <v>Пластина росткова скв.відп. ВК8 02651 (9.34)</v>
      </c>
      <c r="D2184" s="15" t="s">
        <v>6</v>
      </c>
      <c r="E2184" s="15">
        <v>33</v>
      </c>
      <c r="F2184" s="91" t="s">
        <v>2911</v>
      </c>
      <c r="G2184" s="4"/>
      <c r="H2184" s="4"/>
      <c r="I2184" s="4"/>
    </row>
    <row r="2185" spans="1:9" ht="15">
      <c r="A2185" s="21">
        <f t="shared" si="39"/>
        <v>95</v>
      </c>
      <c r="B2185" s="14" t="s">
        <v>2963</v>
      </c>
      <c r="C2185" s="85" t="str">
        <f ca="1">IFERROR(__xludf.DUMMYFUNCTION("GOOGLETRANSLATE(B2185:B2200,""RU"",""UK"")"),"Пластина для шківів 32210 / 32230 ВК8")</f>
        <v>Пластина для шківів 32210 / 32230 ВК8</v>
      </c>
      <c r="D2185" s="15" t="s">
        <v>6</v>
      </c>
      <c r="E2185" s="15" t="s">
        <v>1198</v>
      </c>
      <c r="F2185" s="91" t="s">
        <v>2964</v>
      </c>
      <c r="G2185" s="4"/>
      <c r="H2185" s="4"/>
      <c r="I2185" s="4"/>
    </row>
    <row r="2186" spans="1:9" ht="15">
      <c r="A2186" s="21">
        <f t="shared" si="39"/>
        <v>96</v>
      </c>
      <c r="B2186" s="14" t="s">
        <v>2965</v>
      </c>
      <c r="C2186" s="85" t="str">
        <f ca="1">IFERROR(__xludf.DUMMYFUNCTION("GOOGLETRANSLATE(B2186:B2201,""RU"",""UK"")"),"Вставка розточувальної головки, різця 4123 Т15К6 d5,2х25мм")</f>
        <v>Вставка розточувальної головки, різця 4123 Т15К6 d5,2х25мм</v>
      </c>
      <c r="D2186" s="15" t="s">
        <v>6</v>
      </c>
      <c r="E2186" s="15">
        <v>20</v>
      </c>
      <c r="F2186" s="91" t="s">
        <v>169</v>
      </c>
      <c r="G2186" s="4"/>
      <c r="H2186" s="4"/>
      <c r="I2186" s="4"/>
    </row>
    <row r="2187" spans="1:9" ht="15">
      <c r="A2187" s="21">
        <f t="shared" si="39"/>
        <v>97</v>
      </c>
      <c r="B2187" s="14" t="s">
        <v>2966</v>
      </c>
      <c r="C2187" s="85" t="str">
        <f ca="1">IFERROR(__xludf.DUMMYFUNCTION("GOOGLETRANSLATE(B2187:B2202,""RU"",""UK"")"),"Ніж до швидкісної фрези Т5К10 0001")</f>
        <v>Ніж до швидкісної фрези Т5К10 0001</v>
      </c>
      <c r="D2187" s="15" t="s">
        <v>6</v>
      </c>
      <c r="E2187" s="15">
        <v>107</v>
      </c>
      <c r="F2187" s="91" t="s">
        <v>292</v>
      </c>
      <c r="G2187" s="4"/>
      <c r="H2187" s="4"/>
      <c r="I2187" s="4"/>
    </row>
    <row r="2188" spans="1:9" ht="15">
      <c r="A2188" s="21">
        <f t="shared" si="39"/>
        <v>98</v>
      </c>
      <c r="B2188" s="14" t="s">
        <v>2967</v>
      </c>
      <c r="C2188" s="85" t="str">
        <f ca="1">IFERROR(__xludf.DUMMYFUNCTION("GOOGLETRANSLATE(B2188:B2203,""RU"",""UK"")"),"Ніж до швидкісної фрези 0003пр ВК8 / 0003лев ВК8 / 0003пр Т5К10")</f>
        <v>Ніж до швидкісної фрези 0003пр ВК8 / 0003лев ВК8 / 0003пр Т5К10</v>
      </c>
      <c r="D2188" s="15" t="s">
        <v>6</v>
      </c>
      <c r="E2188" s="15" t="s">
        <v>2968</v>
      </c>
      <c r="F2188" s="91" t="s">
        <v>201</v>
      </c>
      <c r="G2188" s="4"/>
      <c r="H2188" s="4"/>
      <c r="I2188" s="4"/>
    </row>
    <row r="2189" spans="1:9" ht="15">
      <c r="A2189" s="21">
        <f t="shared" si="39"/>
        <v>99</v>
      </c>
      <c r="B2189" s="14" t="s">
        <v>2969</v>
      </c>
      <c r="C2189" s="85" t="str">
        <f ca="1">IFERROR(__xludf.DUMMYFUNCTION("GOOGLETRANSLATE(B2189:B2204,""RU"",""UK"")"),"Ніж до швидкісної фрези 0003пр Т15К6 (?)")</f>
        <v>Ніж до швидкісної фрези 0003пр Т15К6 (?)</v>
      </c>
      <c r="D2189" s="15" t="s">
        <v>6</v>
      </c>
      <c r="E2189" s="15">
        <v>51</v>
      </c>
      <c r="F2189" s="91" t="s">
        <v>201</v>
      </c>
      <c r="G2189" s="4"/>
      <c r="H2189" s="4"/>
      <c r="I2189" s="4"/>
    </row>
    <row r="2190" spans="1:9" ht="15">
      <c r="A2190" s="21">
        <f t="shared" si="39"/>
        <v>100</v>
      </c>
      <c r="B2190" s="14" t="s">
        <v>2970</v>
      </c>
      <c r="C2190" s="85" t="str">
        <f ca="1">IFERROR(__xludf.DUMMYFUNCTION("GOOGLETRANSLATE(B2190:B2205,""RU"",""UK"")"),"Ніж до швидкісної фрези Т5К10 0005пр")</f>
        <v>Ніж до швидкісної фрези Т5К10 0005пр</v>
      </c>
      <c r="D2190" s="15" t="s">
        <v>6</v>
      </c>
      <c r="E2190" s="15">
        <v>104</v>
      </c>
      <c r="F2190" s="91" t="s">
        <v>314</v>
      </c>
      <c r="G2190" s="4"/>
      <c r="H2190" s="4"/>
      <c r="I2190" s="4"/>
    </row>
    <row r="2191" spans="1:9" ht="15">
      <c r="A2191" s="21">
        <f t="shared" si="39"/>
        <v>101</v>
      </c>
      <c r="B2191" s="14" t="s">
        <v>2971</v>
      </c>
      <c r="C2191" s="85" t="str">
        <f ca="1">IFERROR(__xludf.DUMMYFUNCTION("GOOGLETRANSLATE(B2191:B2206,""RU"",""UK"")"),"Ніж до швидкісної фрези Т5К10 0007пр/ВК8 0007пр")</f>
        <v>Ніж до швидкісної фрези Т5К10 0007пр/ВК8 0007пр</v>
      </c>
      <c r="D2191" s="15" t="s">
        <v>6</v>
      </c>
      <c r="E2191" s="15" t="s">
        <v>2972</v>
      </c>
      <c r="F2191" s="91" t="s">
        <v>314</v>
      </c>
      <c r="G2191" s="4"/>
      <c r="H2191" s="4"/>
      <c r="I2191" s="4"/>
    </row>
    <row r="2192" spans="1:9" ht="15">
      <c r="A2192" s="21">
        <f t="shared" si="39"/>
        <v>102</v>
      </c>
      <c r="B2192" s="14" t="s">
        <v>2973</v>
      </c>
      <c r="C2192" s="85" t="str">
        <f ca="1">IFERROR(__xludf.DUMMYFUNCTION("GOOGLETRANSLATE(B2192:B2207,""RU"",""UK"")"),"Ніж рифл. до фрези ВК8 0015")</f>
        <v>Ніж рифл. до фрези ВК8 0015</v>
      </c>
      <c r="D2192" s="15" t="s">
        <v>6</v>
      </c>
      <c r="E2192" s="15">
        <v>15</v>
      </c>
      <c r="F2192" s="91" t="s">
        <v>314</v>
      </c>
      <c r="G2192" s="4"/>
      <c r="H2192" s="4"/>
      <c r="I2192" s="4"/>
    </row>
    <row r="2193" spans="1:9" ht="15">
      <c r="A2193" s="21">
        <f t="shared" si="39"/>
        <v>103</v>
      </c>
      <c r="B2193" s="16" t="s">
        <v>2974</v>
      </c>
      <c r="C2193" s="85" t="str">
        <f ca="1">IFERROR(__xludf.DUMMYFUNCTION("GOOGLETRANSLATE(B2193:B2208,""RU"",""UK"")"),"Різець-вставка ельборова d8х20мм пр")</f>
        <v>Різець-вставка ельборова d8х20мм пр</v>
      </c>
      <c r="D2193" s="15" t="s">
        <v>6</v>
      </c>
      <c r="E2193" s="15">
        <v>4</v>
      </c>
      <c r="F2193" s="91" t="s">
        <v>185</v>
      </c>
      <c r="G2193" s="4"/>
      <c r="H2193" s="4"/>
      <c r="I2193" s="4"/>
    </row>
    <row r="2194" spans="1:9" ht="15">
      <c r="A2194" s="21">
        <f t="shared" si="39"/>
        <v>104</v>
      </c>
      <c r="B2194" s="16" t="s">
        <v>2975</v>
      </c>
      <c r="C2194" s="85" t="str">
        <f ca="1">IFERROR(__xludf.DUMMYFUNCTION("GOOGLETRANSLATE(B2194:B2209,""RU"",""UK"")"),"Різець-вставка ельборова d8х22мм пр")</f>
        <v>Різець-вставка ельборова d8х22мм пр</v>
      </c>
      <c r="D2194" s="15" t="s">
        <v>6</v>
      </c>
      <c r="E2194" s="15">
        <v>12</v>
      </c>
      <c r="F2194" s="91" t="s">
        <v>185</v>
      </c>
      <c r="G2194" s="4"/>
      <c r="H2194" s="4"/>
      <c r="I2194" s="4"/>
    </row>
    <row r="2195" spans="1:9" ht="15">
      <c r="A2195" s="21">
        <f t="shared" si="39"/>
        <v>105</v>
      </c>
      <c r="B2195" s="16" t="s">
        <v>2976</v>
      </c>
      <c r="C2195" s="85" t="str">
        <f ca="1">IFERROR(__xludf.DUMMYFUNCTION("GOOGLETRANSLATE(B2195:B2210,""RU"",""UK"")"),"Різець-вставка ельборова d8х30мм лев/прав")</f>
        <v>Різець-вставка ельборова d8х30мм лев/прав</v>
      </c>
      <c r="D2195" s="15" t="s">
        <v>6</v>
      </c>
      <c r="E2195" s="17" t="s">
        <v>2977</v>
      </c>
      <c r="F2195" s="91" t="s">
        <v>185</v>
      </c>
      <c r="G2195" s="4"/>
      <c r="H2195" s="4"/>
      <c r="I2195" s="4"/>
    </row>
    <row r="2196" spans="1:9" ht="15">
      <c r="A2196" s="21">
        <f t="shared" si="39"/>
        <v>106</v>
      </c>
      <c r="B2196" s="16" t="s">
        <v>2978</v>
      </c>
      <c r="C2196" s="85" t="str">
        <f ca="1">IFERROR(__xludf.DUMMYFUNCTION("GOOGLETRANSLATE(B2196:B2211,""RU"",""UK"")"),"Різець-вставка ельборова d10х17мм пр")</f>
        <v>Різець-вставка ельборова d10х17мм пр</v>
      </c>
      <c r="D2196" s="15" t="s">
        <v>6</v>
      </c>
      <c r="E2196" s="15">
        <v>80</v>
      </c>
      <c r="F2196" s="91" t="s">
        <v>1990</v>
      </c>
      <c r="G2196" s="4"/>
      <c r="H2196" s="4"/>
      <c r="I2196" s="4"/>
    </row>
    <row r="2197" spans="1:9" ht="15">
      <c r="A2197" s="21">
        <f t="shared" si="39"/>
        <v>107</v>
      </c>
      <c r="B2197" s="16" t="s">
        <v>2979</v>
      </c>
      <c r="C2197" s="85" t="str">
        <f ca="1">IFERROR(__xludf.DUMMYFUNCTION("GOOGLETRANSLATE(B2197:B2212,""RU"",""UK"")"),"Різець-вставка ельборова d10х25мм пр")</f>
        <v>Різець-вставка ельборова d10х25мм пр</v>
      </c>
      <c r="D2197" s="17" t="s">
        <v>6</v>
      </c>
      <c r="E2197" s="17">
        <v>4</v>
      </c>
      <c r="F2197" s="92" t="s">
        <v>1518</v>
      </c>
      <c r="G2197" s="4"/>
      <c r="H2197" s="4"/>
      <c r="I2197" s="4"/>
    </row>
    <row r="2198" spans="1:9" ht="15">
      <c r="A2198" s="21">
        <f t="shared" si="39"/>
        <v>108</v>
      </c>
      <c r="B2198" s="16" t="s">
        <v>2980</v>
      </c>
      <c r="C2198" s="85" t="str">
        <f ca="1">IFERROR(__xludf.DUMMYFUNCTION("GOOGLETRANSLATE(B2198:B2213,""RU"",""UK"")"),"Різець-вставка ельборова d10х41мм лев")</f>
        <v>Різець-вставка ельборова d10х41мм лев</v>
      </c>
      <c r="D2198" s="15" t="s">
        <v>6</v>
      </c>
      <c r="E2198" s="15">
        <v>35</v>
      </c>
      <c r="F2198" s="91" t="s">
        <v>136</v>
      </c>
      <c r="G2198" s="4"/>
      <c r="H2198" s="4"/>
      <c r="I2198" s="4"/>
    </row>
    <row r="2199" spans="1:9" ht="15">
      <c r="A2199" s="21">
        <f t="shared" si="39"/>
        <v>109</v>
      </c>
      <c r="B2199" s="16" t="s">
        <v>2981</v>
      </c>
      <c r="C2199" s="85" t="str">
        <f ca="1">IFERROR(__xludf.DUMMYFUNCTION("GOOGLETRANSLATE(B2199:B2214,""RU"",""UK"")"),"Різець-вставка ельборова К01 d12 (11х27мм) лев")</f>
        <v>Різець-вставка ельборова К01 d12 (11х27мм) лев</v>
      </c>
      <c r="D2199" s="17" t="s">
        <v>6</v>
      </c>
      <c r="E2199" s="26">
        <v>20</v>
      </c>
      <c r="F2199" s="92"/>
      <c r="G2199" s="4"/>
      <c r="H2199" s="4"/>
      <c r="I2199" s="4"/>
    </row>
    <row r="2200" spans="1:9" ht="15">
      <c r="A2200" s="21">
        <f t="shared" si="39"/>
        <v>110</v>
      </c>
      <c r="B2200" s="16" t="s">
        <v>2982</v>
      </c>
      <c r="C2200" s="85" t="str">
        <f ca="1">IFERROR(__xludf.DUMMYFUNCTION("GOOGLETRANSLATE(B2200:B2215,""RU"",""UK"")"),"Різець-вставка ельборова К01 d16 (15х60мм) лев")</f>
        <v>Різець-вставка ельборова К01 d16 (15х60мм) лев</v>
      </c>
      <c r="D2200" s="17" t="s">
        <v>6</v>
      </c>
      <c r="E2200" s="26">
        <v>11</v>
      </c>
      <c r="F2200" s="92"/>
      <c r="G2200" s="4"/>
      <c r="H2200" s="4"/>
      <c r="I2200" s="4"/>
    </row>
    <row r="2201" spans="1:9" ht="15">
      <c r="A2201" s="21">
        <f t="shared" si="39"/>
        <v>111</v>
      </c>
      <c r="B2201" s="16" t="s">
        <v>2983</v>
      </c>
      <c r="C2201" s="85" t="str">
        <f ca="1">IFERROR(__xludf.DUMMYFUNCTION("GOOGLETRANSLATE(B2201:B2216,""RU"",""UK"")"),"Різець-вставка ельборова d16х35мм лев/d16х35мм К10прав")</f>
        <v>Різець-вставка ельборова d16х35мм лев/d16х35мм К10прав</v>
      </c>
      <c r="D2201" s="17" t="s">
        <v>6</v>
      </c>
      <c r="E2201" s="26" t="s">
        <v>2984</v>
      </c>
      <c r="F2201" s="92"/>
      <c r="G2201" s="4"/>
      <c r="H2201" s="4"/>
      <c r="I2201" s="4"/>
    </row>
    <row r="2202" spans="1:9" ht="15">
      <c r="A2202" s="21">
        <f t="shared" si="39"/>
        <v>112</v>
      </c>
      <c r="B2202" s="16" t="s">
        <v>2985</v>
      </c>
      <c r="C2202" s="85" t="str">
        <f ca="1">IFERROR(__xludf.DUMMYFUNCTION("GOOGLETRANSLATE(B2202:B2217,""RU"",""UK"")"),"Різець-вставка ельборова ""Ельбор Р"" d16 (16х11х80мм) лев")</f>
        <v>Різець-вставка ельборова "Ельбор Р" d16 (16х11х80мм) лев</v>
      </c>
      <c r="D2202" s="17" t="s">
        <v>6</v>
      </c>
      <c r="E2202" s="26">
        <v>10</v>
      </c>
      <c r="F2202" s="92"/>
      <c r="G2202" s="4"/>
      <c r="H2202" s="4"/>
      <c r="I2202" s="4"/>
    </row>
    <row r="2203" spans="1:9" ht="15">
      <c r="A2203" s="21">
        <f t="shared" si="39"/>
        <v>113</v>
      </c>
      <c r="B2203" s="16" t="s">
        <v>2986</v>
      </c>
      <c r="C2203" s="85" t="str">
        <f ca="1">IFERROR(__xludf.DUMMYFUNCTION("GOOGLETRANSLATE(B2203:B2218,""RU"",""UK"")"),"Різець-вставка ельборова К01-12х12х65мм лев / К10-12х12х65мм лев")</f>
        <v>Різець-вставка ельборова К01-12х12х65мм лев / К10-12х12х65мм лев</v>
      </c>
      <c r="D2203" s="17" t="s">
        <v>6</v>
      </c>
      <c r="E2203" s="26" t="s">
        <v>2987</v>
      </c>
      <c r="F2203" s="92"/>
      <c r="G2203" s="4"/>
      <c r="H2203" s="4"/>
      <c r="I2203" s="4"/>
    </row>
    <row r="2204" spans="1:9" ht="15">
      <c r="A2204" s="21">
        <f t="shared" si="39"/>
        <v>114</v>
      </c>
      <c r="B2204" s="16" t="s">
        <v>2988</v>
      </c>
      <c r="C2204" s="85" t="str">
        <f ca="1">IFERROR(__xludf.DUMMYFUNCTION("GOOGLETRANSLATE(B2204:B2219,""RU"",""UK"")"),"Різець-вставка ельборова К01-16х12х80мм прав")</f>
        <v>Різець-вставка ельборова К01-16х12х80мм прав</v>
      </c>
      <c r="D2204" s="17" t="s">
        <v>6</v>
      </c>
      <c r="E2204" s="26">
        <v>0</v>
      </c>
      <c r="F2204" s="92" t="s">
        <v>2989</v>
      </c>
      <c r="G2204" s="4"/>
      <c r="H2204" s="4"/>
      <c r="I2204" s="4"/>
    </row>
    <row r="2205" spans="1:9" ht="15">
      <c r="A2205" s="68"/>
      <c r="B2205" s="69"/>
      <c r="C2205" s="110" t="s">
        <v>6037</v>
      </c>
      <c r="D2205" s="69"/>
      <c r="E2205" s="69"/>
      <c r="F2205" s="106"/>
      <c r="G2205" s="4"/>
      <c r="H2205" s="4"/>
      <c r="I2205" s="4"/>
    </row>
    <row r="2206" spans="1:9" ht="15">
      <c r="A2206" s="13">
        <v>1</v>
      </c>
      <c r="B2206" s="14" t="s">
        <v>2990</v>
      </c>
      <c r="C2206" s="85" t="str">
        <f ca="1">IFERROR(__xludf.DUMMYFUNCTION("GOOGLETRANSLATE(B2206:B2221,""RU"",""UK"")"),"Розгортка ручна М2/М3")</f>
        <v>Розгортка ручна М2/М3</v>
      </c>
      <c r="D2206" s="15" t="s">
        <v>6</v>
      </c>
      <c r="E2206" s="15" t="s">
        <v>2991</v>
      </c>
      <c r="F2206" s="91" t="s">
        <v>2992</v>
      </c>
      <c r="G2206" s="4"/>
      <c r="H2206" s="4"/>
      <c r="I2206" s="4"/>
    </row>
    <row r="2207" spans="1:9" ht="15">
      <c r="A2207" s="13">
        <f>A2206+1</f>
        <v>2</v>
      </c>
      <c r="B2207" s="14" t="s">
        <v>2993</v>
      </c>
      <c r="C2207" s="85" t="str">
        <f ca="1">IFERROR(__xludf.DUMMYFUNCTION("GOOGLETRANSLATE(B2207:B2222,""RU"",""UK"")"),"Розгортка ручна М3.4/М3.5/М3,6")</f>
        <v>Розгортка ручна М3.4/М3.5/М3,6</v>
      </c>
      <c r="D2207" s="15" t="s">
        <v>6</v>
      </c>
      <c r="E2207" s="15" t="s">
        <v>2994</v>
      </c>
      <c r="F2207" s="91" t="s">
        <v>2992</v>
      </c>
      <c r="G2207" s="4"/>
      <c r="H2207" s="4"/>
      <c r="I2207" s="4"/>
    </row>
    <row r="2208" spans="1:9" ht="15">
      <c r="A2208" s="21">
        <f t="shared" ref="A2208:A2271" si="40">A2207+1</f>
        <v>3</v>
      </c>
      <c r="B2208" s="14" t="s">
        <v>2995</v>
      </c>
      <c r="C2208" s="85" t="str">
        <f ca="1">IFERROR(__xludf.DUMMYFUNCTION("GOOGLETRANSLATE(B2208:B2223,""RU"",""UK"")"),"Розгортка ручна М4/М4,2")</f>
        <v>Розгортка ручна М4/М4,2</v>
      </c>
      <c r="D2208" s="15" t="s">
        <v>6</v>
      </c>
      <c r="E2208" s="15" t="s">
        <v>2996</v>
      </c>
      <c r="F2208" s="91" t="s">
        <v>253</v>
      </c>
      <c r="G2208" s="4"/>
      <c r="H2208" s="4"/>
      <c r="I2208" s="4"/>
    </row>
    <row r="2209" spans="1:9" ht="15">
      <c r="A2209" s="21">
        <f t="shared" si="40"/>
        <v>4</v>
      </c>
      <c r="B2209" s="14" t="s">
        <v>2997</v>
      </c>
      <c r="C2209" s="85" t="str">
        <f ca="1">IFERROR(__xludf.DUMMYFUNCTION("GOOGLETRANSLATE(B2209:B2224,""RU"",""UK"")"),"Розгортка ручна М4,5/М4.8")</f>
        <v>Розгортка ручна М4,5/М4.8</v>
      </c>
      <c r="D2209" s="15" t="s">
        <v>6</v>
      </c>
      <c r="E2209" s="15" t="s">
        <v>2998</v>
      </c>
      <c r="F2209" s="91" t="s">
        <v>314</v>
      </c>
      <c r="G2209" s="4"/>
      <c r="H2209" s="4"/>
      <c r="I2209" s="4"/>
    </row>
    <row r="2210" spans="1:9" ht="15">
      <c r="A2210" s="21">
        <f t="shared" si="40"/>
        <v>5</v>
      </c>
      <c r="B2210" s="14" t="s">
        <v>2999</v>
      </c>
      <c r="C2210" s="85" t="str">
        <f ca="1">IFERROR(__xludf.DUMMYFUNCTION("GOOGLETRANSLATE(B2210:B2225,""RU"",""UK"")"),"Розгортка ручна М5/М5,2/М5,5")</f>
        <v>Розгортка ручна М5/М5,2/М5,5</v>
      </c>
      <c r="D2210" s="15" t="s">
        <v>6</v>
      </c>
      <c r="E2210" s="15" t="s">
        <v>3000</v>
      </c>
      <c r="F2210" s="91" t="s">
        <v>598</v>
      </c>
      <c r="G2210" s="4"/>
      <c r="H2210" s="4"/>
      <c r="I2210" s="4"/>
    </row>
    <row r="2211" spans="1:9" ht="15">
      <c r="A2211" s="21">
        <f t="shared" si="40"/>
        <v>6</v>
      </c>
      <c r="B2211" s="16" t="s">
        <v>3001</v>
      </c>
      <c r="C2211" s="85" t="str">
        <f ca="1">IFERROR(__xludf.DUMMYFUNCTION("GOOGLETRANSLATE(B2211:B2226,""RU"",""UK"")"),"Розгортка ручна М6")</f>
        <v>Розгортка ручна М6</v>
      </c>
      <c r="D2211" s="15" t="s">
        <v>6</v>
      </c>
      <c r="E2211" s="15">
        <v>180</v>
      </c>
      <c r="F2211" s="91" t="s">
        <v>183</v>
      </c>
      <c r="G2211" s="4"/>
      <c r="H2211" s="4"/>
      <c r="I2211" s="4"/>
    </row>
    <row r="2212" spans="1:9" ht="15">
      <c r="A2212" s="21">
        <f t="shared" si="40"/>
        <v>7</v>
      </c>
      <c r="B2212" s="14" t="s">
        <v>3002</v>
      </c>
      <c r="C2212" s="85" t="str">
        <f ca="1">IFERROR(__xludf.DUMMYFUNCTION("GOOGLETRANSLATE(B2212:B2227,""RU"",""UK"")"),"Розгортка ручна М7/М7,5")</f>
        <v>Розгортка ручна М7/М7,5</v>
      </c>
      <c r="D2212" s="15" t="s">
        <v>6</v>
      </c>
      <c r="E2212" s="15" t="s">
        <v>3003</v>
      </c>
      <c r="F2212" s="91" t="s">
        <v>2738</v>
      </c>
      <c r="G2212" s="4"/>
      <c r="H2212" s="4"/>
      <c r="I2212" s="4"/>
    </row>
    <row r="2213" spans="1:9" ht="15">
      <c r="A2213" s="21">
        <f t="shared" si="40"/>
        <v>8</v>
      </c>
      <c r="B2213" s="14" t="s">
        <v>3004</v>
      </c>
      <c r="C2213" s="85" t="str">
        <f ca="1">IFERROR(__xludf.DUMMYFUNCTION("GOOGLETRANSLATE(B2213:B2228,""RU"",""UK"")"),"Розгортка ручна М8/М8,5")</f>
        <v>Розгортка ручна М8/М8,5</v>
      </c>
      <c r="D2213" s="15" t="s">
        <v>6</v>
      </c>
      <c r="E2213" s="15" t="s">
        <v>3005</v>
      </c>
      <c r="F2213" s="91" t="s">
        <v>338</v>
      </c>
      <c r="G2213" s="4"/>
      <c r="H2213" s="4"/>
      <c r="I2213" s="4"/>
    </row>
    <row r="2214" spans="1:9" ht="15">
      <c r="A2214" s="21">
        <f t="shared" si="40"/>
        <v>9</v>
      </c>
      <c r="B2214" s="14" t="s">
        <v>3006</v>
      </c>
      <c r="C2214" s="85" t="str">
        <f ca="1">IFERROR(__xludf.DUMMYFUNCTION("GOOGLETRANSLATE(B2214:B2229,""RU"",""UK"")"),"Розгортка ручна М9/М9,5")</f>
        <v>Розгортка ручна М9/М9,5</v>
      </c>
      <c r="D2214" s="15" t="s">
        <v>6</v>
      </c>
      <c r="E2214" s="15" t="s">
        <v>3007</v>
      </c>
      <c r="F2214" s="91" t="s">
        <v>185</v>
      </c>
      <c r="G2214" s="4"/>
      <c r="H2214" s="4"/>
      <c r="I2214" s="4"/>
    </row>
    <row r="2215" spans="1:9" ht="15">
      <c r="A2215" s="21">
        <f t="shared" si="40"/>
        <v>10</v>
      </c>
      <c r="B2215" s="14" t="s">
        <v>3008</v>
      </c>
      <c r="C2215" s="85" t="str">
        <f ca="1">IFERROR(__xludf.DUMMYFUNCTION("GOOGLETRANSLATE(B2215:B2230,""RU"",""UK"")"),"Розгортка ручна М10/М10.5")</f>
        <v>Розгортка ручна М10/М10.5</v>
      </c>
      <c r="D2215" s="15" t="s">
        <v>6</v>
      </c>
      <c r="E2215" s="15" t="s">
        <v>3009</v>
      </c>
      <c r="F2215" s="91" t="s">
        <v>136</v>
      </c>
      <c r="G2215" s="4"/>
      <c r="H2215" s="4"/>
      <c r="I2215" s="4"/>
    </row>
    <row r="2216" spans="1:9" ht="15">
      <c r="A2216" s="21">
        <f t="shared" si="40"/>
        <v>11</v>
      </c>
      <c r="B2216" s="14" t="s">
        <v>3010</v>
      </c>
      <c r="C2216" s="85" t="str">
        <f ca="1">IFERROR(__xludf.DUMMYFUNCTION("GOOGLETRANSLATE(B2216:B2231,""RU"",""UK"")"),"Розгортка ручна М11/М11,3/М11,5")</f>
        <v>Розгортка ручна М11/М11,3/М11,5</v>
      </c>
      <c r="D2216" s="15" t="s">
        <v>6</v>
      </c>
      <c r="E2216" s="15" t="s">
        <v>3011</v>
      </c>
      <c r="F2216" s="91" t="s">
        <v>3012</v>
      </c>
      <c r="G2216" s="4"/>
      <c r="H2216" s="4"/>
      <c r="I2216" s="4"/>
    </row>
    <row r="2217" spans="1:9" ht="15">
      <c r="A2217" s="21">
        <f t="shared" si="40"/>
        <v>12</v>
      </c>
      <c r="B2217" s="14" t="s">
        <v>3013</v>
      </c>
      <c r="C2217" s="85" t="str">
        <f ca="1">IFERROR(__xludf.DUMMYFUNCTION("GOOGLETRANSLATE(B2217:B2232,""RU"",""UK"")"),"Розгортка ручна М12")</f>
        <v>Розгортка ручна М12</v>
      </c>
      <c r="D2217" s="15" t="s">
        <v>6</v>
      </c>
      <c r="E2217" s="15">
        <v>80</v>
      </c>
      <c r="F2217" s="91" t="s">
        <v>319</v>
      </c>
      <c r="G2217" s="4"/>
      <c r="H2217" s="4"/>
      <c r="I2217" s="4"/>
    </row>
    <row r="2218" spans="1:9" ht="15">
      <c r="A2218" s="21">
        <f t="shared" si="40"/>
        <v>13</v>
      </c>
      <c r="B2218" s="14" t="s">
        <v>3014</v>
      </c>
      <c r="C2218" s="85" t="str">
        <f ca="1">IFERROR(__xludf.DUMMYFUNCTION("GOOGLETRANSLATE(B2218:B2233,""RU"",""UK"")"),"Розгортка ручна М13/М14")</f>
        <v>Розгортка ручна М13/М14</v>
      </c>
      <c r="D2218" s="15" t="s">
        <v>6</v>
      </c>
      <c r="E2218" s="15" t="s">
        <v>3015</v>
      </c>
      <c r="F2218" s="91" t="s">
        <v>119</v>
      </c>
      <c r="G2218" s="4"/>
      <c r="H2218" s="4"/>
      <c r="I2218" s="4"/>
    </row>
    <row r="2219" spans="1:9" ht="15">
      <c r="A2219" s="21">
        <f t="shared" si="40"/>
        <v>14</v>
      </c>
      <c r="B2219" s="14" t="s">
        <v>3016</v>
      </c>
      <c r="C2219" s="85" t="str">
        <f ca="1">IFERROR(__xludf.DUMMYFUNCTION("GOOGLETRANSLATE(B2219:B2234,""RU"",""UK"")"),"Розгортка ручна М15/М16")</f>
        <v>Розгортка ручна М15/М16</v>
      </c>
      <c r="D2219" s="15" t="s">
        <v>6</v>
      </c>
      <c r="E2219" s="15" t="s">
        <v>3017</v>
      </c>
      <c r="F2219" s="91" t="s">
        <v>3018</v>
      </c>
      <c r="G2219" s="4"/>
      <c r="H2219" s="4"/>
      <c r="I2219" s="4"/>
    </row>
    <row r="2220" spans="1:9" ht="15">
      <c r="A2220" s="21">
        <f t="shared" si="40"/>
        <v>15</v>
      </c>
      <c r="B2220" s="14" t="s">
        <v>3019</v>
      </c>
      <c r="C2220" s="85" t="str">
        <f ca="1">IFERROR(__xludf.DUMMYFUNCTION("GOOGLETRANSLATE(B2220:B2235,""RU"",""UK"")"),"Розгортка ручна М17/М18")</f>
        <v>Розгортка ручна М17/М18</v>
      </c>
      <c r="D2220" s="15" t="s">
        <v>6</v>
      </c>
      <c r="E2220" s="15" t="s">
        <v>3020</v>
      </c>
      <c r="F2220" s="91" t="s">
        <v>140</v>
      </c>
      <c r="G2220" s="4"/>
      <c r="H2220" s="4"/>
      <c r="I2220" s="4"/>
    </row>
    <row r="2221" spans="1:9" ht="15">
      <c r="A2221" s="21">
        <f t="shared" si="40"/>
        <v>16</v>
      </c>
      <c r="B2221" s="14" t="s">
        <v>3021</v>
      </c>
      <c r="C2221" s="85" t="str">
        <f ca="1">IFERROR(__xludf.DUMMYFUNCTION("GOOGLETRANSLATE(B2221:B2236,""RU"",""UK"")"),"Розгортка ручна М19/М19.8")</f>
        <v>Розгортка ручна М19/М19.8</v>
      </c>
      <c r="D2221" s="15" t="s">
        <v>6</v>
      </c>
      <c r="E2221" s="15" t="s">
        <v>3022</v>
      </c>
      <c r="F2221" s="91" t="s">
        <v>140</v>
      </c>
      <c r="G2221" s="4"/>
      <c r="H2221" s="4"/>
      <c r="I2221" s="4"/>
    </row>
    <row r="2222" spans="1:9" ht="15">
      <c r="A2222" s="21">
        <f t="shared" si="40"/>
        <v>17</v>
      </c>
      <c r="B2222" s="14" t="s">
        <v>3023</v>
      </c>
      <c r="C2222" s="85" t="str">
        <f ca="1">IFERROR(__xludf.DUMMYFUNCTION("GOOGLETRANSLATE(B2222:B2237,""RU"",""UK"")"),"Розгортка ручна М20/М21")</f>
        <v>Розгортка ручна М20/М21</v>
      </c>
      <c r="D2222" s="15" t="s">
        <v>6</v>
      </c>
      <c r="E2222" s="15" t="s">
        <v>3024</v>
      </c>
      <c r="F2222" s="91" t="s">
        <v>24</v>
      </c>
      <c r="G2222" s="4"/>
      <c r="H2222" s="4"/>
      <c r="I2222" s="4"/>
    </row>
    <row r="2223" spans="1:9" ht="15">
      <c r="A2223" s="21">
        <f t="shared" si="40"/>
        <v>18</v>
      </c>
      <c r="B2223" s="14" t="s">
        <v>3025</v>
      </c>
      <c r="C2223" s="85" t="str">
        <f ca="1">IFERROR(__xludf.DUMMYFUNCTION("GOOGLETRANSLATE(B2223:B2238,""RU"",""UK"")"),"Розгортка ручна М22/М23")</f>
        <v>Розгортка ручна М22/М23</v>
      </c>
      <c r="D2223" s="15" t="s">
        <v>6</v>
      </c>
      <c r="E2223" s="15" t="s">
        <v>3026</v>
      </c>
      <c r="F2223" s="91" t="s">
        <v>162</v>
      </c>
      <c r="G2223" s="4"/>
      <c r="H2223" s="4"/>
      <c r="I2223" s="4"/>
    </row>
    <row r="2224" spans="1:9" ht="15">
      <c r="A2224" s="21">
        <f t="shared" si="40"/>
        <v>19</v>
      </c>
      <c r="B2224" s="14" t="s">
        <v>3027</v>
      </c>
      <c r="C2224" s="85" t="str">
        <f ca="1">IFERROR(__xludf.DUMMYFUNCTION("GOOGLETRANSLATE(B2224:B2239,""RU"",""UK"")"),"Розгортка ручна М24")</f>
        <v>Розгортка ручна М24</v>
      </c>
      <c r="D2224" s="15" t="s">
        <v>6</v>
      </c>
      <c r="E2224" s="15">
        <v>113</v>
      </c>
      <c r="F2224" s="91" t="s">
        <v>162</v>
      </c>
      <c r="G2224" s="4"/>
      <c r="H2224" s="4"/>
      <c r="I2224" s="4"/>
    </row>
    <row r="2225" spans="1:9" ht="15">
      <c r="A2225" s="21">
        <f t="shared" si="40"/>
        <v>20</v>
      </c>
      <c r="B2225" s="14" t="s">
        <v>3028</v>
      </c>
      <c r="C2225" s="85" t="str">
        <f ca="1">IFERROR(__xludf.DUMMYFUNCTION("GOOGLETRANSLATE(B2225:B2240,""RU"",""UK"")"),"Розгортка ручна М25/М26")</f>
        <v>Розгортка ручна М25/М26</v>
      </c>
      <c r="D2225" s="15" t="s">
        <v>6</v>
      </c>
      <c r="E2225" s="15" t="s">
        <v>3029</v>
      </c>
      <c r="F2225" s="91" t="s">
        <v>16</v>
      </c>
      <c r="G2225" s="4"/>
      <c r="H2225" s="4"/>
      <c r="I2225" s="4"/>
    </row>
    <row r="2226" spans="1:9" ht="15">
      <c r="A2226" s="21">
        <f t="shared" si="40"/>
        <v>21</v>
      </c>
      <c r="B2226" s="14" t="s">
        <v>3030</v>
      </c>
      <c r="C2226" s="85" t="str">
        <f ca="1">IFERROR(__xludf.DUMMYFUNCTION("GOOGLETRANSLATE(B2226:B2241,""RU"",""UK"")"),"Розгортка ручна М27/М28")</f>
        <v>Розгортка ручна М27/М28</v>
      </c>
      <c r="D2226" s="15" t="s">
        <v>6</v>
      </c>
      <c r="E2226" s="15" t="s">
        <v>3031</v>
      </c>
      <c r="F2226" s="91" t="s">
        <v>22</v>
      </c>
      <c r="G2226" s="4"/>
      <c r="H2226" s="4"/>
      <c r="I2226" s="4"/>
    </row>
    <row r="2227" spans="1:9" ht="15">
      <c r="A2227" s="21">
        <f t="shared" si="40"/>
        <v>22</v>
      </c>
      <c r="B2227" s="14" t="s">
        <v>3032</v>
      </c>
      <c r="C2227" s="85" t="str">
        <f ca="1">IFERROR(__xludf.DUMMYFUNCTION("GOOGLETRANSLATE(B2227:B2242,""RU"",""UK"")"),"Розгортка ручна М30/М32")</f>
        <v>Розгортка ручна М30/М32</v>
      </c>
      <c r="D2227" s="15" t="s">
        <v>6</v>
      </c>
      <c r="E2227" s="15" t="s">
        <v>3033</v>
      </c>
      <c r="F2227" s="91" t="s">
        <v>18</v>
      </c>
      <c r="G2227" s="4"/>
      <c r="H2227" s="4"/>
      <c r="I2227" s="4"/>
    </row>
    <row r="2228" spans="1:9" ht="15">
      <c r="A2228" s="21">
        <f t="shared" si="40"/>
        <v>23</v>
      </c>
      <c r="B2228" s="14" t="s">
        <v>3034</v>
      </c>
      <c r="C2228" s="85" t="str">
        <f ca="1">IFERROR(__xludf.DUMMYFUNCTION("GOOGLETRANSLATE(B2228:B2243,""RU"",""UK"")"),"Розгортка ручна М34/М35")</f>
        <v>Розгортка ручна М34/М35</v>
      </c>
      <c r="D2228" s="15" t="s">
        <v>6</v>
      </c>
      <c r="E2228" s="15" t="s">
        <v>3035</v>
      </c>
      <c r="F2228" s="91" t="s">
        <v>413</v>
      </c>
      <c r="G2228" s="4"/>
      <c r="H2228" s="4"/>
      <c r="I2228" s="4"/>
    </row>
    <row r="2229" spans="1:9" ht="15">
      <c r="A2229" s="21">
        <f t="shared" si="40"/>
        <v>24</v>
      </c>
      <c r="B2229" s="14" t="s">
        <v>3036</v>
      </c>
      <c r="C2229" s="85" t="str">
        <f ca="1">IFERROR(__xludf.DUMMYFUNCTION("GOOGLETRANSLATE(B2229:B2244,""RU"",""UK"")"),"Розгортка ручна М36/М37")</f>
        <v>Розгортка ручна М36/М37</v>
      </c>
      <c r="D2229" s="15" t="s">
        <v>6</v>
      </c>
      <c r="E2229" s="15" t="s">
        <v>3037</v>
      </c>
      <c r="F2229" s="91" t="s">
        <v>53</v>
      </c>
      <c r="G2229" s="4"/>
      <c r="H2229" s="4"/>
      <c r="I2229" s="4"/>
    </row>
    <row r="2230" spans="1:9" ht="15">
      <c r="A2230" s="21">
        <f t="shared" si="40"/>
        <v>25</v>
      </c>
      <c r="B2230" s="14" t="s">
        <v>3038</v>
      </c>
      <c r="C2230" s="85" t="str">
        <f ca="1">IFERROR(__xludf.DUMMYFUNCTION("GOOGLETRANSLATE(B2230:B2245,""RU"",""UK"")"),"Розгортка ручна М38/М40")</f>
        <v>Розгортка ручна М38/М40</v>
      </c>
      <c r="D2230" s="15" t="s">
        <v>6</v>
      </c>
      <c r="E2230" s="15" t="s">
        <v>3039</v>
      </c>
      <c r="F2230" s="91" t="s">
        <v>3040</v>
      </c>
      <c r="G2230" s="4"/>
      <c r="H2230" s="4"/>
      <c r="I2230" s="4"/>
    </row>
    <row r="2231" spans="1:9" ht="15">
      <c r="A2231" s="21">
        <f t="shared" si="40"/>
        <v>26</v>
      </c>
      <c r="B2231" s="19" t="s">
        <v>3041</v>
      </c>
      <c r="C2231" s="85" t="str">
        <f ca="1">IFERROR(__xludf.DUMMYFUNCTION("GOOGLETRANSLATE(B2231:B2246,""RU"",""UK"")"),"Розгортка ручна М42")</f>
        <v>Розгортка ручна М42</v>
      </c>
      <c r="D2231" s="15" t="s">
        <v>6</v>
      </c>
      <c r="E2231" s="15">
        <v>0</v>
      </c>
      <c r="F2231" s="91" t="s">
        <v>71</v>
      </c>
      <c r="G2231" s="4"/>
      <c r="H2231" s="4"/>
      <c r="I2231" s="4"/>
    </row>
    <row r="2232" spans="1:9" ht="15">
      <c r="A2232" s="21">
        <f t="shared" si="40"/>
        <v>27</v>
      </c>
      <c r="B2232" s="14" t="s">
        <v>3042</v>
      </c>
      <c r="C2232" s="85" t="str">
        <f ca="1">IFERROR(__xludf.DUMMYFUNCTION("GOOGLETRANSLATE(B2232:B2247,""RU"",""UK"")"),"Розгортка машинна М3/М3.2")</f>
        <v>Розгортка машинна М3/М3.2</v>
      </c>
      <c r="D2232" s="15" t="s">
        <v>6</v>
      </c>
      <c r="E2232" s="15" t="s">
        <v>3043</v>
      </c>
      <c r="F2232" s="91" t="s">
        <v>248</v>
      </c>
      <c r="G2232" s="4"/>
      <c r="H2232" s="4"/>
      <c r="I2232" s="4"/>
    </row>
    <row r="2233" spans="1:9" ht="15">
      <c r="A2233" s="21">
        <f t="shared" si="40"/>
        <v>28</v>
      </c>
      <c r="B2233" s="14" t="s">
        <v>3044</v>
      </c>
      <c r="C2233" s="85" t="str">
        <f ca="1">IFERROR(__xludf.DUMMYFUNCTION("GOOGLETRANSLATE(B2233:B2248,""RU"",""UK"")"),"Розгортка машинна М3,5/М4")</f>
        <v>Розгортка машинна М3,5/М4</v>
      </c>
      <c r="D2233" s="15" t="s">
        <v>6</v>
      </c>
      <c r="E2233" s="15" t="s">
        <v>3045</v>
      </c>
      <c r="F2233" s="91" t="s">
        <v>169</v>
      </c>
      <c r="G2233" s="4"/>
      <c r="H2233" s="4"/>
      <c r="I2233" s="4"/>
    </row>
    <row r="2234" spans="1:9" ht="15">
      <c r="A2234" s="21">
        <f t="shared" si="40"/>
        <v>29</v>
      </c>
      <c r="B2234" s="14" t="s">
        <v>3046</v>
      </c>
      <c r="C2234" s="85" t="str">
        <f ca="1">IFERROR(__xludf.DUMMYFUNCTION("GOOGLETRANSLATE(B2234:B2249,""RU"",""UK"")"),"Розгортка машинна М4,5/М5/М5,5")</f>
        <v>Розгортка машинна М4,5/М5/М5,5</v>
      </c>
      <c r="D2234" s="15" t="s">
        <v>6</v>
      </c>
      <c r="E2234" s="15" t="s">
        <v>3047</v>
      </c>
      <c r="F2234" s="91" t="s">
        <v>201</v>
      </c>
      <c r="G2234" s="4"/>
      <c r="H2234" s="4"/>
      <c r="I2234" s="4"/>
    </row>
    <row r="2235" spans="1:9" ht="15">
      <c r="A2235" s="21">
        <f t="shared" si="40"/>
        <v>30</v>
      </c>
      <c r="B2235" s="14" t="s">
        <v>3048</v>
      </c>
      <c r="C2235" s="85" t="str">
        <f ca="1">IFERROR(__xludf.DUMMYFUNCTION("GOOGLETRANSLATE(B2235:B2250,""RU"",""UK"")"),"Розгортка машинна М6/М7")</f>
        <v>Розгортка машинна М6/М7</v>
      </c>
      <c r="D2235" s="15" t="s">
        <v>6</v>
      </c>
      <c r="E2235" s="15" t="s">
        <v>3049</v>
      </c>
      <c r="F2235" s="91" t="s">
        <v>3050</v>
      </c>
      <c r="G2235" s="4"/>
      <c r="H2235" s="4"/>
      <c r="I2235" s="4"/>
    </row>
    <row r="2236" spans="1:9" ht="15">
      <c r="A2236" s="21">
        <f t="shared" si="40"/>
        <v>31</v>
      </c>
      <c r="B2236" s="14" t="s">
        <v>3051</v>
      </c>
      <c r="C2236" s="85" t="str">
        <f ca="1">IFERROR(__xludf.DUMMYFUNCTION("GOOGLETRANSLATE(B2236:B2251,""RU"",""UK"")"),"Машинна розгортка М6ВК8 / М7ВК8")</f>
        <v>Машинна розгортка М6ВК8 / М7ВК8</v>
      </c>
      <c r="D2236" s="15" t="s">
        <v>6</v>
      </c>
      <c r="E2236" s="15" t="s">
        <v>2117</v>
      </c>
      <c r="F2236" s="91" t="s">
        <v>136</v>
      </c>
      <c r="G2236" s="4"/>
      <c r="H2236" s="4"/>
      <c r="I2236" s="4"/>
    </row>
    <row r="2237" spans="1:9" ht="15">
      <c r="A2237" s="21">
        <f t="shared" si="40"/>
        <v>32</v>
      </c>
      <c r="B2237" s="14" t="s">
        <v>3052</v>
      </c>
      <c r="C2237" s="85" t="str">
        <f ca="1">IFERROR(__xludf.DUMMYFUNCTION("GOOGLETRANSLATE(B2237:B2252,""RU"",""UK"")"),"Машинна розгортка М7.5 / М8 / М9")</f>
        <v>Машинна розгортка М7.5 / М8 / М9</v>
      </c>
      <c r="D2237" s="15" t="s">
        <v>6</v>
      </c>
      <c r="E2237" s="15" t="s">
        <v>3053</v>
      </c>
      <c r="F2237" s="91" t="s">
        <v>104</v>
      </c>
      <c r="G2237" s="4"/>
      <c r="H2237" s="4"/>
      <c r="I2237" s="4"/>
    </row>
    <row r="2238" spans="1:9" ht="15">
      <c r="A2238" s="21">
        <f t="shared" si="40"/>
        <v>33</v>
      </c>
      <c r="B2238" s="14" t="s">
        <v>3054</v>
      </c>
      <c r="C2238" s="85" t="str">
        <f ca="1">IFERROR(__xludf.DUMMYFUNCTION("GOOGLETRANSLATE(B2238:B2253,""RU"",""UK"")"),"Розгортка машинна М9ВК8")</f>
        <v>Розгортка машинна М9ВК8</v>
      </c>
      <c r="D2238" s="15" t="s">
        <v>6</v>
      </c>
      <c r="E2238" s="15">
        <v>3</v>
      </c>
      <c r="F2238" s="91" t="s">
        <v>319</v>
      </c>
      <c r="G2238" s="4"/>
      <c r="H2238" s="4"/>
      <c r="I2238" s="4"/>
    </row>
    <row r="2239" spans="1:9" ht="15">
      <c r="A2239" s="21">
        <f t="shared" si="40"/>
        <v>34</v>
      </c>
      <c r="B2239" s="14" t="s">
        <v>3055</v>
      </c>
      <c r="C2239" s="85" t="str">
        <f ca="1">IFERROR(__xludf.DUMMYFUNCTION("GOOGLETRANSLATE(B2239:B2254,""RU"",""UK"")"),"Розгортка машинна М10/М10,5")</f>
        <v>Розгортка машинна М10/М10,5</v>
      </c>
      <c r="D2239" s="15" t="s">
        <v>6</v>
      </c>
      <c r="E2239" s="15" t="s">
        <v>3056</v>
      </c>
      <c r="F2239" s="91" t="s">
        <v>185</v>
      </c>
      <c r="G2239" s="4"/>
      <c r="H2239" s="4"/>
      <c r="I2239" s="4"/>
    </row>
    <row r="2240" spans="1:9" ht="15">
      <c r="A2240" s="21">
        <f t="shared" si="40"/>
        <v>35</v>
      </c>
      <c r="B2240" s="14" t="s">
        <v>3057</v>
      </c>
      <c r="C2240" s="85" t="str">
        <f ca="1">IFERROR(__xludf.DUMMYFUNCTION("GOOGLETRANSLATE(B2240:B2255,""RU"",""UK"")"),"Розгортка машинна М10Т5К10")</f>
        <v>Розгортка машинна М10Т5К10</v>
      </c>
      <c r="D2240" s="15" t="s">
        <v>6</v>
      </c>
      <c r="E2240" s="15">
        <v>7</v>
      </c>
      <c r="F2240" s="91" t="s">
        <v>327</v>
      </c>
      <c r="G2240" s="4"/>
      <c r="H2240" s="4"/>
      <c r="I2240" s="4"/>
    </row>
    <row r="2241" spans="1:9" ht="15">
      <c r="A2241" s="21">
        <f t="shared" si="40"/>
        <v>36</v>
      </c>
      <c r="B2241" s="14" t="s">
        <v>3058</v>
      </c>
      <c r="C2241" s="85" t="str">
        <f ca="1">IFERROR(__xludf.DUMMYFUNCTION("GOOGLETRANSLATE(B2241:B2256,""RU"",""UK"")"),"Розгортка машинна М11Т5К10/М11,5ВК8")</f>
        <v>Розгортка машинна М11Т5К10/М11,5ВК8</v>
      </c>
      <c r="D2241" s="15" t="s">
        <v>6</v>
      </c>
      <c r="E2241" s="15" t="s">
        <v>3059</v>
      </c>
      <c r="F2241" s="91" t="s">
        <v>140</v>
      </c>
      <c r="G2241" s="4"/>
      <c r="H2241" s="4"/>
      <c r="I2241" s="4"/>
    </row>
    <row r="2242" spans="1:9" ht="15">
      <c r="A2242" s="21">
        <f t="shared" si="40"/>
        <v>37</v>
      </c>
      <c r="B2242" s="14" t="s">
        <v>3060</v>
      </c>
      <c r="C2242" s="85" t="str">
        <f ca="1">IFERROR(__xludf.DUMMYFUNCTION("GOOGLETRANSLATE(B2242:B2257,""RU"",""UK"")"),"Розгортка машинна М11/М12/М13")</f>
        <v>Розгортка машинна М11/М12/М13</v>
      </c>
      <c r="D2242" s="15" t="s">
        <v>6</v>
      </c>
      <c r="E2242" s="15" t="s">
        <v>3061</v>
      </c>
      <c r="F2242" s="91" t="s">
        <v>353</v>
      </c>
      <c r="G2242" s="4"/>
      <c r="H2242" s="4"/>
      <c r="I2242" s="4"/>
    </row>
    <row r="2243" spans="1:9" ht="15">
      <c r="A2243" s="21">
        <f t="shared" si="40"/>
        <v>38</v>
      </c>
      <c r="B2243" s="14" t="s">
        <v>3062</v>
      </c>
      <c r="C2243" s="85" t="str">
        <f ca="1">IFERROR(__xludf.DUMMYFUNCTION("GOOGLETRANSLATE(B2243:B2258,""RU"",""UK"")"),"Машинна розгортка М12ВК8 / М12Р18")</f>
        <v>Машинна розгортка М12ВК8 / М12Р18</v>
      </c>
      <c r="D2243" s="15" t="s">
        <v>6</v>
      </c>
      <c r="E2243" s="15" t="s">
        <v>737</v>
      </c>
      <c r="F2243" s="91" t="s">
        <v>140</v>
      </c>
      <c r="G2243" s="4"/>
      <c r="H2243" s="4"/>
      <c r="I2243" s="4"/>
    </row>
    <row r="2244" spans="1:9" ht="15">
      <c r="A2244" s="21">
        <f t="shared" si="40"/>
        <v>39</v>
      </c>
      <c r="B2244" s="14" t="s">
        <v>3063</v>
      </c>
      <c r="C2244" s="85" t="str">
        <f ca="1">IFERROR(__xludf.DUMMYFUNCTION("GOOGLETRANSLATE(B2244:B2259,""RU"",""UK"")"),"Розгортка машинна М14/М15")</f>
        <v>Розгортка машинна М14/М15</v>
      </c>
      <c r="D2244" s="15" t="s">
        <v>6</v>
      </c>
      <c r="E2244" s="15" t="s">
        <v>3064</v>
      </c>
      <c r="F2244" s="91" t="s">
        <v>196</v>
      </c>
      <c r="G2244" s="4"/>
      <c r="H2244" s="4"/>
      <c r="I2244" s="4"/>
    </row>
    <row r="2245" spans="1:9" ht="15">
      <c r="A2245" s="21">
        <f t="shared" si="40"/>
        <v>40</v>
      </c>
      <c r="B2245" s="14" t="s">
        <v>3065</v>
      </c>
      <c r="C2245" s="85" t="str">
        <f ca="1">IFERROR(__xludf.DUMMYFUNCTION("GOOGLETRANSLATE(B2245:B2260,""RU"",""UK"")"),"Розгортка машинна М16/М17")</f>
        <v>Розгортка машинна М16/М17</v>
      </c>
      <c r="D2245" s="15" t="s">
        <v>6</v>
      </c>
      <c r="E2245" s="15" t="s">
        <v>3066</v>
      </c>
      <c r="F2245" s="91" t="s">
        <v>3067</v>
      </c>
      <c r="G2245" s="4"/>
      <c r="H2245" s="4"/>
      <c r="I2245" s="4"/>
    </row>
    <row r="2246" spans="1:9" ht="15">
      <c r="A2246" s="21">
        <f t="shared" si="40"/>
        <v>41</v>
      </c>
      <c r="B2246" s="14" t="s">
        <v>3068</v>
      </c>
      <c r="C2246" s="85" t="str">
        <f ca="1">IFERROR(__xludf.DUMMYFUNCTION("GOOGLETRANSLATE(B2246:B2261,""RU"",""UK"")"),"Розгортка машинна М16 Т15К6/М16ВК8")</f>
        <v>Розгортка машинна М16 Т15К6/М16ВК8</v>
      </c>
      <c r="D2246" s="15" t="s">
        <v>6</v>
      </c>
      <c r="E2246" s="15" t="s">
        <v>774</v>
      </c>
      <c r="F2246" s="91" t="s">
        <v>24</v>
      </c>
      <c r="G2246" s="4"/>
      <c r="H2246" s="4"/>
      <c r="I2246" s="4"/>
    </row>
    <row r="2247" spans="1:9" ht="15">
      <c r="A2247" s="21">
        <f t="shared" si="40"/>
        <v>42</v>
      </c>
      <c r="B2247" s="14" t="s">
        <v>3069</v>
      </c>
      <c r="C2247" s="85" t="str">
        <f ca="1">IFERROR(__xludf.DUMMYFUNCTION("GOOGLETRANSLATE(B2247:B2262,""RU"",""UK"")"),"Машинна розгортка М18 / М19")</f>
        <v>Машинна розгортка М18 / М19</v>
      </c>
      <c r="D2247" s="15" t="s">
        <v>6</v>
      </c>
      <c r="E2247" s="15" t="s">
        <v>3070</v>
      </c>
      <c r="F2247" s="91" t="s">
        <v>140</v>
      </c>
      <c r="G2247" s="4"/>
      <c r="H2247" s="4"/>
      <c r="I2247" s="4"/>
    </row>
    <row r="2248" spans="1:9" ht="15">
      <c r="A2248" s="21">
        <f t="shared" si="40"/>
        <v>43</v>
      </c>
      <c r="B2248" s="14" t="s">
        <v>3071</v>
      </c>
      <c r="C2248" s="85" t="str">
        <f ca="1">IFERROR(__xludf.DUMMYFUNCTION("GOOGLETRANSLATE(B2248:B2263,""RU"",""UK"")"),"Машинна розгортка М20 / М21")</f>
        <v>Машинна розгортка М20 / М21</v>
      </c>
      <c r="D2248" s="15" t="s">
        <v>6</v>
      </c>
      <c r="E2248" s="15" t="s">
        <v>1865</v>
      </c>
      <c r="F2248" s="91" t="s">
        <v>569</v>
      </c>
      <c r="G2248" s="4"/>
      <c r="H2248" s="4"/>
      <c r="I2248" s="4"/>
    </row>
    <row r="2249" spans="1:9" ht="15">
      <c r="A2249" s="21">
        <f t="shared" si="40"/>
        <v>44</v>
      </c>
      <c r="B2249" s="14" t="s">
        <v>3072</v>
      </c>
      <c r="C2249" s="85" t="str">
        <f ca="1">IFERROR(__xludf.DUMMYFUNCTION("GOOGLETRANSLATE(B2249:B2264,""RU"",""UK"")"),"Машинна розгортка М20,9т/с /М21ВК6")</f>
        <v>Машинна розгортка М20,9т/с /М21ВК6</v>
      </c>
      <c r="D2249" s="15" t="s">
        <v>6</v>
      </c>
      <c r="E2249" s="15" t="s">
        <v>749</v>
      </c>
      <c r="F2249" s="91" t="s">
        <v>272</v>
      </c>
      <c r="G2249" s="4"/>
      <c r="H2249" s="4"/>
      <c r="I2249" s="4"/>
    </row>
    <row r="2250" spans="1:9" ht="15">
      <c r="A2250" s="21">
        <f t="shared" si="40"/>
        <v>45</v>
      </c>
      <c r="B2250" s="14" t="s">
        <v>3073</v>
      </c>
      <c r="C2250" s="85" t="str">
        <f ca="1">IFERROR(__xludf.DUMMYFUNCTION("GOOGLETRANSLATE(B2250:B2265,""RU"",""UK"")"),"Розгортка машинна М22/М22,5")</f>
        <v>Розгортка машинна М22/М22,5</v>
      </c>
      <c r="D2250" s="15" t="s">
        <v>6</v>
      </c>
      <c r="E2250" s="15" t="s">
        <v>3074</v>
      </c>
      <c r="F2250" s="91" t="s">
        <v>20</v>
      </c>
      <c r="G2250" s="4"/>
      <c r="H2250" s="4"/>
      <c r="I2250" s="4"/>
    </row>
    <row r="2251" spans="1:9" ht="15">
      <c r="A2251" s="21">
        <f t="shared" si="40"/>
        <v>46</v>
      </c>
      <c r="B2251" s="14" t="s">
        <v>3075</v>
      </c>
      <c r="C2251" s="85" t="str">
        <f ca="1">IFERROR(__xludf.DUMMYFUNCTION("GOOGLETRANSLATE(B2251:B2266,""RU"",""UK"")"),"Розгортка машинна М22 з удл. Раб. частиною")</f>
        <v>Розгортка машинна М22 з удл. Раб. частиною</v>
      </c>
      <c r="D2251" s="15" t="s">
        <v>6</v>
      </c>
      <c r="E2251" s="15">
        <v>4</v>
      </c>
      <c r="F2251" s="91" t="s">
        <v>162</v>
      </c>
      <c r="G2251" s="4"/>
      <c r="H2251" s="4"/>
      <c r="I2251" s="4"/>
    </row>
    <row r="2252" spans="1:9" ht="15">
      <c r="A2252" s="21">
        <f t="shared" si="40"/>
        <v>47</v>
      </c>
      <c r="B2252" s="14" t="s">
        <v>3076</v>
      </c>
      <c r="C2252" s="85" t="str">
        <f ca="1">IFERROR(__xludf.DUMMYFUNCTION("GOOGLETRANSLATE(B2252:B2267,""RU"",""UK"")"),"Машинна розгортка М22ВК6 / М22,7ВК8")</f>
        <v>Машинна розгортка М22ВК6 / М22,7ВК8</v>
      </c>
      <c r="D2252" s="15" t="s">
        <v>6</v>
      </c>
      <c r="E2252" s="15" t="s">
        <v>1877</v>
      </c>
      <c r="F2252" s="91" t="s">
        <v>413</v>
      </c>
      <c r="G2252" s="4"/>
      <c r="H2252" s="4"/>
      <c r="I2252" s="4"/>
    </row>
    <row r="2253" spans="1:9" ht="15">
      <c r="A2253" s="21">
        <f t="shared" si="40"/>
        <v>48</v>
      </c>
      <c r="B2253" s="14" t="s">
        <v>3077</v>
      </c>
      <c r="C2253" s="85" t="str">
        <f ca="1">IFERROR(__xludf.DUMMYFUNCTION("GOOGLETRANSLATE(B2253:B2268,""RU"",""UK"")"),"Розгортка машинна М24")</f>
        <v>Розгортка машинна М24</v>
      </c>
      <c r="D2253" s="15" t="s">
        <v>6</v>
      </c>
      <c r="E2253" s="15">
        <v>98</v>
      </c>
      <c r="F2253" s="91" t="s">
        <v>24</v>
      </c>
      <c r="G2253" s="4"/>
      <c r="H2253" s="4"/>
      <c r="I2253" s="4"/>
    </row>
    <row r="2254" spans="1:9" ht="15">
      <c r="A2254" s="21">
        <f t="shared" si="40"/>
        <v>49</v>
      </c>
      <c r="B2254" s="14" t="s">
        <v>3078</v>
      </c>
      <c r="C2254" s="85" t="str">
        <f ca="1">IFERROR(__xludf.DUMMYFUNCTION("GOOGLETRANSLATE(B2254:B2269,""RU"",""UK"")"),"Розгортка машинна М24ВК6/М25Т5К10")</f>
        <v>Розгортка машинна М24ВК6/М25Т5К10</v>
      </c>
      <c r="D2254" s="15" t="s">
        <v>6</v>
      </c>
      <c r="E2254" s="15" t="s">
        <v>2361</v>
      </c>
      <c r="F2254" s="91" t="s">
        <v>16</v>
      </c>
      <c r="G2254" s="4"/>
      <c r="H2254" s="4"/>
      <c r="I2254" s="4"/>
    </row>
    <row r="2255" spans="1:9" ht="15">
      <c r="A2255" s="21">
        <f t="shared" si="40"/>
        <v>50</v>
      </c>
      <c r="B2255" s="14" t="s">
        <v>3079</v>
      </c>
      <c r="C2255" s="85" t="str">
        <f ca="1">IFERROR(__xludf.DUMMYFUNCTION("GOOGLETRANSLATE(B2255:B2270,""RU"",""UK"")"),"Машинна розгортка М25 / М26")</f>
        <v>Машинна розгортка М25 / М26</v>
      </c>
      <c r="D2255" s="15" t="s">
        <v>6</v>
      </c>
      <c r="E2255" s="15" t="s">
        <v>3080</v>
      </c>
      <c r="F2255" s="91" t="s">
        <v>106</v>
      </c>
      <c r="G2255" s="4"/>
      <c r="H2255" s="4"/>
      <c r="I2255" s="4"/>
    </row>
    <row r="2256" spans="1:9" ht="15">
      <c r="A2256" s="21">
        <f t="shared" si="40"/>
        <v>51</v>
      </c>
      <c r="B2256" s="14" t="s">
        <v>3081</v>
      </c>
      <c r="C2256" s="85" t="str">
        <f ca="1">IFERROR(__xludf.DUMMYFUNCTION("GOOGLETRANSLATE(B2256:B2271,""RU"",""UK"")"),"Розгортка машинна М26Т5К10")</f>
        <v>Розгортка машинна М26Т5К10</v>
      </c>
      <c r="D2256" s="15" t="s">
        <v>6</v>
      </c>
      <c r="E2256" s="15">
        <v>1</v>
      </c>
      <c r="F2256" s="91" t="s">
        <v>27</v>
      </c>
      <c r="G2256" s="4"/>
      <c r="H2256" s="4"/>
      <c r="I2256" s="4"/>
    </row>
    <row r="2257" spans="1:9" ht="15">
      <c r="A2257" s="21">
        <f t="shared" si="40"/>
        <v>52</v>
      </c>
      <c r="B2257" s="14" t="s">
        <v>3082</v>
      </c>
      <c r="C2257" s="85" t="str">
        <f ca="1">IFERROR(__xludf.DUMMYFUNCTION("GOOGLETRANSLATE(B2257:B2272,""RU"",""UK"")"),"Машинна розгортка М27 / М28")</f>
        <v>Машинна розгортка М27 / М28</v>
      </c>
      <c r="D2257" s="15" t="s">
        <v>6</v>
      </c>
      <c r="E2257" s="15" t="s">
        <v>3083</v>
      </c>
      <c r="F2257" s="91" t="s">
        <v>16</v>
      </c>
      <c r="G2257" s="4"/>
      <c r="H2257" s="4"/>
      <c r="I2257" s="4"/>
    </row>
    <row r="2258" spans="1:9" ht="15">
      <c r="A2258" s="21">
        <f t="shared" si="40"/>
        <v>53</v>
      </c>
      <c r="B2258" s="14" t="s">
        <v>3084</v>
      </c>
      <c r="C2258" s="85" t="str">
        <f ca="1">IFERROR(__xludf.DUMMYFUNCTION("GOOGLETRANSLATE(B2258:B2273,""RU"",""UK"")"),"Машинна розгортка М30 / М32")</f>
        <v>Машинна розгортка М30 / М32</v>
      </c>
      <c r="D2258" s="15" t="s">
        <v>6</v>
      </c>
      <c r="E2258" s="15" t="s">
        <v>3085</v>
      </c>
      <c r="F2258" s="91" t="s">
        <v>272</v>
      </c>
      <c r="G2258" s="4"/>
      <c r="H2258" s="4"/>
      <c r="I2258" s="4"/>
    </row>
    <row r="2259" spans="1:9" ht="15">
      <c r="A2259" s="21">
        <f t="shared" si="40"/>
        <v>54</v>
      </c>
      <c r="B2259" s="14" t="s">
        <v>3086</v>
      </c>
      <c r="C2259" s="85" t="str">
        <f ca="1">IFERROR(__xludf.DUMMYFUNCTION("GOOGLETRANSLATE(B2259:B2274,""RU"",""UK"")"),"Розгортка машинна М32ВК8")</f>
        <v>Розгортка машинна М32ВК8</v>
      </c>
      <c r="D2259" s="15" t="s">
        <v>6</v>
      </c>
      <c r="E2259" s="15">
        <v>1</v>
      </c>
      <c r="F2259" s="91" t="s">
        <v>842</v>
      </c>
      <c r="G2259" s="4"/>
      <c r="H2259" s="4"/>
      <c r="I2259" s="4"/>
    </row>
    <row r="2260" spans="1:9" ht="15">
      <c r="A2260" s="21">
        <f t="shared" si="40"/>
        <v>55</v>
      </c>
      <c r="B2260" s="14" t="s">
        <v>3087</v>
      </c>
      <c r="C2260" s="85" t="str">
        <f ca="1">IFERROR(__xludf.DUMMYFUNCTION("GOOGLETRANSLATE(B2260:B2275,""RU"",""UK"")"),"Розгортка конічний руч. 3 (1:50)")</f>
        <v>Розгортка конічний руч. 3 (1:50)</v>
      </c>
      <c r="D2260" s="15" t="s">
        <v>6</v>
      </c>
      <c r="E2260" s="15">
        <v>16</v>
      </c>
      <c r="F2260" s="91" t="s">
        <v>614</v>
      </c>
      <c r="G2260" s="4"/>
      <c r="H2260" s="4"/>
      <c r="I2260" s="4"/>
    </row>
    <row r="2261" spans="1:9" ht="15">
      <c r="A2261" s="21">
        <f t="shared" si="40"/>
        <v>56</v>
      </c>
      <c r="B2261" s="14" t="s">
        <v>3088</v>
      </c>
      <c r="C2261" s="85" t="str">
        <f ca="1">IFERROR(__xludf.DUMMYFUNCTION("GOOGLETRANSLATE(B2261:B2276,""RU"",""UK"")"),"Розгортка конічний руч. 4 (1:50)")</f>
        <v>Розгортка конічний руч. 4 (1:50)</v>
      </c>
      <c r="D2261" s="15" t="s">
        <v>6</v>
      </c>
      <c r="E2261" s="15">
        <v>153</v>
      </c>
      <c r="F2261" s="91" t="s">
        <v>564</v>
      </c>
      <c r="G2261" s="4"/>
      <c r="H2261" s="4"/>
      <c r="I2261" s="4"/>
    </row>
    <row r="2262" spans="1:9" ht="15">
      <c r="A2262" s="21">
        <f t="shared" si="40"/>
        <v>57</v>
      </c>
      <c r="B2262" s="14" t="s">
        <v>3089</v>
      </c>
      <c r="C2262" s="85" t="str">
        <f ca="1">IFERROR(__xludf.DUMMYFUNCTION("GOOGLETRANSLATE(B2262:B2277,""RU"",""UK"")"),"Розгортка конічний руч. 5 (1:50)")</f>
        <v>Розгортка конічний руч. 5 (1:50)</v>
      </c>
      <c r="D2262" s="15" t="s">
        <v>6</v>
      </c>
      <c r="E2262" s="15">
        <v>43</v>
      </c>
      <c r="F2262" s="91" t="s">
        <v>185</v>
      </c>
      <c r="G2262" s="4"/>
      <c r="H2262" s="4"/>
      <c r="I2262" s="4"/>
    </row>
    <row r="2263" spans="1:9" ht="15">
      <c r="A2263" s="21">
        <f t="shared" si="40"/>
        <v>58</v>
      </c>
      <c r="B2263" s="14" t="s">
        <v>3090</v>
      </c>
      <c r="C2263" s="85" t="str">
        <f ca="1">IFERROR(__xludf.DUMMYFUNCTION("GOOGLETRANSLATE(B2263:B2278,""RU"",""UK"")"),"Розгортка конічний руч. 6 (1:50)")</f>
        <v>Розгортка конічний руч. 6 (1:50)</v>
      </c>
      <c r="D2263" s="15" t="s">
        <v>6</v>
      </c>
      <c r="E2263" s="15">
        <v>4</v>
      </c>
      <c r="F2263" s="91" t="s">
        <v>136</v>
      </c>
      <c r="G2263" s="4"/>
      <c r="H2263" s="4"/>
      <c r="I2263" s="4"/>
    </row>
    <row r="2264" spans="1:9" ht="15">
      <c r="A2264" s="21">
        <f t="shared" si="40"/>
        <v>59</v>
      </c>
      <c r="B2264" s="14" t="s">
        <v>3091</v>
      </c>
      <c r="C2264" s="85" t="str">
        <f ca="1">IFERROR(__xludf.DUMMYFUNCTION("GOOGLETRANSLATE(B2264:B2279,""RU"",""UK"")"),"Розгортка конічний руч. 8 (1:50)")</f>
        <v>Розгортка конічний руч. 8 (1:50)</v>
      </c>
      <c r="D2264" s="15" t="s">
        <v>6</v>
      </c>
      <c r="E2264" s="15">
        <v>15</v>
      </c>
      <c r="F2264" s="91" t="s">
        <v>344</v>
      </c>
      <c r="G2264" s="4"/>
      <c r="H2264" s="4"/>
      <c r="I2264" s="4"/>
    </row>
    <row r="2265" spans="1:9" ht="15">
      <c r="A2265" s="21">
        <f t="shared" si="40"/>
        <v>60</v>
      </c>
      <c r="B2265" s="14" t="s">
        <v>3092</v>
      </c>
      <c r="C2265" s="85" t="str">
        <f ca="1">IFERROR(__xludf.DUMMYFUNCTION("GOOGLETRANSLATE(B2265:B2280,""RU"",""UK"")"),"Розгортка конічний руч. 10 (1:50)")</f>
        <v>Розгортка конічний руч. 10 (1:50)</v>
      </c>
      <c r="D2265" s="15" t="s">
        <v>6</v>
      </c>
      <c r="E2265" s="15">
        <v>101</v>
      </c>
      <c r="F2265" s="91" t="s">
        <v>348</v>
      </c>
      <c r="G2265" s="4"/>
      <c r="H2265" s="4"/>
      <c r="I2265" s="4"/>
    </row>
    <row r="2266" spans="1:9" ht="15">
      <c r="A2266" s="21">
        <f t="shared" si="40"/>
        <v>61</v>
      </c>
      <c r="B2266" s="14" t="s">
        <v>3093</v>
      </c>
      <c r="C2266" s="85" t="str">
        <f ca="1">IFERROR(__xludf.DUMMYFUNCTION("GOOGLETRANSLATE(B2266:B2281,""RU"",""UK"")"),"Розгортка конічна маш. 10 (1:50)")</f>
        <v>Розгортка конічна маш. 10 (1:50)</v>
      </c>
      <c r="D2266" s="15" t="s">
        <v>6</v>
      </c>
      <c r="E2266" s="15">
        <v>12</v>
      </c>
      <c r="F2266" s="91" t="s">
        <v>348</v>
      </c>
      <c r="G2266" s="4"/>
      <c r="H2266" s="4"/>
      <c r="I2266" s="4"/>
    </row>
    <row r="2267" spans="1:9" ht="15">
      <c r="A2267" s="21">
        <f t="shared" si="40"/>
        <v>62</v>
      </c>
      <c r="B2267" s="14" t="s">
        <v>3094</v>
      </c>
      <c r="C2267" s="85" t="str">
        <f ca="1">IFERROR(__xludf.DUMMYFUNCTION("GOOGLETRANSLATE(B2267:B2282,""RU"",""UK"")"),"Розгортка конічний руч. 12 (1:50)/маш. 12 (1:50)")</f>
        <v>Розгортка конічний руч. 12 (1:50)/маш. 12 (1:50)</v>
      </c>
      <c r="D2267" s="15" t="s">
        <v>6</v>
      </c>
      <c r="E2267" s="15" t="s">
        <v>3095</v>
      </c>
      <c r="F2267" s="91" t="s">
        <v>319</v>
      </c>
      <c r="G2267" s="4"/>
      <c r="H2267" s="4"/>
      <c r="I2267" s="4"/>
    </row>
    <row r="2268" spans="1:9" ht="15">
      <c r="A2268" s="21">
        <f t="shared" si="40"/>
        <v>63</v>
      </c>
      <c r="B2268" s="14" t="s">
        <v>3096</v>
      </c>
      <c r="C2268" s="85" t="str">
        <f ca="1">IFERROR(__xludf.DUMMYFUNCTION("GOOGLETRANSLATE(B2268:B2283,""RU"",""UK"")"),"Розгортка конічний руч. 13 (1:50)")</f>
        <v>Розгортка конічний руч. 13 (1:50)</v>
      </c>
      <c r="D2268" s="15" t="s">
        <v>6</v>
      </c>
      <c r="E2268" s="15">
        <v>12</v>
      </c>
      <c r="F2268" s="91" t="s">
        <v>119</v>
      </c>
      <c r="G2268" s="4"/>
      <c r="H2268" s="4"/>
      <c r="I2268" s="4"/>
    </row>
    <row r="2269" spans="1:9" ht="15">
      <c r="A2269" s="21">
        <f t="shared" si="40"/>
        <v>64</v>
      </c>
      <c r="B2269" s="14" t="s">
        <v>3097</v>
      </c>
      <c r="C2269" s="85" t="str">
        <f ca="1">IFERROR(__xludf.DUMMYFUNCTION("GOOGLETRANSLATE(B2269:B2284,""RU"",""UK"")"),"Розгортка конічний руч. 16 (1:50)/маш. 16 (1:50)")</f>
        <v>Розгортка конічний руч. 16 (1:50)/маш. 16 (1:50)</v>
      </c>
      <c r="D2269" s="15" t="s">
        <v>6</v>
      </c>
      <c r="E2269" s="15" t="s">
        <v>3098</v>
      </c>
      <c r="F2269" s="91" t="s">
        <v>140</v>
      </c>
      <c r="G2269" s="4"/>
      <c r="H2269" s="4"/>
      <c r="I2269" s="4"/>
    </row>
    <row r="2270" spans="1:9" ht="15">
      <c r="A2270" s="21">
        <f t="shared" si="40"/>
        <v>65</v>
      </c>
      <c r="B2270" s="14" t="s">
        <v>3099</v>
      </c>
      <c r="C2270" s="85" t="str">
        <f ca="1">IFERROR(__xludf.DUMMYFUNCTION("GOOGLETRANSLATE(B2270:B2285,""RU"",""UK"")"),"Розгортка конічний руч. 20 (1:50)")</f>
        <v>Розгортка конічний руч. 20 (1:50)</v>
      </c>
      <c r="D2270" s="15" t="s">
        <v>6</v>
      </c>
      <c r="E2270" s="15">
        <v>11</v>
      </c>
      <c r="F2270" s="91" t="s">
        <v>106</v>
      </c>
      <c r="G2270" s="4"/>
      <c r="H2270" s="4"/>
      <c r="I2270" s="4"/>
    </row>
    <row r="2271" spans="1:9" ht="15">
      <c r="A2271" s="21">
        <f t="shared" si="40"/>
        <v>66</v>
      </c>
      <c r="B2271" s="14" t="s">
        <v>3100</v>
      </c>
      <c r="C2271" s="85" t="str">
        <f ca="1">IFERROR(__xludf.DUMMYFUNCTION("GOOGLETRANSLATE(B2271:B2286,""RU"",""UK"")"),"Розгортка конічний руч. 13 (1:30) / 14 (1:30)")</f>
        <v>Розгортка конічний руч. 13 (1:30) / 14 (1:30)</v>
      </c>
      <c r="D2271" s="15" t="s">
        <v>6</v>
      </c>
      <c r="E2271" s="15" t="s">
        <v>3101</v>
      </c>
      <c r="F2271" s="91" t="s">
        <v>319</v>
      </c>
      <c r="G2271" s="4"/>
      <c r="H2271" s="4"/>
      <c r="I2271" s="4"/>
    </row>
    <row r="2272" spans="1:9" ht="15">
      <c r="A2272" s="21">
        <f t="shared" ref="A2272:A2335" si="41">A2271+1</f>
        <v>67</v>
      </c>
      <c r="B2272" s="14" t="s">
        <v>3102</v>
      </c>
      <c r="C2272" s="85" t="str">
        <f ca="1">IFERROR(__xludf.DUMMYFUNCTION("GOOGLETRANSLATE(B2272:B2287,""RU"",""UK"")"),"Розгортка конічний руч. 16 (1:30)/маш. 16 (1:30)")</f>
        <v>Розгортка конічний руч. 16 (1:30)/маш. 16 (1:30)</v>
      </c>
      <c r="D2272" s="15" t="s">
        <v>6</v>
      </c>
      <c r="E2272" s="15" t="s">
        <v>3103</v>
      </c>
      <c r="F2272" s="91" t="s">
        <v>263</v>
      </c>
      <c r="G2272" s="4"/>
      <c r="H2272" s="4"/>
      <c r="I2272" s="4"/>
    </row>
    <row r="2273" spans="1:9" ht="15">
      <c r="A2273" s="21">
        <f t="shared" si="41"/>
        <v>68</v>
      </c>
      <c r="B2273" s="14" t="s">
        <v>3104</v>
      </c>
      <c r="C2273" s="85" t="str">
        <f ca="1">IFERROR(__xludf.DUMMYFUNCTION("GOOGLETRANSLATE(B2273:B2288,""RU"",""UK"")"),"Розгортка конічний руч. 19 (1:30)")</f>
        <v>Розгортка конічний руч. 19 (1:30)</v>
      </c>
      <c r="D2273" s="15" t="s">
        <v>6</v>
      </c>
      <c r="E2273" s="15">
        <v>7</v>
      </c>
      <c r="F2273" s="91" t="s">
        <v>119</v>
      </c>
      <c r="G2273" s="4"/>
      <c r="H2273" s="4"/>
      <c r="I2273" s="4"/>
    </row>
    <row r="2274" spans="1:9" ht="15">
      <c r="A2274" s="21">
        <f t="shared" si="41"/>
        <v>69</v>
      </c>
      <c r="B2274" s="14" t="s">
        <v>3105</v>
      </c>
      <c r="C2274" s="85" t="str">
        <f ca="1">IFERROR(__xludf.DUMMYFUNCTION("GOOGLETRANSLATE(B2274:B2289,""RU"",""UK"")"),"Розгортка конічний руч. 22 (1:30)")</f>
        <v>Розгортка конічний руч. 22 (1:30)</v>
      </c>
      <c r="D2274" s="15" t="s">
        <v>6</v>
      </c>
      <c r="E2274" s="15">
        <v>13</v>
      </c>
      <c r="F2274" s="91" t="s">
        <v>140</v>
      </c>
      <c r="G2274" s="4"/>
      <c r="H2274" s="4"/>
      <c r="I2274" s="4"/>
    </row>
    <row r="2275" spans="1:9" ht="15">
      <c r="A2275" s="21">
        <f t="shared" si="41"/>
        <v>70</v>
      </c>
      <c r="B2275" s="14" t="s">
        <v>3106</v>
      </c>
      <c r="C2275" s="85" t="str">
        <f ca="1">IFERROR(__xludf.DUMMYFUNCTION("GOOGLETRANSLATE(B2275:B2290,""RU"",""UK"")"),"Розгортка конічний руч. 27 (1:30)")</f>
        <v>Розгортка конічний руч. 27 (1:30)</v>
      </c>
      <c r="D2275" s="15" t="s">
        <v>6</v>
      </c>
      <c r="E2275" s="15">
        <v>3</v>
      </c>
      <c r="F2275" s="91" t="s">
        <v>20</v>
      </c>
      <c r="G2275" s="4"/>
      <c r="H2275" s="4"/>
      <c r="I2275" s="4"/>
    </row>
    <row r="2276" spans="1:9" ht="15">
      <c r="A2276" s="21">
        <f t="shared" si="41"/>
        <v>71</v>
      </c>
      <c r="B2276" s="14" t="s">
        <v>3107</v>
      </c>
      <c r="C2276" s="85" t="str">
        <f ca="1">IFERROR(__xludf.DUMMYFUNCTION("GOOGLETRANSLATE(B2276:B2291,""RU"",""UK"")"),"Розгортка конічний руч. 32 (1:30)")</f>
        <v>Розгортка конічний руч. 32 (1:30)</v>
      </c>
      <c r="D2276" s="15" t="s">
        <v>6</v>
      </c>
      <c r="E2276" s="15">
        <v>1</v>
      </c>
      <c r="F2276" s="91" t="s">
        <v>24</v>
      </c>
      <c r="G2276" s="4"/>
      <c r="H2276" s="4"/>
      <c r="I2276" s="4"/>
    </row>
    <row r="2277" spans="1:9" ht="15">
      <c r="A2277" s="21">
        <f t="shared" si="41"/>
        <v>72</v>
      </c>
      <c r="B2277" s="14" t="s">
        <v>3108</v>
      </c>
      <c r="C2277" s="85" t="str">
        <f ca="1">IFERROR(__xludf.DUMMYFUNCTION("GOOGLETRANSLATE(B2277:B2292,""RU"",""UK"")"),"Розгортка конічний руч. 3/8"" (1:16) / ТрК1/2"" (1:16)")</f>
        <v>Розгортка конічний руч. 3/8" (1:16) / ТрК1/2" (1:16)</v>
      </c>
      <c r="D2277" s="15" t="s">
        <v>6</v>
      </c>
      <c r="E2277" s="15" t="s">
        <v>749</v>
      </c>
      <c r="F2277" s="91" t="s">
        <v>319</v>
      </c>
      <c r="G2277" s="4"/>
      <c r="H2277" s="4"/>
      <c r="I2277" s="4"/>
    </row>
    <row r="2278" spans="1:9" ht="15">
      <c r="A2278" s="21">
        <f t="shared" si="41"/>
        <v>73</v>
      </c>
      <c r="B2278" s="19" t="s">
        <v>3109</v>
      </c>
      <c r="C2278" s="85" t="str">
        <f ca="1">IFERROR(__xludf.DUMMYFUNCTION("GOOGLETRANSLATE(B2278:B2293,""RU"",""UK"")"),"Розгортка конічна маш. ""Котельня"" 11 (1:10)")</f>
        <v>Розгортка конічна маш. "Котельня" 11 (1:10)</v>
      </c>
      <c r="D2278" s="15" t="s">
        <v>6</v>
      </c>
      <c r="E2278" s="15">
        <v>1</v>
      </c>
      <c r="F2278" s="91" t="s">
        <v>119</v>
      </c>
      <c r="G2278" s="4"/>
      <c r="H2278" s="4"/>
      <c r="I2278" s="4"/>
    </row>
    <row r="2279" spans="1:9" ht="15">
      <c r="A2279" s="21">
        <f t="shared" si="41"/>
        <v>74</v>
      </c>
      <c r="B2279" s="19" t="s">
        <v>3110</v>
      </c>
      <c r="C2279" s="85" t="str">
        <f ca="1">IFERROR(__xludf.DUMMYFUNCTION("GOOGLETRANSLATE(B2279:B2294,""RU"",""UK"")"),"Розгортка конічна маш. ""Котельня"" 17 (1:10)")</f>
        <v>Розгортка конічна маш. "Котельня" 17 (1:10)</v>
      </c>
      <c r="D2279" s="15" t="s">
        <v>6</v>
      </c>
      <c r="E2279" s="15">
        <v>0</v>
      </c>
      <c r="F2279" s="91" t="s">
        <v>140</v>
      </c>
      <c r="G2279" s="4"/>
      <c r="H2279" s="4"/>
      <c r="I2279" s="4"/>
    </row>
    <row r="2280" spans="1:9" ht="15">
      <c r="A2280" s="21">
        <f t="shared" si="41"/>
        <v>75</v>
      </c>
      <c r="B2280" s="19" t="s">
        <v>3111</v>
      </c>
      <c r="C2280" s="85" t="str">
        <f ca="1">IFERROR(__xludf.DUMMYFUNCTION("GOOGLETRANSLATE(B2280:B2295,""RU"",""UK"")"),"Розгортка конічна маш. ""Котельня"" 21 (1:10)")</f>
        <v>Розгортка конічна маш. "Котельня" 21 (1:10)</v>
      </c>
      <c r="D2280" s="15" t="s">
        <v>6</v>
      </c>
      <c r="E2280" s="15">
        <v>0</v>
      </c>
      <c r="F2280" s="91" t="s">
        <v>20</v>
      </c>
      <c r="G2280" s="4"/>
      <c r="H2280" s="4"/>
      <c r="I2280" s="4"/>
    </row>
    <row r="2281" spans="1:9" ht="15">
      <c r="A2281" s="21">
        <f t="shared" si="41"/>
        <v>76</v>
      </c>
      <c r="B2281" s="14" t="s">
        <v>3112</v>
      </c>
      <c r="C2281" s="85" t="str">
        <f ca="1">IFERROR(__xludf.DUMMYFUNCTION("GOOGLETRANSLATE(B2281:B2296,""RU"",""UK"")"),"Розгортка конічна маш. ""Котельня"" 23 (1:10)")</f>
        <v>Розгортка конічна маш. "Котельня" 23 (1:10)</v>
      </c>
      <c r="D2281" s="15" t="s">
        <v>6</v>
      </c>
      <c r="E2281" s="15">
        <v>8</v>
      </c>
      <c r="F2281" s="91" t="s">
        <v>106</v>
      </c>
      <c r="G2281" s="4"/>
      <c r="H2281" s="4"/>
      <c r="I2281" s="4"/>
    </row>
    <row r="2282" spans="1:9" ht="15">
      <c r="A2282" s="21">
        <f t="shared" si="41"/>
        <v>77</v>
      </c>
      <c r="B2282" s="14" t="s">
        <v>3113</v>
      </c>
      <c r="C2282" s="85" t="str">
        <f ca="1">IFERROR(__xludf.DUMMYFUNCTION("GOOGLETRANSLATE(B2282:B2297,""RU"",""UK"")"),"Розгортка конічна маш. ""Котельня"" 25 (1:10) (18-25мм)")</f>
        <v>Розгортка конічна маш. "Котельня" 25 (1:10) (18-25мм)</v>
      </c>
      <c r="D2282" s="15" t="s">
        <v>6</v>
      </c>
      <c r="E2282" s="15">
        <v>2</v>
      </c>
      <c r="F2282" s="91" t="s">
        <v>16</v>
      </c>
      <c r="G2282" s="4"/>
      <c r="H2282" s="4"/>
      <c r="I2282" s="4"/>
    </row>
    <row r="2283" spans="1:9" ht="15">
      <c r="A2283" s="21">
        <f t="shared" si="41"/>
        <v>78</v>
      </c>
      <c r="B2283" s="14" t="s">
        <v>3114</v>
      </c>
      <c r="C2283" s="85" t="str">
        <f ca="1">IFERROR(__xludf.DUMMYFUNCTION("GOOGLETRANSLATE(B2283:B2298,""RU"",""UK"")"),"Розгортка конічна КМ 1/4 / №0 / №1")</f>
        <v>Розгортка конічна КМ 1/4 / №0 / №1</v>
      </c>
      <c r="D2283" s="15" t="s">
        <v>6</v>
      </c>
      <c r="E2283" s="15" t="s">
        <v>3115</v>
      </c>
      <c r="F2283" s="91" t="s">
        <v>3116</v>
      </c>
      <c r="G2283" s="4"/>
      <c r="H2283" s="4"/>
      <c r="I2283" s="4"/>
    </row>
    <row r="2284" spans="1:9" ht="15">
      <c r="A2284" s="21">
        <f t="shared" si="41"/>
        <v>79</v>
      </c>
      <c r="B2284" s="14" t="s">
        <v>3117</v>
      </c>
      <c r="C2284" s="85" t="str">
        <f ca="1">IFERROR(__xludf.DUMMYFUNCTION("GOOGLETRANSLATE(B2284:B2299,""RU"",""UK"")"),"Розгортка конічна КМ №0/№1")</f>
        <v>Розгортка конічна КМ №0/№1</v>
      </c>
      <c r="D2284" s="15" t="s">
        <v>3118</v>
      </c>
      <c r="E2284" s="15" t="s">
        <v>211</v>
      </c>
      <c r="F2284" s="91" t="s">
        <v>119</v>
      </c>
      <c r="G2284" s="4"/>
      <c r="H2284" s="4"/>
      <c r="I2284" s="4"/>
    </row>
    <row r="2285" spans="1:9" ht="15">
      <c r="A2285" s="21">
        <f t="shared" si="41"/>
        <v>80</v>
      </c>
      <c r="B2285" s="14" t="s">
        <v>3119</v>
      </c>
      <c r="C2285" s="85" t="str">
        <f ca="1">IFERROR(__xludf.DUMMYFUNCTION("GOOGLETRANSLATE(B2285:B2300,""RU"",""UK"")"),"Розгортка конічна КМ №2")</f>
        <v>Розгортка конічна КМ №2</v>
      </c>
      <c r="D2285" s="15" t="s">
        <v>6</v>
      </c>
      <c r="E2285" s="15">
        <v>27</v>
      </c>
      <c r="F2285" s="91" t="s">
        <v>327</v>
      </c>
      <c r="G2285" s="4"/>
      <c r="H2285" s="4"/>
      <c r="I2285" s="4"/>
    </row>
    <row r="2286" spans="1:9" ht="15">
      <c r="A2286" s="21">
        <f t="shared" si="41"/>
        <v>81</v>
      </c>
      <c r="B2286" s="14" t="s">
        <v>3119</v>
      </c>
      <c r="C2286" s="85" t="str">
        <f ca="1">IFERROR(__xludf.DUMMYFUNCTION("GOOGLETRANSLATE(B2286:B2301,""RU"",""UK"")"),"Розгортка конічна КМ №2")</f>
        <v>Розгортка конічна КМ №2</v>
      </c>
      <c r="D2286" s="15" t="s">
        <v>3118</v>
      </c>
      <c r="E2286" s="15">
        <v>1</v>
      </c>
      <c r="F2286" s="91" t="s">
        <v>16</v>
      </c>
      <c r="G2286" s="4"/>
      <c r="H2286" s="4"/>
      <c r="I2286" s="4"/>
    </row>
    <row r="2287" spans="1:9" ht="15">
      <c r="A2287" s="21">
        <f t="shared" si="41"/>
        <v>82</v>
      </c>
      <c r="B2287" s="14" t="s">
        <v>3120</v>
      </c>
      <c r="C2287" s="85" t="str">
        <f ca="1">IFERROR(__xludf.DUMMYFUNCTION("GOOGLETRANSLATE(B2287:B2302,""RU"",""UK"")"),"Розгортка конічна КМ №3")</f>
        <v>Розгортка конічна КМ №3</v>
      </c>
      <c r="D2287" s="15" t="s">
        <v>6</v>
      </c>
      <c r="E2287" s="15">
        <v>7</v>
      </c>
      <c r="F2287" s="91" t="s">
        <v>140</v>
      </c>
      <c r="G2287" s="4"/>
      <c r="H2287" s="4"/>
      <c r="I2287" s="4"/>
    </row>
    <row r="2288" spans="1:9" ht="15">
      <c r="A2288" s="21">
        <f t="shared" si="41"/>
        <v>83</v>
      </c>
      <c r="B2288" s="14" t="s">
        <v>3120</v>
      </c>
      <c r="C2288" s="85" t="str">
        <f ca="1">IFERROR(__xludf.DUMMYFUNCTION("GOOGLETRANSLATE(B2288:B2303,""RU"",""UK"")"),"Розгортка конічна КМ №3")</f>
        <v>Розгортка конічна КМ №3</v>
      </c>
      <c r="D2288" s="15" t="s">
        <v>3118</v>
      </c>
      <c r="E2288" s="15">
        <v>6</v>
      </c>
      <c r="F2288" s="91" t="s">
        <v>162</v>
      </c>
      <c r="G2288" s="4"/>
      <c r="H2288" s="4"/>
      <c r="I2288" s="4"/>
    </row>
    <row r="2289" spans="1:9" ht="15">
      <c r="A2289" s="21">
        <f t="shared" si="41"/>
        <v>84</v>
      </c>
      <c r="B2289" s="14" t="s">
        <v>3121</v>
      </c>
      <c r="C2289" s="85" t="str">
        <f ca="1">IFERROR(__xludf.DUMMYFUNCTION("GOOGLETRANSLATE(B2289:B2304,""RU"",""UK"")"),"Розгортка конічна КМ №4 / КМ5")</f>
        <v>Розгортка конічна КМ №4 / КМ5</v>
      </c>
      <c r="D2289" s="15" t="s">
        <v>3118</v>
      </c>
      <c r="E2289" s="15" t="s">
        <v>211</v>
      </c>
      <c r="F2289" s="91" t="s">
        <v>16</v>
      </c>
      <c r="G2289" s="4"/>
      <c r="H2289" s="4"/>
      <c r="I2289" s="4"/>
    </row>
    <row r="2290" spans="1:9" ht="15">
      <c r="A2290" s="21">
        <f t="shared" si="41"/>
        <v>85</v>
      </c>
      <c r="B2290" s="16" t="s">
        <v>3122</v>
      </c>
      <c r="C2290" s="85" t="str">
        <f ca="1">IFERROR(__xludf.DUMMYFUNCTION("GOOGLETRANSLATE(B2290:B2305,""RU"",""UK"")"),"Розгортка розсувна М 10,0 - 10,75 мм")</f>
        <v>Розгортка розсувна М 10,0 - 10,75 мм</v>
      </c>
      <c r="D2290" s="15" t="s">
        <v>6</v>
      </c>
      <c r="E2290" s="15">
        <v>1</v>
      </c>
      <c r="F2290" s="91" t="s">
        <v>327</v>
      </c>
      <c r="G2290" s="4"/>
      <c r="H2290" s="4"/>
      <c r="I2290" s="4"/>
    </row>
    <row r="2291" spans="1:9" ht="15">
      <c r="A2291" s="21">
        <f t="shared" si="41"/>
        <v>86</v>
      </c>
      <c r="B2291" s="16" t="s">
        <v>3123</v>
      </c>
      <c r="C2291" s="85" t="str">
        <f ca="1">IFERROR(__xludf.DUMMYFUNCTION("GOOGLETRANSLATE(B2291:B2306,""RU"",""UK"")"),"Розгортка розсувна М 10,75 - 11,75 мм")</f>
        <v>Розгортка розсувна М 10,75 - 11,75 мм</v>
      </c>
      <c r="D2291" s="15" t="s">
        <v>6</v>
      </c>
      <c r="E2291" s="15">
        <v>1</v>
      </c>
      <c r="F2291" s="91" t="s">
        <v>506</v>
      </c>
      <c r="G2291" s="4"/>
      <c r="H2291" s="4"/>
      <c r="I2291" s="4"/>
    </row>
    <row r="2292" spans="1:9" ht="15">
      <c r="A2292" s="21">
        <f t="shared" si="41"/>
        <v>87</v>
      </c>
      <c r="B2292" s="16" t="s">
        <v>3124</v>
      </c>
      <c r="C2292" s="85" t="str">
        <f ca="1">IFERROR(__xludf.DUMMYFUNCTION("GOOGLETRANSLATE(B2292:B2307,""RU"",""UK"")"),"Розгортка розсувна М 12,0 - 13,5 мм")</f>
        <v>Розгортка розсувна М 12,0 - 13,5 мм</v>
      </c>
      <c r="D2292" s="15" t="s">
        <v>6</v>
      </c>
      <c r="E2292" s="15">
        <v>5</v>
      </c>
      <c r="F2292" s="91" t="s">
        <v>140</v>
      </c>
      <c r="G2292" s="4"/>
      <c r="H2292" s="4"/>
      <c r="I2292" s="4"/>
    </row>
    <row r="2293" spans="1:9" ht="15">
      <c r="A2293" s="21">
        <f t="shared" si="41"/>
        <v>88</v>
      </c>
      <c r="B2293" s="14" t="s">
        <v>3125</v>
      </c>
      <c r="C2293" s="85" t="str">
        <f ca="1">IFERROR(__xludf.DUMMYFUNCTION("GOOGLETRANSLATE(B2293:B2308,""RU"",""UK"")"),"Розгортка розсувна М 15,25 - 17,25 мм")</f>
        <v>Розгортка розсувна М 15,25 - 17,25 мм</v>
      </c>
      <c r="D2293" s="15" t="s">
        <v>6</v>
      </c>
      <c r="E2293" s="15">
        <v>23</v>
      </c>
      <c r="F2293" s="91" t="s">
        <v>20</v>
      </c>
      <c r="G2293" s="4"/>
      <c r="H2293" s="4"/>
      <c r="I2293" s="4"/>
    </row>
    <row r="2294" spans="1:9" ht="15">
      <c r="A2294" s="21">
        <f t="shared" si="41"/>
        <v>89</v>
      </c>
      <c r="B2294" s="14" t="s">
        <v>3126</v>
      </c>
      <c r="C2294" s="85" t="str">
        <f ca="1">IFERROR(__xludf.DUMMYFUNCTION("GOOGLETRANSLATE(B2294:B2309,""RU"",""UK"")"),"Розгортка розсувна М 17,25 - 19мм")</f>
        <v>Розгортка розсувна М 17,25 - 19мм</v>
      </c>
      <c r="D2294" s="15" t="s">
        <v>6</v>
      </c>
      <c r="E2294" s="15">
        <v>19</v>
      </c>
      <c r="F2294" s="91" t="s">
        <v>24</v>
      </c>
      <c r="G2294" s="4"/>
      <c r="H2294" s="4"/>
      <c r="I2294" s="4"/>
    </row>
    <row r="2295" spans="1:9" ht="15">
      <c r="A2295" s="21">
        <f t="shared" si="41"/>
        <v>90</v>
      </c>
      <c r="B2295" s="14" t="s">
        <v>3127</v>
      </c>
      <c r="C2295" s="85" t="str">
        <f ca="1">IFERROR(__xludf.DUMMYFUNCTION("GOOGLETRANSLATE(B2295:B2310,""RU"",""UK"")"),"Розгортка розсувна М 19 - 21мм")</f>
        <v>Розгортка розсувна М 19 - 21мм</v>
      </c>
      <c r="D2295" s="15" t="s">
        <v>6</v>
      </c>
      <c r="E2295" s="15">
        <v>14</v>
      </c>
      <c r="F2295" s="91" t="s">
        <v>162</v>
      </c>
      <c r="G2295" s="4"/>
      <c r="H2295" s="4"/>
      <c r="I2295" s="4"/>
    </row>
    <row r="2296" spans="1:9" ht="15">
      <c r="A2296" s="21">
        <f t="shared" si="41"/>
        <v>91</v>
      </c>
      <c r="B2296" s="14" t="s">
        <v>3128</v>
      </c>
      <c r="C2296" s="85" t="str">
        <f ca="1">IFERROR(__xludf.DUMMYFUNCTION("GOOGLETRANSLATE(B2296:B2311,""RU"",""UK"")"),"Розгортка розсувна М 21 - 23мм")</f>
        <v>Розгортка розсувна М 21 - 23мм</v>
      </c>
      <c r="D2296" s="15" t="s">
        <v>6</v>
      </c>
      <c r="E2296" s="15">
        <v>46</v>
      </c>
      <c r="F2296" s="91" t="s">
        <v>106</v>
      </c>
      <c r="G2296" s="4"/>
      <c r="H2296" s="4"/>
      <c r="I2296" s="4"/>
    </row>
    <row r="2297" spans="1:9" ht="15">
      <c r="A2297" s="21">
        <f t="shared" si="41"/>
        <v>92</v>
      </c>
      <c r="B2297" s="14" t="s">
        <v>3129</v>
      </c>
      <c r="C2297" s="85" t="str">
        <f ca="1">IFERROR(__xludf.DUMMYFUNCTION("GOOGLETRANSLATE(B2297:B2312,""RU"",""UK"")"),"Розгортка розсувна М 23 - 26мм")</f>
        <v>Розгортка розсувна М 23 - 26мм</v>
      </c>
      <c r="D2297" s="15" t="s">
        <v>6</v>
      </c>
      <c r="E2297" s="15">
        <v>32</v>
      </c>
      <c r="F2297" s="91" t="s">
        <v>272</v>
      </c>
      <c r="G2297" s="4"/>
      <c r="H2297" s="4"/>
      <c r="I2297" s="4"/>
    </row>
    <row r="2298" spans="1:9" ht="15">
      <c r="A2298" s="21">
        <f t="shared" si="41"/>
        <v>93</v>
      </c>
      <c r="B2298" s="14" t="s">
        <v>3130</v>
      </c>
      <c r="C2298" s="85" t="str">
        <f ca="1">IFERROR(__xludf.DUMMYFUNCTION("GOOGLETRANSLATE(B2298:B2313,""RU"",""UK"")"),"Розгортка розсувна М 26 - 29,5 мм")</f>
        <v>Розгортка розсувна М 26 - 29,5 мм</v>
      </c>
      <c r="D2298" s="15" t="s">
        <v>6</v>
      </c>
      <c r="E2298" s="15">
        <v>21</v>
      </c>
      <c r="F2298" s="91" t="s">
        <v>413</v>
      </c>
      <c r="G2298" s="4"/>
      <c r="H2298" s="4"/>
      <c r="I2298" s="4"/>
    </row>
    <row r="2299" spans="1:9" ht="15">
      <c r="A2299" s="21">
        <f t="shared" si="41"/>
        <v>94</v>
      </c>
      <c r="B2299" s="14" t="s">
        <v>3131</v>
      </c>
      <c r="C2299" s="85" t="str">
        <f ca="1">IFERROR(__xludf.DUMMYFUNCTION("GOOGLETRANSLATE(B2299:B2314,""RU"",""UK"")"),"Розгортка розсувна М 29,5 - 33,5 мм")</f>
        <v>Розгортка розсувна М 29,5 - 33,5 мм</v>
      </c>
      <c r="D2299" s="15" t="s">
        <v>6</v>
      </c>
      <c r="E2299" s="15">
        <v>0</v>
      </c>
      <c r="F2299" s="91" t="s">
        <v>78</v>
      </c>
      <c r="G2299" s="4"/>
      <c r="H2299" s="4"/>
      <c r="I2299" s="4"/>
    </row>
    <row r="2300" spans="1:9" ht="15">
      <c r="A2300" s="21">
        <f t="shared" si="41"/>
        <v>95</v>
      </c>
      <c r="B2300" s="14" t="s">
        <v>3132</v>
      </c>
      <c r="C2300" s="85" t="str">
        <f ca="1">IFERROR(__xludf.DUMMYFUNCTION("GOOGLETRANSLATE(B2300:B2315,""RU"",""UK"")"),"Розгортка розсувна М 33,5 - 38мм")</f>
        <v>Розгортка розсувна М 33,5 - 38мм</v>
      </c>
      <c r="D2300" s="15" t="s">
        <v>6</v>
      </c>
      <c r="E2300" s="15">
        <v>18</v>
      </c>
      <c r="F2300" s="91" t="s">
        <v>63</v>
      </c>
      <c r="G2300" s="4"/>
      <c r="H2300" s="4"/>
      <c r="I2300" s="4"/>
    </row>
    <row r="2301" spans="1:9" ht="15">
      <c r="A2301" s="21">
        <f t="shared" si="41"/>
        <v>96</v>
      </c>
      <c r="B2301" s="14" t="s">
        <v>3133</v>
      </c>
      <c r="C2301" s="85" t="str">
        <f ca="1">IFERROR(__xludf.DUMMYFUNCTION("GOOGLETRANSLATE(B2301:B2316,""RU"",""UK"")"),"Розгортка розтискна кулькова М8")</f>
        <v>Розгортка розтискна кулькова М8</v>
      </c>
      <c r="D2301" s="15" t="s">
        <v>6</v>
      </c>
      <c r="E2301" s="15">
        <v>7</v>
      </c>
      <c r="F2301" s="91" t="s">
        <v>319</v>
      </c>
      <c r="G2301" s="4"/>
      <c r="H2301" s="4"/>
      <c r="I2301" s="4"/>
    </row>
    <row r="2302" spans="1:9" ht="15">
      <c r="A2302" s="21">
        <f t="shared" si="41"/>
        <v>97</v>
      </c>
      <c r="B2302" s="14" t="s">
        <v>3134</v>
      </c>
      <c r="C2302" s="85" t="str">
        <f ca="1">IFERROR(__xludf.DUMMYFUNCTION("GOOGLETRANSLATE(B2302:B2317,""RU"",""UK"")"),"Розгортка розтискна кулькова М10")</f>
        <v>Розгортка розтискна кулькова М10</v>
      </c>
      <c r="D2302" s="15" t="s">
        <v>6</v>
      </c>
      <c r="E2302" s="15">
        <v>9</v>
      </c>
      <c r="F2302" s="91" t="s">
        <v>3135</v>
      </c>
      <c r="G2302" s="4"/>
      <c r="H2302" s="4"/>
      <c r="I2302" s="4"/>
    </row>
    <row r="2303" spans="1:9" ht="15">
      <c r="A2303" s="21">
        <f t="shared" si="41"/>
        <v>98</v>
      </c>
      <c r="B2303" s="19" t="s">
        <v>3136</v>
      </c>
      <c r="C2303" s="85" t="str">
        <f ca="1">IFERROR(__xludf.DUMMYFUNCTION("GOOGLETRANSLATE(B2303:B2318,""RU"",""UK"")"),"Розгортка розтискна кулькова М14/М15")</f>
        <v>Розгортка розтискна кулькова М14/М15</v>
      </c>
      <c r="D2303" s="15" t="s">
        <v>6</v>
      </c>
      <c r="E2303" s="15" t="s">
        <v>3137</v>
      </c>
      <c r="F2303" s="91" t="s">
        <v>24</v>
      </c>
      <c r="G2303" s="4"/>
      <c r="H2303" s="4"/>
      <c r="I2303" s="4"/>
    </row>
    <row r="2304" spans="1:9" ht="15">
      <c r="A2304" s="21">
        <f t="shared" si="41"/>
        <v>99</v>
      </c>
      <c r="B2304" s="16" t="s">
        <v>3138</v>
      </c>
      <c r="C2304" s="85" t="str">
        <f ca="1">IFERROR(__xludf.DUMMYFUNCTION("GOOGLETRANSLATE(B2304:B2319,""RU"",""UK"")"),"Розгортка розтискна кулькова М16/М17")</f>
        <v>Розгортка розтискна кулькова М16/М17</v>
      </c>
      <c r="D2304" s="15" t="s">
        <v>6</v>
      </c>
      <c r="E2304" s="15" t="s">
        <v>1780</v>
      </c>
      <c r="F2304" s="91" t="s">
        <v>106</v>
      </c>
      <c r="G2304" s="4"/>
      <c r="H2304" s="4"/>
      <c r="I2304" s="4"/>
    </row>
    <row r="2305" spans="1:9" ht="15">
      <c r="A2305" s="21">
        <f t="shared" si="41"/>
        <v>100</v>
      </c>
      <c r="B2305" s="16" t="s">
        <v>3139</v>
      </c>
      <c r="C2305" s="85" t="str">
        <f ca="1">IFERROR(__xludf.DUMMYFUNCTION("GOOGLETRANSLATE(B2305:B2320,""RU"",""UK"")"),"Розгортка розтискна кулькова М18/М19")</f>
        <v>Розгортка розтискна кулькова М18/М19</v>
      </c>
      <c r="D2305" s="15" t="s">
        <v>6</v>
      </c>
      <c r="E2305" s="15" t="s">
        <v>3140</v>
      </c>
      <c r="F2305" s="91" t="s">
        <v>16</v>
      </c>
      <c r="G2305" s="4"/>
      <c r="H2305" s="4"/>
      <c r="I2305" s="4"/>
    </row>
    <row r="2306" spans="1:9" ht="15">
      <c r="A2306" s="21">
        <f t="shared" si="41"/>
        <v>101</v>
      </c>
      <c r="B2306" s="14" t="s">
        <v>3141</v>
      </c>
      <c r="C2306" s="85" t="str">
        <f ca="1">IFERROR(__xludf.DUMMYFUNCTION("GOOGLETRANSLATE(B2306:B2321,""RU"",""UK"")"),"Розгортка розтискна кулькова М20/М21")</f>
        <v>Розгортка розтискна кулькова М20/М21</v>
      </c>
      <c r="D2306" s="15" t="s">
        <v>6</v>
      </c>
      <c r="E2306" s="15" t="s">
        <v>3142</v>
      </c>
      <c r="F2306" s="91" t="s">
        <v>3143</v>
      </c>
      <c r="G2306" s="4"/>
      <c r="H2306" s="4"/>
      <c r="I2306" s="4"/>
    </row>
    <row r="2307" spans="1:9" ht="15">
      <c r="A2307" s="21">
        <f t="shared" si="41"/>
        <v>102</v>
      </c>
      <c r="B2307" s="14" t="s">
        <v>3144</v>
      </c>
      <c r="C2307" s="85" t="str">
        <f ca="1">IFERROR(__xludf.DUMMYFUNCTION("GOOGLETRANSLATE(B2307:B2322,""RU"",""UK"")"),"Розгортка розтискна кулькова М22/М23")</f>
        <v>Розгортка розтискна кулькова М22/М23</v>
      </c>
      <c r="D2307" s="15" t="s">
        <v>6</v>
      </c>
      <c r="E2307" s="15" t="s">
        <v>3145</v>
      </c>
      <c r="F2307" s="91" t="s">
        <v>22</v>
      </c>
      <c r="G2307" s="4"/>
      <c r="H2307" s="4"/>
      <c r="I2307" s="4"/>
    </row>
    <row r="2308" spans="1:9" ht="15">
      <c r="A2308" s="21">
        <f t="shared" si="41"/>
        <v>103</v>
      </c>
      <c r="B2308" s="14" t="s">
        <v>3146</v>
      </c>
      <c r="C2308" s="85" t="str">
        <f ca="1">IFERROR(__xludf.DUMMYFUNCTION("GOOGLETRANSLATE(B2308:B2323,""RU"",""UK"")"),"Розгортка розтискна кулькова М24/М26")</f>
        <v>Розгортка розтискна кулькова М24/М26</v>
      </c>
      <c r="D2308" s="15" t="s">
        <v>6</v>
      </c>
      <c r="E2308" s="15" t="s">
        <v>3147</v>
      </c>
      <c r="F2308" s="91" t="s">
        <v>272</v>
      </c>
      <c r="G2308" s="4"/>
      <c r="H2308" s="4"/>
      <c r="I2308" s="4"/>
    </row>
    <row r="2309" spans="1:9" ht="15">
      <c r="A2309" s="21">
        <f t="shared" si="41"/>
        <v>104</v>
      </c>
      <c r="B2309" s="14" t="s">
        <v>3148</v>
      </c>
      <c r="C2309" s="85" t="str">
        <f ca="1">IFERROR(__xludf.DUMMYFUNCTION("GOOGLETRANSLATE(B2309:B2324,""RU"",""UK"")"),"Розгортка розтискна кулькова М27/М28")</f>
        <v>Розгортка розтискна кулькова М27/М28</v>
      </c>
      <c r="D2309" s="15" t="s">
        <v>6</v>
      </c>
      <c r="E2309" s="15" t="s">
        <v>3149</v>
      </c>
      <c r="F2309" s="91" t="s">
        <v>18</v>
      </c>
      <c r="G2309" s="4"/>
      <c r="H2309" s="4"/>
      <c r="I2309" s="4"/>
    </row>
    <row r="2310" spans="1:9" ht="15">
      <c r="A2310" s="21">
        <f t="shared" si="41"/>
        <v>105</v>
      </c>
      <c r="B2310" s="19" t="s">
        <v>3150</v>
      </c>
      <c r="C2310" s="85" t="str">
        <f ca="1">IFERROR(__xludf.DUMMYFUNCTION("GOOGLETRANSLATE(B2310:B2325,""RU"",""UK"")"),"Розгортка розтискна кулькова М30")</f>
        <v>Розгортка розтискна кулькова М30</v>
      </c>
      <c r="D2310" s="15" t="s">
        <v>6</v>
      </c>
      <c r="E2310" s="15">
        <v>0</v>
      </c>
      <c r="F2310" s="91" t="s">
        <v>111</v>
      </c>
      <c r="G2310" s="4"/>
      <c r="H2310" s="4"/>
      <c r="I2310" s="4"/>
    </row>
    <row r="2311" spans="1:9" ht="15">
      <c r="A2311" s="21">
        <f t="shared" si="41"/>
        <v>106</v>
      </c>
      <c r="B2311" s="14" t="s">
        <v>3151</v>
      </c>
      <c r="C2311" s="85" t="str">
        <f ca="1">IFERROR(__xludf.DUMMYFUNCTION("GOOGLETRANSLATE(B2311:B2326,""RU"",""UK"")"),"Розгортка розтискна кулькова М32/М34")</f>
        <v>Розгортка розтискна кулькова М32/М34</v>
      </c>
      <c r="D2311" s="15" t="s">
        <v>6</v>
      </c>
      <c r="E2311" s="15" t="s">
        <v>3152</v>
      </c>
      <c r="F2311" s="91" t="s">
        <v>27</v>
      </c>
      <c r="G2311" s="4"/>
      <c r="H2311" s="4"/>
      <c r="I2311" s="4"/>
    </row>
    <row r="2312" spans="1:9" ht="15">
      <c r="A2312" s="21">
        <f t="shared" si="41"/>
        <v>107</v>
      </c>
      <c r="B2312" s="14" t="s">
        <v>3153</v>
      </c>
      <c r="C2312" s="85" t="str">
        <f ca="1">IFERROR(__xludf.DUMMYFUNCTION("GOOGLETRANSLATE(B2312:B2327,""RU"",""UK"")"),"Розгортка розтискна кулькова М35")</f>
        <v>Розгортка розтискна кулькова М35</v>
      </c>
      <c r="D2312" s="15" t="s">
        <v>6</v>
      </c>
      <c r="E2312" s="15">
        <v>3</v>
      </c>
      <c r="F2312" s="91" t="s">
        <v>80</v>
      </c>
      <c r="G2312" s="4"/>
      <c r="H2312" s="4"/>
      <c r="I2312" s="4"/>
    </row>
    <row r="2313" spans="1:9" ht="15">
      <c r="A2313" s="21">
        <f t="shared" si="41"/>
        <v>108</v>
      </c>
      <c r="B2313" s="14" t="s">
        <v>3154</v>
      </c>
      <c r="C2313" s="85" t="str">
        <f ca="1">IFERROR(__xludf.DUMMYFUNCTION("GOOGLETRANSLATE(B2313:B2328,""RU"",""UK"")"),"Розгортка розтискна кулькова М36")</f>
        <v>Розгортка розтискна кулькова М36</v>
      </c>
      <c r="D2313" s="15" t="s">
        <v>6</v>
      </c>
      <c r="E2313" s="15">
        <v>5</v>
      </c>
      <c r="F2313" s="91" t="s">
        <v>842</v>
      </c>
      <c r="G2313" s="4"/>
      <c r="H2313" s="4"/>
      <c r="I2313" s="4"/>
    </row>
    <row r="2314" spans="1:9" ht="15">
      <c r="A2314" s="21">
        <f t="shared" si="41"/>
        <v>109</v>
      </c>
      <c r="B2314" s="14" t="s">
        <v>3155</v>
      </c>
      <c r="C2314" s="85" t="str">
        <f ca="1">IFERROR(__xludf.DUMMYFUNCTION("GOOGLETRANSLATE(B2314:B2329,""RU"",""UK"")"),"Розгортка розтискна кулькова М38/М40")</f>
        <v>Розгортка розтискна кулькова М38/М40</v>
      </c>
      <c r="D2314" s="15" t="s">
        <v>6</v>
      </c>
      <c r="E2314" s="26" t="s">
        <v>1868</v>
      </c>
      <c r="F2314" s="91" t="s">
        <v>1088</v>
      </c>
      <c r="G2314" s="4"/>
      <c r="H2314" s="4"/>
      <c r="I2314" s="4"/>
    </row>
    <row r="2315" spans="1:9" ht="15">
      <c r="A2315" s="21">
        <f t="shared" si="41"/>
        <v>110</v>
      </c>
      <c r="B2315" s="16" t="s">
        <v>3156</v>
      </c>
      <c r="C2315" s="85" t="str">
        <f ca="1">IFERROR(__xludf.DUMMYFUNCTION("GOOGLETRANSLATE(B2315:B2330,""RU"",""UK"")"),"Розгортка розтискна кулькова М42/М45")</f>
        <v>Розгортка розтискна кулькова М42/М45</v>
      </c>
      <c r="D2315" s="15" t="s">
        <v>6</v>
      </c>
      <c r="E2315" s="15" t="s">
        <v>3157</v>
      </c>
      <c r="F2315" s="91" t="s">
        <v>38</v>
      </c>
      <c r="G2315" s="4"/>
      <c r="H2315" s="4"/>
      <c r="I2315" s="4"/>
    </row>
    <row r="2316" spans="1:9" ht="15">
      <c r="A2316" s="21">
        <f t="shared" si="41"/>
        <v>111</v>
      </c>
      <c r="B2316" s="14" t="s">
        <v>3158</v>
      </c>
      <c r="C2316" s="85" t="str">
        <f ca="1">IFERROR(__xludf.DUMMYFUNCTION("GOOGLETRANSLATE(B2316:B2331,""RU"",""UK"")"),"Розгортка розтискна кулькова М48")</f>
        <v>Розгортка розтискна кулькова М48</v>
      </c>
      <c r="D2316" s="15" t="s">
        <v>6</v>
      </c>
      <c r="E2316" s="15">
        <v>4</v>
      </c>
      <c r="F2316" s="91" t="s">
        <v>10</v>
      </c>
      <c r="G2316" s="4"/>
      <c r="H2316" s="4"/>
      <c r="I2316" s="4"/>
    </row>
    <row r="2317" spans="1:9" ht="15">
      <c r="A2317" s="21">
        <f t="shared" si="41"/>
        <v>112</v>
      </c>
      <c r="B2317" s="14" t="s">
        <v>3159</v>
      </c>
      <c r="C2317" s="85" t="str">
        <f ca="1">IFERROR(__xludf.DUMMYFUNCTION("GOOGLETRANSLATE(B2317:B2332,""RU"",""UK"")"),"Розгортка розтискна кулькова М50 б/в з тріщиною на 3х пластинах")</f>
        <v>Розгортка розтискна кулькова М50 б/в з тріщиною на 3х пластинах</v>
      </c>
      <c r="D2317" s="15" t="s">
        <v>6</v>
      </c>
      <c r="E2317" s="15">
        <v>1</v>
      </c>
      <c r="F2317" s="91" t="s">
        <v>63</v>
      </c>
      <c r="G2317" s="4"/>
      <c r="H2317" s="4"/>
      <c r="I2317" s="4"/>
    </row>
    <row r="2318" spans="1:9" ht="15">
      <c r="A2318" s="21">
        <f t="shared" si="41"/>
        <v>113</v>
      </c>
      <c r="B2318" s="14" t="s">
        <v>3160</v>
      </c>
      <c r="C2318" s="85" t="str">
        <f ca="1">IFERROR(__xludf.DUMMYFUNCTION("GOOGLETRANSLATE(B2318:B2333,""RU"",""UK"")"),"Розгортка розтискна кулькова М62")</f>
        <v>Розгортка розтискна кулькова М62</v>
      </c>
      <c r="D2318" s="15" t="s">
        <v>6</v>
      </c>
      <c r="E2318" s="15">
        <v>2</v>
      </c>
      <c r="F2318" s="91" t="s">
        <v>59</v>
      </c>
      <c r="G2318" s="4"/>
      <c r="H2318" s="4"/>
      <c r="I2318" s="4"/>
    </row>
    <row r="2319" spans="1:9" ht="15">
      <c r="A2319" s="21">
        <f t="shared" si="41"/>
        <v>114</v>
      </c>
      <c r="B2319" s="14" t="s">
        <v>3161</v>
      </c>
      <c r="C2319" s="85" t="str">
        <f ca="1">IFERROR(__xludf.DUMMYFUNCTION("GOOGLETRANSLATE(B2319:B2334,""RU"",""UK"")"),"Розгортка насадна М18")</f>
        <v>Розгортка насадна М18</v>
      </c>
      <c r="D2319" s="15" t="s">
        <v>6</v>
      </c>
      <c r="E2319" s="15">
        <v>2</v>
      </c>
      <c r="F2319" s="91" t="s">
        <v>185</v>
      </c>
      <c r="G2319" s="4"/>
      <c r="H2319" s="4"/>
      <c r="I2319" s="4"/>
    </row>
    <row r="2320" spans="1:9" ht="15">
      <c r="A2320" s="21">
        <f t="shared" si="41"/>
        <v>115</v>
      </c>
      <c r="B2320" s="14" t="s">
        <v>3162</v>
      </c>
      <c r="C2320" s="85" t="str">
        <f ca="1">IFERROR(__xludf.DUMMYFUNCTION("GOOGLETRANSLATE(B2320:B2335,""RU"",""UK"")"),"Розгортка насадна М25/М26")</f>
        <v>Розгортка насадна М25/М26</v>
      </c>
      <c r="D2320" s="15" t="s">
        <v>6</v>
      </c>
      <c r="E2320" s="15" t="s">
        <v>3163</v>
      </c>
      <c r="F2320" s="91" t="s">
        <v>348</v>
      </c>
      <c r="G2320" s="4"/>
      <c r="H2320" s="4"/>
      <c r="I2320" s="4"/>
    </row>
    <row r="2321" spans="1:9" ht="15">
      <c r="A2321" s="21">
        <f t="shared" si="41"/>
        <v>116</v>
      </c>
      <c r="B2321" s="14" t="s">
        <v>3164</v>
      </c>
      <c r="C2321" s="85" t="str">
        <f ca="1">IFERROR(__xludf.DUMMYFUNCTION("GOOGLETRANSLATE(B2321:B2336,""RU"",""UK"")"),"Розгортка насадна М27/М28")</f>
        <v>Розгортка насадна М27/М28</v>
      </c>
      <c r="D2321" s="15" t="s">
        <v>6</v>
      </c>
      <c r="E2321" s="15" t="s">
        <v>925</v>
      </c>
      <c r="F2321" s="91" t="s">
        <v>567</v>
      </c>
      <c r="G2321" s="4"/>
      <c r="H2321" s="4"/>
      <c r="I2321" s="4"/>
    </row>
    <row r="2322" spans="1:9" ht="15">
      <c r="A2322" s="21">
        <f t="shared" si="41"/>
        <v>117</v>
      </c>
      <c r="B2322" s="14" t="s">
        <v>3165</v>
      </c>
      <c r="C2322" s="85" t="str">
        <f ca="1">IFERROR(__xludf.DUMMYFUNCTION("GOOGLETRANSLATE(B2322:B2337,""RU"",""UK"")"),"Розгортка насадна М30/М32")</f>
        <v>Розгортка насадна М30/М32</v>
      </c>
      <c r="D2322" s="15" t="s">
        <v>6</v>
      </c>
      <c r="E2322" s="15" t="s">
        <v>3166</v>
      </c>
      <c r="F2322" s="91" t="s">
        <v>263</v>
      </c>
      <c r="G2322" s="4"/>
      <c r="H2322" s="4"/>
      <c r="I2322" s="4"/>
    </row>
    <row r="2323" spans="1:9" ht="15">
      <c r="A2323" s="21">
        <f t="shared" si="41"/>
        <v>118</v>
      </c>
      <c r="B2323" s="14" t="s">
        <v>3167</v>
      </c>
      <c r="C2323" s="85" t="str">
        <f ca="1">IFERROR(__xludf.DUMMYFUNCTION("GOOGLETRANSLATE(B2323:B2338,""RU"",""UK"")"),"Розгортка насадна М32ВК8/М32Т5К10")</f>
        <v>Розгортка насадна М32ВК8/М32Т5К10</v>
      </c>
      <c r="D2323" s="15" t="s">
        <v>6</v>
      </c>
      <c r="E2323" s="15" t="s">
        <v>793</v>
      </c>
      <c r="F2323" s="91" t="s">
        <v>24</v>
      </c>
      <c r="G2323" s="4"/>
      <c r="H2323" s="4"/>
      <c r="I2323" s="4"/>
    </row>
    <row r="2324" spans="1:9" ht="15">
      <c r="A2324" s="21">
        <f t="shared" si="41"/>
        <v>119</v>
      </c>
      <c r="B2324" s="14" t="s">
        <v>3168</v>
      </c>
      <c r="C2324" s="85" t="str">
        <f ca="1">IFERROR(__xludf.DUMMYFUNCTION("GOOGLETRANSLATE(B2324:B2339,""RU"",""UK"")"),"Розгортка насадна М34")</f>
        <v>Розгортка насадна М34</v>
      </c>
      <c r="D2324" s="15" t="s">
        <v>6</v>
      </c>
      <c r="E2324" s="15">
        <v>29</v>
      </c>
      <c r="F2324" s="91" t="s">
        <v>119</v>
      </c>
      <c r="G2324" s="4"/>
      <c r="H2324" s="4"/>
      <c r="I2324" s="4"/>
    </row>
    <row r="2325" spans="1:9" ht="15">
      <c r="A2325" s="21">
        <f t="shared" si="41"/>
        <v>120</v>
      </c>
      <c r="B2325" s="14" t="s">
        <v>3169</v>
      </c>
      <c r="C2325" s="85" t="str">
        <f ca="1">IFERROR(__xludf.DUMMYFUNCTION("GOOGLETRANSLATE(B2325:B2340,""RU"",""UK"")"),"Розгортка насадна М35/М36")</f>
        <v>Розгортка насадна М35/М36</v>
      </c>
      <c r="D2325" s="15" t="s">
        <v>6</v>
      </c>
      <c r="E2325" s="15" t="s">
        <v>3170</v>
      </c>
      <c r="F2325" s="91" t="s">
        <v>327</v>
      </c>
      <c r="G2325" s="4"/>
      <c r="H2325" s="4"/>
      <c r="I2325" s="4"/>
    </row>
    <row r="2326" spans="1:9" ht="15">
      <c r="A2326" s="21">
        <f t="shared" si="41"/>
        <v>121</v>
      </c>
      <c r="B2326" s="14" t="s">
        <v>3171</v>
      </c>
      <c r="C2326" s="85" t="str">
        <f ca="1">IFERROR(__xludf.DUMMYFUNCTION("GOOGLETRANSLATE(B2326:B2341,""RU"",""UK"")"),"Розгортка насадна М34т/с / М35ВК8 / М36ВК8")</f>
        <v>Розгортка насадна М34т/с / М35ВК8 / М36ВК8</v>
      </c>
      <c r="D2326" s="15" t="s">
        <v>6</v>
      </c>
      <c r="E2326" s="15" t="s">
        <v>3172</v>
      </c>
      <c r="F2326" s="91" t="s">
        <v>106</v>
      </c>
      <c r="G2326" s="4"/>
      <c r="H2326" s="4"/>
      <c r="I2326" s="4"/>
    </row>
    <row r="2327" spans="1:9" ht="15">
      <c r="A2327" s="21">
        <f t="shared" si="41"/>
        <v>122</v>
      </c>
      <c r="B2327" s="14" t="s">
        <v>3173</v>
      </c>
      <c r="C2327" s="85" t="str">
        <f ca="1">IFERROR(__xludf.DUMMYFUNCTION("GOOGLETRANSLATE(B2327:B2342,""RU"",""UK"")"),"Розгортка насадна М36ВК8 з оправкою КМ4")</f>
        <v>Розгортка насадна М36ВК8 з оправкою КМ4</v>
      </c>
      <c r="D2327" s="15" t="s">
        <v>6</v>
      </c>
      <c r="E2327" s="15">
        <v>1</v>
      </c>
      <c r="F2327" s="91" t="s">
        <v>18</v>
      </c>
      <c r="G2327" s="4"/>
      <c r="H2327" s="4"/>
      <c r="I2327" s="4"/>
    </row>
    <row r="2328" spans="1:9" ht="15">
      <c r="A2328" s="21">
        <f t="shared" si="41"/>
        <v>123</v>
      </c>
      <c r="B2328" s="14" t="s">
        <v>3174</v>
      </c>
      <c r="C2328" s="85" t="str">
        <f ca="1">IFERROR(__xludf.DUMMYFUNCTION("GOOGLETRANSLATE(B2328:B2343,""RU"",""UK"")"),"Розгортка насадна М37/М38")</f>
        <v>Розгортка насадна М37/М38</v>
      </c>
      <c r="D2328" s="15" t="s">
        <v>6</v>
      </c>
      <c r="E2328" s="15" t="s">
        <v>902</v>
      </c>
      <c r="F2328" s="91" t="s">
        <v>16</v>
      </c>
      <c r="G2328" s="4"/>
      <c r="H2328" s="4"/>
      <c r="I2328" s="4"/>
    </row>
    <row r="2329" spans="1:9" ht="15">
      <c r="A2329" s="21">
        <f t="shared" si="41"/>
        <v>124</v>
      </c>
      <c r="B2329" s="14" t="s">
        <v>3175</v>
      </c>
      <c r="C2329" s="85" t="str">
        <f ca="1">IFERROR(__xludf.DUMMYFUNCTION("GOOGLETRANSLATE(B2329:B2344,""RU"",""UK"")"),"Розгортка насадна М38ВК8 / М39ВК8")</f>
        <v>Розгортка насадна М38ВК8 / М39ВК8</v>
      </c>
      <c r="D2329" s="15" t="s">
        <v>6</v>
      </c>
      <c r="E2329" s="15" t="s">
        <v>749</v>
      </c>
      <c r="F2329" s="91" t="s">
        <v>272</v>
      </c>
      <c r="G2329" s="4"/>
      <c r="H2329" s="4"/>
      <c r="I2329" s="4"/>
    </row>
    <row r="2330" spans="1:9" ht="15">
      <c r="A2330" s="21">
        <f t="shared" si="41"/>
        <v>125</v>
      </c>
      <c r="B2330" s="16" t="s">
        <v>3176</v>
      </c>
      <c r="C2330" s="85" t="str">
        <f ca="1">IFERROR(__xludf.DUMMYFUNCTION("GOOGLETRANSLATE(B2330:B2345,""RU"",""UK"")"),"Розгортка насадна М40/М42 Н9")</f>
        <v>Розгортка насадна М40/М42 Н9</v>
      </c>
      <c r="D2330" s="15" t="s">
        <v>6</v>
      </c>
      <c r="E2330" s="15" t="s">
        <v>3177</v>
      </c>
      <c r="F2330" s="91" t="s">
        <v>272</v>
      </c>
      <c r="G2330" s="4"/>
      <c r="H2330" s="4"/>
      <c r="I2330" s="4"/>
    </row>
    <row r="2331" spans="1:9" ht="15">
      <c r="A2331" s="21">
        <f t="shared" si="41"/>
        <v>126</v>
      </c>
      <c r="B2331" s="19" t="s">
        <v>3178</v>
      </c>
      <c r="C2331" s="85" t="str">
        <f ca="1">IFERROR(__xludf.DUMMYFUNCTION("GOOGLETRANSLATE(B2331:B2346,""RU"",""UK"")"),"Розгортка насадна М44/М45н7")</f>
        <v>Розгортка насадна М44/М45н7</v>
      </c>
      <c r="D2331" s="15" t="s">
        <v>6</v>
      </c>
      <c r="E2331" s="15" t="s">
        <v>1625</v>
      </c>
      <c r="F2331" s="91" t="s">
        <v>18</v>
      </c>
      <c r="G2331" s="4"/>
      <c r="H2331" s="4"/>
      <c r="I2331" s="4"/>
    </row>
    <row r="2332" spans="1:9" ht="15">
      <c r="A2332" s="21">
        <f t="shared" si="41"/>
        <v>127</v>
      </c>
      <c r="B2332" s="14" t="s">
        <v>3179</v>
      </c>
      <c r="C2332" s="85" t="str">
        <f ca="1">IFERROR(__xludf.DUMMYFUNCTION("GOOGLETRANSLATE(B2332:B2347,""RU"",""UK"")"),"Розгортка насадна М45вст.ніж / М46вст.ніж")</f>
        <v>Розгортка насадна М45вст.ніж / М46вст.ніж</v>
      </c>
      <c r="D2332" s="15" t="s">
        <v>6</v>
      </c>
      <c r="E2332" s="15" t="s">
        <v>793</v>
      </c>
      <c r="F2332" s="91" t="s">
        <v>272</v>
      </c>
      <c r="G2332" s="4"/>
      <c r="H2332" s="4"/>
      <c r="I2332" s="4"/>
    </row>
    <row r="2333" spans="1:9" ht="15">
      <c r="A2333" s="21">
        <f t="shared" si="41"/>
        <v>128</v>
      </c>
      <c r="B2333" s="14" t="s">
        <v>3180</v>
      </c>
      <c r="C2333" s="85" t="str">
        <f ca="1">IFERROR(__xludf.DUMMYFUNCTION("GOOGLETRANSLATE(B2333:B2348,""RU"",""UK"")"),"Розгортка насадна М46ВК8")</f>
        <v>Розгортка насадна М46ВК8</v>
      </c>
      <c r="D2333" s="15" t="s">
        <v>6</v>
      </c>
      <c r="E2333" s="15">
        <v>1</v>
      </c>
      <c r="F2333" s="91" t="s">
        <v>413</v>
      </c>
      <c r="G2333" s="4"/>
      <c r="H2333" s="4"/>
      <c r="I2333" s="4"/>
    </row>
    <row r="2334" spans="1:9" ht="15">
      <c r="A2334" s="21">
        <f t="shared" si="41"/>
        <v>129</v>
      </c>
      <c r="B2334" s="14" t="s">
        <v>3181</v>
      </c>
      <c r="C2334" s="85" t="str">
        <f ca="1">IFERROR(__xludf.DUMMYFUNCTION("GOOGLETRANSLATE(B2334:B2349,""RU"",""UK"")"),"Розгортка насадна М47/М48")</f>
        <v>Розгортка насадна М47/М48</v>
      </c>
      <c r="D2334" s="15" t="s">
        <v>6</v>
      </c>
      <c r="E2334" s="15" t="s">
        <v>899</v>
      </c>
      <c r="F2334" s="91" t="s">
        <v>53</v>
      </c>
      <c r="G2334" s="4"/>
      <c r="H2334" s="4"/>
      <c r="I2334" s="4"/>
    </row>
    <row r="2335" spans="1:9" ht="15">
      <c r="A2335" s="21">
        <f t="shared" si="41"/>
        <v>130</v>
      </c>
      <c r="B2335" s="14" t="s">
        <v>3182</v>
      </c>
      <c r="C2335" s="85" t="str">
        <f ca="1">IFERROR(__xludf.DUMMYFUNCTION("GOOGLETRANSLATE(B2335:B2350,""RU"",""UK"")"),"Розгортка насадна М50н7/М50н8")</f>
        <v>Розгортка насадна М50н7/М50н8</v>
      </c>
      <c r="D2335" s="15" t="s">
        <v>6</v>
      </c>
      <c r="E2335" s="15" t="s">
        <v>793</v>
      </c>
      <c r="F2335" s="91" t="s">
        <v>36</v>
      </c>
      <c r="G2335" s="4"/>
      <c r="H2335" s="4"/>
      <c r="I2335" s="4"/>
    </row>
    <row r="2336" spans="1:9" ht="15">
      <c r="A2336" s="21">
        <f t="shared" ref="A2336:A2399" si="42">A2335+1</f>
        <v>131</v>
      </c>
      <c r="B2336" s="14" t="s">
        <v>3183</v>
      </c>
      <c r="C2336" s="85" t="str">
        <f ca="1">IFERROR(__xludf.DUMMYFUNCTION("GOOGLETRANSLATE(B2336:B2351,""RU"",""UK"")"),"Розгортка насадна М52н7 / М52н9вст.ніж / М55вст.ніж")</f>
        <v>Розгортка насадна М52н7 / М52н9вст.ніж / М55вст.ніж</v>
      </c>
      <c r="D2336" s="15" t="s">
        <v>6</v>
      </c>
      <c r="E2336" s="15" t="s">
        <v>3184</v>
      </c>
      <c r="F2336" s="91" t="s">
        <v>27</v>
      </c>
      <c r="G2336" s="4"/>
      <c r="H2336" s="4"/>
      <c r="I2336" s="4"/>
    </row>
    <row r="2337" spans="1:9" ht="15">
      <c r="A2337" s="21">
        <f t="shared" si="42"/>
        <v>132</v>
      </c>
      <c r="B2337" s="14" t="s">
        <v>3185</v>
      </c>
      <c r="C2337" s="85" t="str">
        <f ca="1">IFERROR(__xludf.DUMMYFUNCTION("GOOGLETRANSLATE(B2337:B2352,""RU"",""UK"")"),"Розгортка насадна М58 / М58вст.ніж")</f>
        <v>Розгортка насадна М58 / М58вст.ніж</v>
      </c>
      <c r="D2337" s="15" t="s">
        <v>6</v>
      </c>
      <c r="E2337" s="15" t="s">
        <v>2361</v>
      </c>
      <c r="F2337" s="91" t="s">
        <v>27</v>
      </c>
      <c r="G2337" s="4"/>
      <c r="H2337" s="4"/>
      <c r="I2337" s="4"/>
    </row>
    <row r="2338" spans="1:9" ht="15">
      <c r="A2338" s="21">
        <f t="shared" si="42"/>
        <v>133</v>
      </c>
      <c r="B2338" s="19" t="s">
        <v>3186</v>
      </c>
      <c r="C2338" s="85" t="str">
        <f ca="1">IFERROR(__xludf.DUMMYFUNCTION("GOOGLETRANSLATE(B2338:B2353,""RU"",""UK"")"),"Розгортка насадна М60т/с / М60вст.ніж")</f>
        <v>Розгортка насадна М60т/с / М60вст.ніж</v>
      </c>
      <c r="D2338" s="15" t="s">
        <v>6</v>
      </c>
      <c r="E2338" s="15" t="s">
        <v>3187</v>
      </c>
      <c r="F2338" s="91" t="s">
        <v>78</v>
      </c>
      <c r="G2338" s="4"/>
      <c r="H2338" s="4"/>
      <c r="I2338" s="4"/>
    </row>
    <row r="2339" spans="1:9" ht="15">
      <c r="A2339" s="21">
        <f t="shared" si="42"/>
        <v>134</v>
      </c>
      <c r="B2339" s="14" t="s">
        <v>3188</v>
      </c>
      <c r="C2339" s="85" t="str">
        <f ca="1">IFERROR(__xludf.DUMMYFUNCTION("GOOGLETRANSLATE(B2339:B2354,""RU"",""UK"")"),"Розгортка насадна вст.нож М62/М65/М68")</f>
        <v>Розгортка насадна вст.нож М62/М65/М68</v>
      </c>
      <c r="D2339" s="15" t="s">
        <v>6</v>
      </c>
      <c r="E2339" s="15" t="s">
        <v>996</v>
      </c>
      <c r="F2339" s="91" t="s">
        <v>663</v>
      </c>
      <c r="G2339" s="4"/>
      <c r="H2339" s="4"/>
      <c r="I2339" s="4"/>
    </row>
    <row r="2340" spans="1:9" ht="15">
      <c r="A2340" s="21">
        <f t="shared" si="42"/>
        <v>135</v>
      </c>
      <c r="B2340" s="14" t="s">
        <v>3189</v>
      </c>
      <c r="C2340" s="85" t="str">
        <f ca="1">IFERROR(__xludf.DUMMYFUNCTION("GOOGLETRANSLATE(B2340:B2355,""RU"",""UK"")"),"Розгортка насадна вст.нож М70Н9 / М72Н9")</f>
        <v>Розгортка насадна вст.нож М70Н9 / М72Н9</v>
      </c>
      <c r="D2340" s="15" t="s">
        <v>6</v>
      </c>
      <c r="E2340" s="15" t="s">
        <v>899</v>
      </c>
      <c r="F2340" s="91" t="s">
        <v>33</v>
      </c>
      <c r="G2340" s="4"/>
      <c r="H2340" s="4"/>
      <c r="I2340" s="4"/>
    </row>
    <row r="2341" spans="1:9" ht="15">
      <c r="A2341" s="21">
        <f t="shared" si="42"/>
        <v>136</v>
      </c>
      <c r="B2341" s="14" t="s">
        <v>3190</v>
      </c>
      <c r="C2341" s="85" t="str">
        <f ca="1">IFERROR(__xludf.DUMMYFUNCTION("GOOGLETRANSLATE(B2341:B2356,""RU"",""UK"")"),"Розгортка насадна вст.нож М75Н9/М80")</f>
        <v>Розгортка насадна вст.нож М75Н9/М80</v>
      </c>
      <c r="D2341" s="15" t="s">
        <v>6</v>
      </c>
      <c r="E2341" s="15" t="s">
        <v>920</v>
      </c>
      <c r="F2341" s="91" t="s">
        <v>100</v>
      </c>
      <c r="G2341" s="4"/>
      <c r="H2341" s="4"/>
      <c r="I2341" s="4"/>
    </row>
    <row r="2342" spans="1:9" ht="15">
      <c r="A2342" s="21">
        <f t="shared" si="42"/>
        <v>137</v>
      </c>
      <c r="B2342" s="14" t="s">
        <v>3191</v>
      </c>
      <c r="C2342" s="85" t="str">
        <f ca="1">IFERROR(__xludf.DUMMYFUNCTION("GOOGLETRANSLATE(B2342:B2357,""RU"",""UK"")"),"Розгортка насадна вст.нож М90 / М95")</f>
        <v>Розгортка насадна вст.нож М90 / М95</v>
      </c>
      <c r="D2342" s="15" t="s">
        <v>6</v>
      </c>
      <c r="E2342" s="15" t="s">
        <v>749</v>
      </c>
      <c r="F2342" s="91" t="s">
        <v>1874</v>
      </c>
      <c r="G2342" s="4"/>
      <c r="H2342" s="4"/>
      <c r="I2342" s="4"/>
    </row>
    <row r="2343" spans="1:9" ht="15">
      <c r="A2343" s="21">
        <f t="shared" si="42"/>
        <v>138</v>
      </c>
      <c r="B2343" s="14" t="s">
        <v>3192</v>
      </c>
      <c r="C2343" s="85" t="str">
        <f ca="1">IFERROR(__xludf.DUMMYFUNCTION("GOOGLETRANSLATE(B2343:B2358,""RU"",""UK"")"),"Зінківка 16мм 60* / 16мм 90* / 16мм 120*")</f>
        <v>Зінківка 16мм 60* / 16мм 90* / 16мм 120*</v>
      </c>
      <c r="D2343" s="15" t="s">
        <v>6</v>
      </c>
      <c r="E2343" s="15" t="s">
        <v>3193</v>
      </c>
      <c r="F2343" s="91" t="s">
        <v>1688</v>
      </c>
      <c r="G2343" s="4"/>
      <c r="H2343" s="4"/>
      <c r="I2343" s="4"/>
    </row>
    <row r="2344" spans="1:9" ht="15">
      <c r="A2344" s="21">
        <f t="shared" si="42"/>
        <v>139</v>
      </c>
      <c r="B2344" s="19" t="s">
        <v>3194</v>
      </c>
      <c r="C2344" s="85" t="str">
        <f ca="1">IFERROR(__xludf.DUMMYFUNCTION("GOOGLETRANSLATE(B2344:B2359,""RU"",""UK"")"),"Зінківка 22мм 60*/20мм 90*/22мм 120*")</f>
        <v>Зінківка 22мм 60*/20мм 90*/22мм 120*</v>
      </c>
      <c r="D2344" s="15" t="s">
        <v>6</v>
      </c>
      <c r="E2344" s="15" t="s">
        <v>3195</v>
      </c>
      <c r="F2344" s="91" t="s">
        <v>20</v>
      </c>
      <c r="G2344" s="4"/>
      <c r="H2344" s="4"/>
      <c r="I2344" s="4"/>
    </row>
    <row r="2345" spans="1:9" ht="15">
      <c r="A2345" s="21">
        <f t="shared" si="42"/>
        <v>140</v>
      </c>
      <c r="B2345" s="14" t="s">
        <v>3196</v>
      </c>
      <c r="C2345" s="85" t="str">
        <f ca="1">IFERROR(__xludf.DUMMYFUNCTION("GOOGLETRANSLATE(B2345:B2360,""RU"",""UK"")"),"Зінківка 25х45* / 25мм 60*")</f>
        <v>Зінківка 25х45* / 25мм 60*</v>
      </c>
      <c r="D2345" s="15" t="s">
        <v>6</v>
      </c>
      <c r="E2345" s="15" t="s">
        <v>3197</v>
      </c>
      <c r="F2345" s="91" t="s">
        <v>24</v>
      </c>
      <c r="G2345" s="4"/>
      <c r="H2345" s="4"/>
      <c r="I2345" s="4"/>
    </row>
    <row r="2346" spans="1:9" ht="15">
      <c r="A2346" s="21">
        <f t="shared" si="42"/>
        <v>141</v>
      </c>
      <c r="B2346" s="19" t="s">
        <v>3198</v>
      </c>
      <c r="C2346" s="85" t="str">
        <f ca="1">IFERROR(__xludf.DUMMYFUNCTION("GOOGLETRANSLATE(B2346:B2361,""RU"",""UK"")"),"Зінківка 25мм 90*/ 25мм 120*")</f>
        <v>Зінківка 25мм 90*/ 25мм 120*</v>
      </c>
      <c r="D2346" s="15" t="s">
        <v>6</v>
      </c>
      <c r="E2346" s="15" t="s">
        <v>3199</v>
      </c>
      <c r="F2346" s="91" t="s">
        <v>24</v>
      </c>
      <c r="G2346" s="4"/>
      <c r="H2346" s="4"/>
      <c r="I2346" s="4"/>
    </row>
    <row r="2347" spans="1:9" ht="15">
      <c r="A2347" s="21">
        <f t="shared" si="42"/>
        <v>142</v>
      </c>
      <c r="B2347" s="14" t="s">
        <v>3200</v>
      </c>
      <c r="C2347" s="85" t="str">
        <f ca="1">IFERROR(__xludf.DUMMYFUNCTION("GOOGLETRANSLATE(B2347:B2362,""RU"",""UK"")"),"Зінківка 26мм 45*")</f>
        <v>Зінківка 26мм 45*</v>
      </c>
      <c r="D2347" s="15" t="s">
        <v>6</v>
      </c>
      <c r="E2347" s="15">
        <v>1</v>
      </c>
      <c r="F2347" s="91" t="s">
        <v>24</v>
      </c>
      <c r="G2347" s="4"/>
      <c r="H2347" s="4"/>
      <c r="I2347" s="4"/>
    </row>
    <row r="2348" spans="1:9" ht="15">
      <c r="A2348" s="21">
        <f t="shared" si="42"/>
        <v>143</v>
      </c>
      <c r="B2348" s="16" t="s">
        <v>3201</v>
      </c>
      <c r="C2348" s="85" t="str">
        <f ca="1">IFERROR(__xludf.DUMMYFUNCTION("GOOGLETRANSLATE(B2348:B2363,""RU"",""UK"")"),"Зінківка 31,5мм 10* / 31,5мм 60*")</f>
        <v>Зінківка 31,5мм 10* / 31,5мм 60*</v>
      </c>
      <c r="D2348" s="15" t="s">
        <v>6</v>
      </c>
      <c r="E2348" s="15" t="s">
        <v>3202</v>
      </c>
      <c r="F2348" s="91" t="s">
        <v>162</v>
      </c>
      <c r="G2348" s="4"/>
      <c r="H2348" s="4"/>
      <c r="I2348" s="4"/>
    </row>
    <row r="2349" spans="1:9" ht="15">
      <c r="A2349" s="21">
        <f t="shared" si="42"/>
        <v>144</v>
      </c>
      <c r="B2349" s="16" t="s">
        <v>3203</v>
      </c>
      <c r="C2349" s="85" t="str">
        <f ca="1">IFERROR(__xludf.DUMMYFUNCTION("GOOGLETRANSLATE(B2349:B2364,""RU"",""UK"")"),"Зінківка 31,5мм 90* / 31,5мм 120*")</f>
        <v>Зінківка 31,5мм 90* / 31,5мм 120*</v>
      </c>
      <c r="D2349" s="15" t="s">
        <v>6</v>
      </c>
      <c r="E2349" s="15" t="s">
        <v>3204</v>
      </c>
      <c r="F2349" s="91" t="s">
        <v>162</v>
      </c>
      <c r="G2349" s="4"/>
      <c r="H2349" s="4"/>
      <c r="I2349" s="4"/>
    </row>
    <row r="2350" spans="1:9" ht="15">
      <c r="A2350" s="21">
        <f t="shared" si="42"/>
        <v>145</v>
      </c>
      <c r="B2350" s="14" t="s">
        <v>3205</v>
      </c>
      <c r="C2350" s="85" t="str">
        <f ca="1">IFERROR(__xludf.DUMMYFUNCTION("GOOGLETRANSLATE(B2350:B2365,""RU"",""UK"")"),"Зінківка 32мм 60* / 32мм 90* / 32мм 120*")</f>
        <v>Зінківка 32мм 60* / 32мм 90* / 32мм 120*</v>
      </c>
      <c r="D2350" s="15" t="s">
        <v>6</v>
      </c>
      <c r="E2350" s="15" t="s">
        <v>3206</v>
      </c>
      <c r="F2350" s="91" t="s">
        <v>106</v>
      </c>
      <c r="G2350" s="4"/>
      <c r="H2350" s="4"/>
      <c r="I2350" s="4"/>
    </row>
    <row r="2351" spans="1:9" ht="15">
      <c r="A2351" s="21">
        <f t="shared" si="42"/>
        <v>146</v>
      </c>
      <c r="B2351" s="14" t="s">
        <v>3207</v>
      </c>
      <c r="C2351" s="85" t="str">
        <f ca="1">IFERROR(__xludf.DUMMYFUNCTION("GOOGLETRANSLATE(B2351:B2366,""RU"",""UK"")"),"Зінківка 40мм 60*/40х90*/40х120*")</f>
        <v>Зінківка 40мм 60*/40х90*/40х120*</v>
      </c>
      <c r="D2351" s="15" t="s">
        <v>6</v>
      </c>
      <c r="E2351" s="15" t="s">
        <v>3208</v>
      </c>
      <c r="F2351" s="91" t="s">
        <v>22</v>
      </c>
      <c r="G2351" s="4"/>
      <c r="H2351" s="4"/>
      <c r="I2351" s="4"/>
    </row>
    <row r="2352" spans="1:9" ht="15">
      <c r="A2352" s="21">
        <f t="shared" si="42"/>
        <v>147</v>
      </c>
      <c r="B2352" s="16" t="s">
        <v>3209</v>
      </c>
      <c r="C2352" s="85" t="str">
        <f ca="1">IFERROR(__xludf.DUMMYFUNCTION("GOOGLETRANSLATE(B2352:B2367,""RU"",""UK"")"),"Зінківка 45х70* / 45х90* / 45х120*")</f>
        <v>Зінківка 45х70* / 45х90* / 45х120*</v>
      </c>
      <c r="D2352" s="15" t="s">
        <v>6</v>
      </c>
      <c r="E2352" s="15" t="s">
        <v>3210</v>
      </c>
      <c r="F2352" s="91" t="s">
        <v>18</v>
      </c>
      <c r="G2352" s="4"/>
      <c r="H2352" s="4"/>
      <c r="I2352" s="4"/>
    </row>
    <row r="2353" spans="1:9" ht="15">
      <c r="A2353" s="21">
        <f t="shared" si="42"/>
        <v>148</v>
      </c>
      <c r="B2353" s="19" t="s">
        <v>3211</v>
      </c>
      <c r="C2353" s="85" t="str">
        <f ca="1">IFERROR(__xludf.DUMMYFUNCTION("GOOGLETRANSLATE(B2353:B2368,""RU"",""UK"")"),"Зінківка 50х60* / 50х90* / 55х60*")</f>
        <v>Зінківка 50х60* / 50х90* / 55х60*</v>
      </c>
      <c r="D2353" s="15" t="s">
        <v>6</v>
      </c>
      <c r="E2353" s="15" t="s">
        <v>3212</v>
      </c>
      <c r="F2353" s="91" t="s">
        <v>27</v>
      </c>
      <c r="G2353" s="4"/>
      <c r="H2353" s="4"/>
      <c r="I2353" s="4"/>
    </row>
    <row r="2354" spans="1:9" ht="15">
      <c r="A2354" s="21">
        <f t="shared" si="42"/>
        <v>149</v>
      </c>
      <c r="B2354" s="14" t="s">
        <v>3213</v>
      </c>
      <c r="C2354" s="85" t="str">
        <f ca="1">IFERROR(__xludf.DUMMYFUNCTION("GOOGLETRANSLATE(B2354:B2369,""RU"",""UK"")"),"Зінківка 80х90*б/в")</f>
        <v>Зінківка 80х90*б/в</v>
      </c>
      <c r="D2354" s="15" t="s">
        <v>6</v>
      </c>
      <c r="E2354" s="15">
        <v>1</v>
      </c>
      <c r="F2354" s="91" t="s">
        <v>27</v>
      </c>
      <c r="G2354" s="4"/>
      <c r="H2354" s="4"/>
      <c r="I2354" s="4"/>
    </row>
    <row r="2355" spans="1:9" ht="15">
      <c r="A2355" s="21">
        <f t="shared" si="42"/>
        <v>150</v>
      </c>
      <c r="B2355" s="16" t="s">
        <v>3214</v>
      </c>
      <c r="C2355" s="85" t="str">
        <f ca="1">IFERROR(__xludf.DUMMYFUNCTION("GOOGLETRANSLATE(B2355:B2370,""RU"",""UK"")"),"Зенкер маш. Р6М5 7мм/11мм/11,9х380/80Р18удл/12мм")</f>
        <v>Зенкер маш. Р6М5 7мм/11мм/11,9х380/80Р18удл/12мм</v>
      </c>
      <c r="D2355" s="15" t="s">
        <v>6</v>
      </c>
      <c r="E2355" s="15" t="s">
        <v>3215</v>
      </c>
      <c r="F2355" s="91" t="s">
        <v>2430</v>
      </c>
      <c r="G2355" s="4"/>
      <c r="H2355" s="4"/>
      <c r="I2355" s="4"/>
    </row>
    <row r="2356" spans="1:9" ht="15">
      <c r="A2356" s="21">
        <f t="shared" si="42"/>
        <v>151</v>
      </c>
      <c r="B2356" s="14" t="s">
        <v>3216</v>
      </c>
      <c r="C2356" s="85" t="str">
        <f ca="1">IFERROR(__xludf.DUMMYFUNCTION("GOOGLETRANSLATE(B2356:B2371,""RU"",""UK"")"),"Зенкер маш. Р6М5 13.0мм/13.85мм")</f>
        <v>Зенкер маш. Р6М5 13.0мм/13.85мм</v>
      </c>
      <c r="D2356" s="15" t="s">
        <v>6</v>
      </c>
      <c r="E2356" s="15" t="s">
        <v>3217</v>
      </c>
      <c r="F2356" s="91" t="s">
        <v>216</v>
      </c>
      <c r="G2356" s="4"/>
      <c r="H2356" s="4"/>
      <c r="I2356" s="4"/>
    </row>
    <row r="2357" spans="1:9" ht="15">
      <c r="A2357" s="21">
        <f t="shared" si="42"/>
        <v>152</v>
      </c>
      <c r="B2357" s="14" t="s">
        <v>3218</v>
      </c>
      <c r="C2357" s="85" t="str">
        <f ca="1">IFERROR(__xludf.DUMMYFUNCTION("GOOGLETRANSLATE(B2357:B2372,""RU"",""UK"")"),"Зенкер маш. Р6М5 14мм/15мм")</f>
        <v>Зенкер маш. Р6М5 14мм/15мм</v>
      </c>
      <c r="D2357" s="15" t="s">
        <v>6</v>
      </c>
      <c r="E2357" s="15" t="s">
        <v>1849</v>
      </c>
      <c r="F2357" s="91" t="s">
        <v>319</v>
      </c>
      <c r="G2357" s="4"/>
      <c r="H2357" s="4"/>
      <c r="I2357" s="4"/>
    </row>
    <row r="2358" spans="1:9" ht="15">
      <c r="A2358" s="21">
        <f t="shared" si="42"/>
        <v>153</v>
      </c>
      <c r="B2358" s="14" t="s">
        <v>3219</v>
      </c>
      <c r="C2358" s="85" t="str">
        <f ca="1">IFERROR(__xludf.DUMMYFUNCTION("GOOGLETRANSLATE(B2358:B2373,""RU"",""UK"")"),"Зенкер маш. т/с 14ВК8 / 15ВК8 / 16ВК8")</f>
        <v>Зенкер маш. т/с 14ВК8 / 15ВК8 / 16ВК8</v>
      </c>
      <c r="D2358" s="15" t="s">
        <v>6</v>
      </c>
      <c r="E2358" s="15" t="s">
        <v>3220</v>
      </c>
      <c r="F2358" s="91" t="s">
        <v>3018</v>
      </c>
      <c r="G2358" s="4"/>
      <c r="H2358" s="4"/>
      <c r="I2358" s="4"/>
    </row>
    <row r="2359" spans="1:9" ht="15">
      <c r="A2359" s="21">
        <f t="shared" si="42"/>
        <v>154</v>
      </c>
      <c r="B2359" s="14" t="s">
        <v>3221</v>
      </c>
      <c r="C2359" s="85" t="str">
        <f ca="1">IFERROR(__xludf.DUMMYFUNCTION("GOOGLETRANSLATE(B2359:B2374,""RU"",""UK"")"),"Зенкер маш. Р6М5 16мм/17мм")</f>
        <v>Зенкер маш. Р6М5 16мм/17мм</v>
      </c>
      <c r="D2359" s="15" t="s">
        <v>6</v>
      </c>
      <c r="E2359" s="15" t="s">
        <v>2250</v>
      </c>
      <c r="F2359" s="91" t="s">
        <v>263</v>
      </c>
      <c r="G2359" s="4"/>
      <c r="H2359" s="4"/>
      <c r="I2359" s="4"/>
    </row>
    <row r="2360" spans="1:9" ht="15">
      <c r="A2360" s="21">
        <f t="shared" si="42"/>
        <v>155</v>
      </c>
      <c r="B2360" s="14" t="s">
        <v>3222</v>
      </c>
      <c r="C2360" s="85" t="str">
        <f ca="1">IFERROR(__xludf.DUMMYFUNCTION("GOOGLETRANSLATE(B2360:B2375,""RU"",""UK"")"),"Зенкер маш. Р6М5 18мм/19мм")</f>
        <v>Зенкер маш. Р6М5 18мм/19мм</v>
      </c>
      <c r="D2360" s="15" t="s">
        <v>6</v>
      </c>
      <c r="E2360" s="15" t="s">
        <v>3223</v>
      </c>
      <c r="F2360" s="91" t="s">
        <v>1688</v>
      </c>
      <c r="G2360" s="4"/>
      <c r="H2360" s="4"/>
      <c r="I2360" s="4"/>
    </row>
    <row r="2361" spans="1:9" ht="15">
      <c r="A2361" s="21">
        <f t="shared" si="42"/>
        <v>156</v>
      </c>
      <c r="B2361" s="19" t="s">
        <v>3224</v>
      </c>
      <c r="C2361" s="85" t="str">
        <f ca="1">IFERROR(__xludf.DUMMYFUNCTION("GOOGLETRANSLATE(B2361:B2376,""RU"",""UK"")"),"Зенкер маш. т/с 18ВК8 / 19ВК8 / 19.8ВК8")</f>
        <v>Зенкер маш. т/с 18ВК8 / 19ВК8 / 19.8ВК8</v>
      </c>
      <c r="D2361" s="15" t="s">
        <v>6</v>
      </c>
      <c r="E2361" s="26" t="s">
        <v>3225</v>
      </c>
      <c r="F2361" s="91" t="s">
        <v>3226</v>
      </c>
      <c r="G2361" s="4"/>
      <c r="H2361" s="4"/>
      <c r="I2361" s="4"/>
    </row>
    <row r="2362" spans="1:9" ht="15">
      <c r="A2362" s="21">
        <f t="shared" si="42"/>
        <v>157</v>
      </c>
      <c r="B2362" s="14" t="s">
        <v>3227</v>
      </c>
      <c r="C2362" s="85" t="str">
        <f ca="1">IFERROR(__xludf.DUMMYFUNCTION("GOOGLETRANSLATE(B2362:B2377,""RU"",""UK"")"),"Зенкер маш. Р6М5 20мм/21мм")</f>
        <v>Зенкер маш. Р6М5 20мм/21мм</v>
      </c>
      <c r="D2362" s="15" t="s">
        <v>6</v>
      </c>
      <c r="E2362" s="15" t="s">
        <v>2561</v>
      </c>
      <c r="F2362" s="91" t="s">
        <v>3018</v>
      </c>
      <c r="G2362" s="4"/>
      <c r="H2362" s="4"/>
      <c r="I2362" s="4"/>
    </row>
    <row r="2363" spans="1:9" ht="15">
      <c r="A2363" s="21">
        <f t="shared" si="42"/>
        <v>158</v>
      </c>
      <c r="B2363" s="14" t="s">
        <v>3228</v>
      </c>
      <c r="C2363" s="85" t="str">
        <f ca="1">IFERROR(__xludf.DUMMYFUNCTION("GOOGLETRANSLATE(B2363:B2378,""RU"",""UK"")"),"Зенкер маш. Р6М5 20х370 (120)мм/20х340")</f>
        <v>Зенкер маш. Р6М5 20х370 (120)мм/20х340</v>
      </c>
      <c r="D2363" s="15" t="s">
        <v>6</v>
      </c>
      <c r="E2363" s="15" t="s">
        <v>749</v>
      </c>
      <c r="F2363" s="91" t="s">
        <v>20</v>
      </c>
      <c r="G2363" s="4"/>
      <c r="H2363" s="4"/>
      <c r="I2363" s="4"/>
    </row>
    <row r="2364" spans="1:9" ht="15">
      <c r="A2364" s="21">
        <f t="shared" si="42"/>
        <v>159</v>
      </c>
      <c r="B2364" s="14" t="s">
        <v>3229</v>
      </c>
      <c r="C2364" s="85" t="str">
        <f ca="1">IFERROR(__xludf.DUMMYFUNCTION("GOOGLETRANSLATE(B2364:B2379,""RU"",""UK"")"),"Зенкер маш. т/с 20ВК8/20Т5К10")</f>
        <v>Зенкер маш. т/с 20ВК8/20Т5К10</v>
      </c>
      <c r="D2364" s="15" t="s">
        <v>6</v>
      </c>
      <c r="E2364" s="15" t="s">
        <v>3230</v>
      </c>
      <c r="F2364" s="91" t="s">
        <v>3231</v>
      </c>
      <c r="G2364" s="4"/>
      <c r="H2364" s="4"/>
      <c r="I2364" s="4"/>
    </row>
    <row r="2365" spans="1:9" ht="15">
      <c r="A2365" s="21">
        <f t="shared" si="42"/>
        <v>160</v>
      </c>
      <c r="B2365" s="14" t="s">
        <v>3232</v>
      </c>
      <c r="C2365" s="85" t="str">
        <f ca="1">IFERROR(__xludf.DUMMYFUNCTION("GOOGLETRANSLATE(B2365:B2380,""RU"",""UK"")"),"Зенкер маш. т/с 21ВК8 / 22ВК8")</f>
        <v>Зенкер маш. т/с 21ВК8 / 22ВК8</v>
      </c>
      <c r="D2365" s="15" t="s">
        <v>6</v>
      </c>
      <c r="E2365" s="15" t="s">
        <v>1184</v>
      </c>
      <c r="F2365" s="91" t="s">
        <v>1744</v>
      </c>
      <c r="G2365" s="4"/>
      <c r="H2365" s="4"/>
      <c r="I2365" s="4"/>
    </row>
    <row r="2366" spans="1:9" ht="15">
      <c r="A2366" s="21">
        <f t="shared" si="42"/>
        <v>161</v>
      </c>
      <c r="B2366" s="14" t="s">
        <v>3233</v>
      </c>
      <c r="C2366" s="85" t="str">
        <f ca="1">IFERROR(__xludf.DUMMYFUNCTION("GOOGLETRANSLATE(B2366:B2381,""RU"",""UK"")"),"Зенкер маш. Р6М5 22мм/23мм")</f>
        <v>Зенкер маш. Р6М5 22мм/23мм</v>
      </c>
      <c r="D2366" s="15" t="s">
        <v>6</v>
      </c>
      <c r="E2366" s="15" t="s">
        <v>2584</v>
      </c>
      <c r="F2366" s="91" t="s">
        <v>128</v>
      </c>
      <c r="G2366" s="4"/>
      <c r="H2366" s="4"/>
      <c r="I2366" s="4"/>
    </row>
    <row r="2367" spans="1:9" ht="15">
      <c r="A2367" s="21">
        <f t="shared" si="42"/>
        <v>162</v>
      </c>
      <c r="B2367" s="14" t="s">
        <v>3234</v>
      </c>
      <c r="C2367" s="85" t="str">
        <f ca="1">IFERROR(__xludf.DUMMYFUNCTION("GOOGLETRANSLATE(B2367:B2382,""RU"",""UK"")"),"Зенкер маш. т/с 23ВК8 / 24ВК8")</f>
        <v>Зенкер маш. т/с 23ВК8 / 24ВК8</v>
      </c>
      <c r="D2367" s="15" t="s">
        <v>6</v>
      </c>
      <c r="E2367" s="15" t="s">
        <v>3235</v>
      </c>
      <c r="F2367" s="91" t="s">
        <v>3236</v>
      </c>
      <c r="G2367" s="4"/>
      <c r="H2367" s="4"/>
      <c r="I2367" s="4"/>
    </row>
    <row r="2368" spans="1:9" ht="15">
      <c r="A2368" s="21">
        <f t="shared" si="42"/>
        <v>163</v>
      </c>
      <c r="B2368" s="14" t="s">
        <v>3237</v>
      </c>
      <c r="C2368" s="85" t="str">
        <f ca="1">IFERROR(__xludf.DUMMYFUNCTION("GOOGLETRANSLATE(B2368:B2383,""RU"",""UK"")"),"Зенкер маш. Р6М5 24мм/25мм")</f>
        <v>Зенкер маш. Р6М5 24мм/25мм</v>
      </c>
      <c r="D2368" s="15" t="s">
        <v>6</v>
      </c>
      <c r="E2368" s="15" t="s">
        <v>743</v>
      </c>
      <c r="F2368" s="91" t="s">
        <v>3226</v>
      </c>
      <c r="G2368" s="4"/>
      <c r="H2368" s="4"/>
      <c r="I2368" s="4"/>
    </row>
    <row r="2369" spans="1:9" ht="15">
      <c r="A2369" s="21">
        <f t="shared" si="42"/>
        <v>164</v>
      </c>
      <c r="B2369" s="19" t="s">
        <v>3238</v>
      </c>
      <c r="C2369" s="85" t="str">
        <f ca="1">IFERROR(__xludf.DUMMYFUNCTION("GOOGLETRANSLATE(B2369:B2384,""RU"",""UK"")"),"Зенкер маш. т/с 25ВК8 / 26ВК8 / 27ВК8")</f>
        <v>Зенкер маш. т/с 25ВК8 / 26ВК8 / 27ВК8</v>
      </c>
      <c r="D2369" s="15" t="s">
        <v>6</v>
      </c>
      <c r="E2369" s="15" t="s">
        <v>3239</v>
      </c>
      <c r="F2369" s="91" t="s">
        <v>3240</v>
      </c>
      <c r="G2369" s="4"/>
      <c r="H2369" s="4"/>
      <c r="I2369" s="4"/>
    </row>
    <row r="2370" spans="1:9" ht="15">
      <c r="A2370" s="21">
        <f t="shared" si="42"/>
        <v>165</v>
      </c>
      <c r="B2370" s="14" t="s">
        <v>3241</v>
      </c>
      <c r="C2370" s="85" t="str">
        <f ca="1">IFERROR(__xludf.DUMMYFUNCTION("GOOGLETRANSLATE(B2370:B2385,""RU"",""UK"")"),"Зенкер маш. Р6М5 26мм/27мм/28мм")</f>
        <v>Зенкер маш. Р6М5 26мм/27мм/28мм</v>
      </c>
      <c r="D2370" s="15" t="s">
        <v>6</v>
      </c>
      <c r="E2370" s="15" t="s">
        <v>3242</v>
      </c>
      <c r="F2370" s="91" t="s">
        <v>199</v>
      </c>
      <c r="G2370" s="4"/>
      <c r="H2370" s="4"/>
      <c r="I2370" s="4"/>
    </row>
    <row r="2371" spans="1:9" ht="15">
      <c r="A2371" s="21">
        <f t="shared" si="42"/>
        <v>166</v>
      </c>
      <c r="B2371" s="14" t="s">
        <v>3243</v>
      </c>
      <c r="C2371" s="85" t="str">
        <f ca="1">IFERROR(__xludf.DUMMYFUNCTION("GOOGLETRANSLATE(B2371:B2386,""RU"",""UK"")"),"Зенкер маш. т/с 28ВК8 / 30ВК8")</f>
        <v>Зенкер маш. т/с 28ВК8 / 30ВК8</v>
      </c>
      <c r="D2371" s="15" t="s">
        <v>6</v>
      </c>
      <c r="E2371" s="15" t="s">
        <v>3244</v>
      </c>
      <c r="F2371" s="91" t="s">
        <v>2111</v>
      </c>
      <c r="G2371" s="4"/>
      <c r="H2371" s="4"/>
      <c r="I2371" s="4"/>
    </row>
    <row r="2372" spans="1:9" ht="15">
      <c r="A2372" s="21">
        <f t="shared" si="42"/>
        <v>167</v>
      </c>
      <c r="B2372" s="14" t="s">
        <v>3245</v>
      </c>
      <c r="C2372" s="85" t="str">
        <f ca="1">IFERROR(__xludf.DUMMYFUNCTION("GOOGLETRANSLATE(B2372:B2387,""RU"",""UK"")"),"Зенкер маш. Р6М5 30мм/32мм")</f>
        <v>Зенкер маш. Р6М5 30мм/32мм</v>
      </c>
      <c r="D2372" s="15" t="s">
        <v>6</v>
      </c>
      <c r="E2372" s="15" t="s">
        <v>902</v>
      </c>
      <c r="F2372" s="91" t="s">
        <v>2809</v>
      </c>
      <c r="G2372" s="4"/>
      <c r="H2372" s="4"/>
      <c r="I2372" s="4"/>
    </row>
    <row r="2373" spans="1:9" ht="15">
      <c r="A2373" s="21">
        <f t="shared" si="42"/>
        <v>168</v>
      </c>
      <c r="B2373" s="14" t="s">
        <v>3246</v>
      </c>
      <c r="C2373" s="85" t="str">
        <f ca="1">IFERROR(__xludf.DUMMYFUNCTION("GOOGLETRANSLATE(B2373:B2388,""RU"",""UK"")"),"Зенкер маш. Р437 30мм")</f>
        <v>Зенкер маш. Р437 30мм</v>
      </c>
      <c r="D2373" s="15" t="s">
        <v>6</v>
      </c>
      <c r="E2373" s="15">
        <v>3</v>
      </c>
      <c r="F2373" s="91" t="s">
        <v>2809</v>
      </c>
      <c r="G2373" s="4"/>
      <c r="H2373" s="4"/>
      <c r="I2373" s="4"/>
    </row>
    <row r="2374" spans="1:9" ht="15">
      <c r="A2374" s="21">
        <f t="shared" si="42"/>
        <v>169</v>
      </c>
      <c r="B2374" s="19" t="s">
        <v>3247</v>
      </c>
      <c r="C2374" s="85" t="str">
        <f ca="1">IFERROR(__xludf.DUMMYFUNCTION("GOOGLETRANSLATE(B2374:B2389,""RU"",""UK"")"),"Зенкер маш. т/с 32ВК8 / 33ВК8")</f>
        <v>Зенкер маш. т/с 32ВК8 / 33ВК8</v>
      </c>
      <c r="D2374" s="15" t="s">
        <v>6</v>
      </c>
      <c r="E2374" s="26" t="s">
        <v>3187</v>
      </c>
      <c r="F2374" s="91" t="s">
        <v>3248</v>
      </c>
      <c r="G2374" s="4"/>
      <c r="H2374" s="4"/>
      <c r="I2374" s="4"/>
    </row>
    <row r="2375" spans="1:9" ht="15">
      <c r="A2375" s="21">
        <f t="shared" si="42"/>
        <v>170</v>
      </c>
      <c r="B2375" s="14" t="s">
        <v>3249</v>
      </c>
      <c r="C2375" s="85" t="str">
        <f ca="1">IFERROR(__xludf.DUMMYFUNCTION("GOOGLETRANSLATE(B2375:B2390,""RU"",""UK"")"),"Зенкер маш. Р6М5 34мм/35мм")</f>
        <v>Зенкер маш. Р6М5 34мм/35мм</v>
      </c>
      <c r="D2375" s="15" t="s">
        <v>6</v>
      </c>
      <c r="E2375" s="15" t="s">
        <v>3157</v>
      </c>
      <c r="F2375" s="91" t="s">
        <v>571</v>
      </c>
      <c r="G2375" s="4"/>
      <c r="H2375" s="4"/>
      <c r="I2375" s="4"/>
    </row>
    <row r="2376" spans="1:9" ht="15">
      <c r="A2376" s="21">
        <f t="shared" si="42"/>
        <v>171</v>
      </c>
      <c r="B2376" s="16" t="s">
        <v>3250</v>
      </c>
      <c r="C2376" s="85" t="str">
        <f ca="1">IFERROR(__xludf.DUMMYFUNCTION("GOOGLETRANSLATE(B2376:B2391,""RU"",""UK"")"),"Зенкер маш. т/с 34ВК8 / 35ВК8")</f>
        <v>Зенкер маш. т/с 34ВК8 / 35ВК8</v>
      </c>
      <c r="D2376" s="15" t="s">
        <v>6</v>
      </c>
      <c r="E2376" s="15" t="s">
        <v>2352</v>
      </c>
      <c r="F2376" s="91" t="s">
        <v>3251</v>
      </c>
      <c r="G2376" s="4"/>
      <c r="H2376" s="4"/>
      <c r="I2376" s="4"/>
    </row>
    <row r="2377" spans="1:9" ht="15">
      <c r="A2377" s="21">
        <f t="shared" si="42"/>
        <v>172</v>
      </c>
      <c r="B2377" s="14" t="s">
        <v>3252</v>
      </c>
      <c r="C2377" s="85" t="str">
        <f ca="1">IFERROR(__xludf.DUMMYFUNCTION("GOOGLETRANSLATE(B2377:B2392,""RU"",""UK"")"),"Зенкер маш. Р6М5 37мм/38мм")</f>
        <v>Зенкер маш. Р6М5 37мм/38мм</v>
      </c>
      <c r="D2377" s="15" t="s">
        <v>6</v>
      </c>
      <c r="E2377" s="15" t="s">
        <v>1166</v>
      </c>
      <c r="F2377" s="91" t="s">
        <v>162</v>
      </c>
      <c r="G2377" s="4"/>
      <c r="H2377" s="4"/>
      <c r="I2377" s="4"/>
    </row>
    <row r="2378" spans="1:9" ht="15">
      <c r="A2378" s="21">
        <f t="shared" si="42"/>
        <v>173</v>
      </c>
      <c r="B2378" s="14" t="s">
        <v>3253</v>
      </c>
      <c r="C2378" s="85" t="str">
        <f ca="1">IFERROR(__xludf.DUMMYFUNCTION("GOOGLETRANSLATE(B2378:B2393,""RU"",""UK"")"),"Зенкер маш. т/с 50ВК8")</f>
        <v>Зенкер маш. т/с 50ВК8</v>
      </c>
      <c r="D2378" s="15" t="s">
        <v>6</v>
      </c>
      <c r="E2378" s="15">
        <v>1</v>
      </c>
      <c r="F2378" s="91" t="s">
        <v>78</v>
      </c>
      <c r="G2378" s="4"/>
      <c r="H2378" s="4"/>
      <c r="I2378" s="4"/>
    </row>
    <row r="2379" spans="1:9" ht="15">
      <c r="A2379" s="21">
        <f t="shared" si="42"/>
        <v>174</v>
      </c>
      <c r="B2379" s="16" t="s">
        <v>3254</v>
      </c>
      <c r="C2379" s="85" t="str">
        <f ca="1">IFERROR(__xludf.DUMMYFUNCTION("GOOGLETRANSLATE(B2379:B2394,""RU"",""UK"")"),"Зенкер насадний Р6М5 28/30/32")</f>
        <v>Зенкер насадний Р6М5 28/30/32</v>
      </c>
      <c r="D2379" s="15" t="s">
        <v>6</v>
      </c>
      <c r="E2379" s="15" t="s">
        <v>3255</v>
      </c>
      <c r="F2379" s="91" t="s">
        <v>119</v>
      </c>
      <c r="G2379" s="4"/>
      <c r="H2379" s="4"/>
      <c r="I2379" s="4"/>
    </row>
    <row r="2380" spans="1:9" ht="15">
      <c r="A2380" s="21">
        <f t="shared" si="42"/>
        <v>175</v>
      </c>
      <c r="B2380" s="14" t="s">
        <v>3256</v>
      </c>
      <c r="C2380" s="85" t="str">
        <f ca="1">IFERROR(__xludf.DUMMYFUNCTION("GOOGLETRANSLATE(B2380:B2395,""RU"",""UK"")"),"Зенкер насадний Р6М5 34 / 35")</f>
        <v>Зенкер насадний Р6М5 34 / 35</v>
      </c>
      <c r="D2380" s="15" t="s">
        <v>6</v>
      </c>
      <c r="E2380" s="15" t="s">
        <v>3257</v>
      </c>
      <c r="F2380" s="91" t="s">
        <v>327</v>
      </c>
      <c r="G2380" s="4"/>
      <c r="H2380" s="4"/>
      <c r="I2380" s="4"/>
    </row>
    <row r="2381" spans="1:9" ht="15">
      <c r="A2381" s="21">
        <f t="shared" si="42"/>
        <v>176</v>
      </c>
      <c r="B2381" s="14" t="s">
        <v>3258</v>
      </c>
      <c r="C2381" s="85" t="str">
        <f ca="1">IFERROR(__xludf.DUMMYFUNCTION("GOOGLETRANSLATE(B2381:B2396,""RU"",""UK"")"),"Зенкер насадний Р6М5 36№1Р9 / 36№2Р6М5 / 36Р6М5")</f>
        <v>Зенкер насадний Р6М5 36№1Р9 / 36№2Р6М5 / 36Р6М5</v>
      </c>
      <c r="D2381" s="15" t="s">
        <v>6</v>
      </c>
      <c r="E2381" s="17" t="s">
        <v>3259</v>
      </c>
      <c r="F2381" s="91" t="s">
        <v>140</v>
      </c>
      <c r="G2381" s="4"/>
      <c r="H2381" s="4"/>
      <c r="I2381" s="4"/>
    </row>
    <row r="2382" spans="1:9" ht="15">
      <c r="A2382" s="21">
        <f t="shared" si="42"/>
        <v>177</v>
      </c>
      <c r="B2382" s="14" t="s">
        <v>3260</v>
      </c>
      <c r="C2382" s="85" t="str">
        <f ca="1">IFERROR(__xludf.DUMMYFUNCTION("GOOGLETRANSLATE(B2382:B2397,""RU"",""UK"")"),"Зенкер насадний Р6М5 37Р6АМ5")</f>
        <v>Зенкер насадний Р6М5 37Р6АМ5</v>
      </c>
      <c r="D2382" s="15" t="s">
        <v>6</v>
      </c>
      <c r="E2382" s="17">
        <v>9</v>
      </c>
      <c r="F2382" s="91" t="s">
        <v>20</v>
      </c>
      <c r="G2382" s="4"/>
      <c r="H2382" s="4"/>
      <c r="I2382" s="4"/>
    </row>
    <row r="2383" spans="1:9" ht="15">
      <c r="A2383" s="21">
        <f t="shared" si="42"/>
        <v>178</v>
      </c>
      <c r="B2383" s="14" t="s">
        <v>3261</v>
      </c>
      <c r="C2383" s="85" t="str">
        <f ca="1">IFERROR(__xludf.DUMMYFUNCTION("GOOGLETRANSLATE(B2383:B2398,""RU"",""UK"")"),"Зенкер насадний Р6М5 38 / 40")</f>
        <v>Зенкер насадний Р6М5 38 / 40</v>
      </c>
      <c r="D2383" s="15" t="s">
        <v>6</v>
      </c>
      <c r="E2383" s="15" t="s">
        <v>3262</v>
      </c>
      <c r="F2383" s="91" t="s">
        <v>24</v>
      </c>
      <c r="G2383" s="4"/>
      <c r="H2383" s="4"/>
      <c r="I2383" s="4"/>
    </row>
    <row r="2384" spans="1:9" ht="15">
      <c r="A2384" s="21">
        <f t="shared" si="42"/>
        <v>179</v>
      </c>
      <c r="B2384" s="14" t="s">
        <v>3263</v>
      </c>
      <c r="C2384" s="85" t="str">
        <f ca="1">IFERROR(__xludf.DUMMYFUNCTION("GOOGLETRANSLATE(B2384:B2399,""RU"",""UK"")"),"Зенкер насадний Р6М5 44 / 45")</f>
        <v>Зенкер насадний Р6М5 44 / 45</v>
      </c>
      <c r="D2384" s="15" t="s">
        <v>6</v>
      </c>
      <c r="E2384" s="15" t="s">
        <v>3264</v>
      </c>
      <c r="F2384" s="91" t="s">
        <v>106</v>
      </c>
      <c r="G2384" s="4"/>
      <c r="H2384" s="4"/>
      <c r="I2384" s="4"/>
    </row>
    <row r="2385" spans="1:9" ht="15">
      <c r="A2385" s="21">
        <f t="shared" si="42"/>
        <v>180</v>
      </c>
      <c r="B2385" s="14" t="s">
        <v>3265</v>
      </c>
      <c r="C2385" s="85" t="str">
        <f ca="1">IFERROR(__xludf.DUMMYFUNCTION("GOOGLETRANSLATE(B2385:B2400,""RU"",""UK"")"),"Зенкер насадний Р6М5 47 / 48")</f>
        <v>Зенкер насадний Р6М5 47 / 48</v>
      </c>
      <c r="D2385" s="15" t="s">
        <v>6</v>
      </c>
      <c r="E2385" s="15" t="s">
        <v>3266</v>
      </c>
      <c r="F2385" s="91" t="s">
        <v>16</v>
      </c>
      <c r="G2385" s="4"/>
      <c r="H2385" s="4"/>
      <c r="I2385" s="4"/>
    </row>
    <row r="2386" spans="1:9" ht="15">
      <c r="A2386" s="21">
        <f t="shared" si="42"/>
        <v>181</v>
      </c>
      <c r="B2386" s="14" t="s">
        <v>3267</v>
      </c>
      <c r="C2386" s="85" t="str">
        <f ca="1">IFERROR(__xludf.DUMMYFUNCTION("GOOGLETRANSLATE(B2386:B2401,""RU"",""UK"")"),"Зенкер насадний Р6М5 50/52")</f>
        <v>Зенкер насадний Р6М5 50/52</v>
      </c>
      <c r="D2386" s="15" t="s">
        <v>6</v>
      </c>
      <c r="E2386" s="15" t="s">
        <v>3268</v>
      </c>
      <c r="F2386" s="91" t="s">
        <v>272</v>
      </c>
      <c r="G2386" s="4"/>
      <c r="H2386" s="4"/>
      <c r="I2386" s="4"/>
    </row>
    <row r="2387" spans="1:9" ht="15">
      <c r="A2387" s="21">
        <f t="shared" si="42"/>
        <v>182</v>
      </c>
      <c r="B2387" s="14" t="s">
        <v>3269</v>
      </c>
      <c r="C2387" s="85" t="str">
        <f ca="1">IFERROR(__xludf.DUMMYFUNCTION("GOOGLETRANSLATE(B2387:B2402,""RU"",""UK"")"),"Зенкер насадний Р6М5 75")</f>
        <v>Зенкер насадний Р6М5 75</v>
      </c>
      <c r="D2387" s="15" t="s">
        <v>6</v>
      </c>
      <c r="E2387" s="15">
        <v>2</v>
      </c>
      <c r="F2387" s="91" t="s">
        <v>27</v>
      </c>
      <c r="G2387" s="4"/>
      <c r="H2387" s="4"/>
      <c r="I2387" s="4"/>
    </row>
    <row r="2388" spans="1:9" ht="15">
      <c r="A2388" s="21">
        <f t="shared" si="42"/>
        <v>183</v>
      </c>
      <c r="B2388" s="14" t="s">
        <v>3270</v>
      </c>
      <c r="C2388" s="85" t="str">
        <f ca="1">IFERROR(__xludf.DUMMYFUNCTION("GOOGLETRANSLATE(B2388:B2403,""RU"",""UK"")"),"Зенкер насадної т/с 19ВК8")</f>
        <v>Зенкер насадної т/с 19ВК8</v>
      </c>
      <c r="D2388" s="15" t="s">
        <v>6</v>
      </c>
      <c r="E2388" s="15">
        <v>1</v>
      </c>
      <c r="F2388" s="91" t="s">
        <v>319</v>
      </c>
      <c r="G2388" s="4"/>
      <c r="H2388" s="4"/>
      <c r="I2388" s="4"/>
    </row>
    <row r="2389" spans="1:9" ht="15">
      <c r="A2389" s="21">
        <f t="shared" si="42"/>
        <v>184</v>
      </c>
      <c r="B2389" s="14" t="s">
        <v>3271</v>
      </c>
      <c r="C2389" s="85" t="str">
        <f ca="1">IFERROR(__xludf.DUMMYFUNCTION("GOOGLETRANSLATE(B2389:B2404,""RU"",""UK"")"),"Зенкер насадної т/с 22ВК8 / 24ВК8")</f>
        <v>Зенкер насадної т/с 22ВК8 / 24ВК8</v>
      </c>
      <c r="D2389" s="15" t="s">
        <v>6</v>
      </c>
      <c r="E2389" s="15" t="s">
        <v>737</v>
      </c>
      <c r="F2389" s="91" t="s">
        <v>327</v>
      </c>
      <c r="G2389" s="4"/>
      <c r="H2389" s="4"/>
      <c r="I2389" s="4"/>
    </row>
    <row r="2390" spans="1:9" ht="15">
      <c r="A2390" s="21">
        <f t="shared" si="42"/>
        <v>185</v>
      </c>
      <c r="B2390" s="14" t="s">
        <v>3272</v>
      </c>
      <c r="C2390" s="85" t="str">
        <f ca="1">IFERROR(__xludf.DUMMYFUNCTION("GOOGLETRANSLATE(B2390:B2405,""RU"",""UK"")"),"Зенкер насадної т/с 28ВК8")</f>
        <v>Зенкер насадної т/с 28ВК8</v>
      </c>
      <c r="D2390" s="15" t="s">
        <v>6</v>
      </c>
      <c r="E2390" s="15">
        <v>1</v>
      </c>
      <c r="F2390" s="91" t="s">
        <v>20</v>
      </c>
      <c r="G2390" s="4"/>
      <c r="H2390" s="4"/>
      <c r="I2390" s="4"/>
    </row>
    <row r="2391" spans="1:9" ht="15">
      <c r="A2391" s="21">
        <f t="shared" si="42"/>
        <v>186</v>
      </c>
      <c r="B2391" s="14" t="s">
        <v>3273</v>
      </c>
      <c r="C2391" s="85" t="str">
        <f ca="1">IFERROR(__xludf.DUMMYFUNCTION("GOOGLETRANSLATE(B2391:B2406,""RU"",""UK"")"),"Зенкер насадної т/с 32ВК8 / 34ВК8")</f>
        <v>Зенкер насадної т/с 32ВК8 / 34ВК8</v>
      </c>
      <c r="D2391" s="15" t="s">
        <v>6</v>
      </c>
      <c r="E2391" s="15" t="s">
        <v>793</v>
      </c>
      <c r="F2391" s="91" t="s">
        <v>3274</v>
      </c>
      <c r="G2391" s="4"/>
      <c r="H2391" s="4"/>
      <c r="I2391" s="4"/>
    </row>
    <row r="2392" spans="1:9" ht="15">
      <c r="A2392" s="21">
        <f t="shared" si="42"/>
        <v>187</v>
      </c>
      <c r="B2392" s="14" t="s">
        <v>3275</v>
      </c>
      <c r="C2392" s="85" t="str">
        <f ca="1">IFERROR(__xludf.DUMMYFUNCTION("GOOGLETRANSLATE(B2392:B2407,""RU"",""UK"")"),"Зенкер насадної т/с 35ВК8 / 36ВК8")</f>
        <v>Зенкер насадної т/с 35ВК8 / 36ВК8</v>
      </c>
      <c r="D2392" s="15" t="s">
        <v>6</v>
      </c>
      <c r="E2392" s="15" t="s">
        <v>3276</v>
      </c>
      <c r="F2392" s="91" t="s">
        <v>24</v>
      </c>
      <c r="G2392" s="4"/>
      <c r="H2392" s="4"/>
      <c r="I2392" s="4"/>
    </row>
    <row r="2393" spans="1:9" ht="15">
      <c r="A2393" s="21">
        <f t="shared" si="42"/>
        <v>188</v>
      </c>
      <c r="B2393" s="14" t="s">
        <v>3277</v>
      </c>
      <c r="C2393" s="85" t="str">
        <f ca="1">IFERROR(__xludf.DUMMYFUNCTION("GOOGLETRANSLATE(B2393:B2408,""RU"",""UK"")"),"Зенкер насадної т/с 38ВК8 / 40ВК8")</f>
        <v>Зенкер насадної т/с 38ВК8 / 40ВК8</v>
      </c>
      <c r="D2393" s="15" t="s">
        <v>6</v>
      </c>
      <c r="E2393" s="15" t="s">
        <v>3278</v>
      </c>
      <c r="F2393" s="91" t="s">
        <v>162</v>
      </c>
      <c r="G2393" s="4"/>
      <c r="H2393" s="4"/>
      <c r="I2393" s="4"/>
    </row>
    <row r="2394" spans="1:9" ht="15">
      <c r="A2394" s="21">
        <f t="shared" si="42"/>
        <v>189</v>
      </c>
      <c r="B2394" s="14" t="s">
        <v>3279</v>
      </c>
      <c r="C2394" s="85" t="str">
        <f ca="1">IFERROR(__xludf.DUMMYFUNCTION("GOOGLETRANSLATE(B2394:B2409,""RU"",""UK"")"),"Зенкер насадної т/с 45ВК8 / 46ВК8")</f>
        <v>Зенкер насадної т/с 45ВК8 / 46ВК8</v>
      </c>
      <c r="D2394" s="15" t="s">
        <v>6</v>
      </c>
      <c r="E2394" s="15" t="s">
        <v>700</v>
      </c>
      <c r="F2394" s="91" t="s">
        <v>16</v>
      </c>
      <c r="G2394" s="4"/>
      <c r="H2394" s="4"/>
      <c r="I2394" s="4"/>
    </row>
    <row r="2395" spans="1:9" ht="15">
      <c r="A2395" s="21">
        <f t="shared" si="42"/>
        <v>190</v>
      </c>
      <c r="B2395" s="14" t="s">
        <v>3280</v>
      </c>
      <c r="C2395" s="85" t="str">
        <f ca="1">IFERROR(__xludf.DUMMYFUNCTION("GOOGLETRANSLATE(B2395:B2410,""RU"",""UK"")"),"Зенкер насадної т/с 47ВК8/47,7Т15К6")</f>
        <v>Зенкер насадної т/с 47ВК8/47,7Т15К6</v>
      </c>
      <c r="D2395" s="15" t="s">
        <v>6</v>
      </c>
      <c r="E2395" s="15" t="s">
        <v>737</v>
      </c>
      <c r="F2395" s="91" t="s">
        <v>3281</v>
      </c>
      <c r="G2395" s="4"/>
      <c r="H2395" s="4"/>
      <c r="I2395" s="4"/>
    </row>
    <row r="2396" spans="1:9" ht="15">
      <c r="A2396" s="21">
        <f t="shared" si="42"/>
        <v>191</v>
      </c>
      <c r="B2396" s="14" t="s">
        <v>3282</v>
      </c>
      <c r="C2396" s="85" t="str">
        <f ca="1">IFERROR(__xludf.DUMMYFUNCTION("GOOGLETRANSLATE(B2396:B2411,""RU"",""UK"")"),"Зенкер насадної т/с 48ВК8/49,3Т5К10")</f>
        <v>Зенкер насадної т/с 48ВК8/49,3Т5К10</v>
      </c>
      <c r="D2396" s="15" t="s">
        <v>6</v>
      </c>
      <c r="E2396" s="15" t="s">
        <v>686</v>
      </c>
      <c r="F2396" s="91" t="s">
        <v>272</v>
      </c>
      <c r="G2396" s="4"/>
      <c r="H2396" s="4"/>
      <c r="I2396" s="4"/>
    </row>
    <row r="2397" spans="1:9" ht="15">
      <c r="A2397" s="21">
        <f t="shared" si="42"/>
        <v>192</v>
      </c>
      <c r="B2397" s="14" t="s">
        <v>3283</v>
      </c>
      <c r="C2397" s="85" t="str">
        <f ca="1">IFERROR(__xludf.DUMMYFUNCTION("GOOGLETRANSLATE(B2397:B2412,""RU"",""UK"")"),"Зенкер насадної т/с 50ВК8/50Т15К6")</f>
        <v>Зенкер насадної т/с 50ВК8/50Т15К6</v>
      </c>
      <c r="D2397" s="15" t="s">
        <v>6</v>
      </c>
      <c r="E2397" s="15" t="s">
        <v>712</v>
      </c>
      <c r="F2397" s="91" t="s">
        <v>18</v>
      </c>
      <c r="G2397" s="4"/>
      <c r="H2397" s="4"/>
      <c r="I2397" s="4"/>
    </row>
    <row r="2398" spans="1:9" ht="15">
      <c r="A2398" s="21">
        <f t="shared" si="42"/>
        <v>193</v>
      </c>
      <c r="B2398" s="14" t="s">
        <v>3284</v>
      </c>
      <c r="C2398" s="85" t="str">
        <f ca="1">IFERROR(__xludf.DUMMYFUNCTION("GOOGLETRANSLATE(B2398:B2413,""RU"",""UK"")"),"Зенкер насадної т/с 52ВК8 / 55ВК8 / 58ВК8")</f>
        <v>Зенкер насадної т/с 52ВК8 / 55ВК8 / 58ВК8</v>
      </c>
      <c r="D2398" s="15" t="s">
        <v>6</v>
      </c>
      <c r="E2398" s="15" t="s">
        <v>3285</v>
      </c>
      <c r="F2398" s="91" t="s">
        <v>413</v>
      </c>
      <c r="G2398" s="4"/>
      <c r="H2398" s="4"/>
      <c r="I2398" s="4"/>
    </row>
    <row r="2399" spans="1:9" ht="15">
      <c r="A2399" s="21">
        <f t="shared" si="42"/>
        <v>194</v>
      </c>
      <c r="B2399" s="14" t="s">
        <v>3286</v>
      </c>
      <c r="C2399" s="85" t="str">
        <f ca="1">IFERROR(__xludf.DUMMYFUNCTION("GOOGLETRANSLATE(B2399:B2414,""RU"",""UK"")"),"Зенкер насадної т/с 65ВК8 / 68ВК8")</f>
        <v>Зенкер насадної т/с 65ВК8 / 68ВК8</v>
      </c>
      <c r="D2399" s="15" t="s">
        <v>6</v>
      </c>
      <c r="E2399" s="15" t="s">
        <v>740</v>
      </c>
      <c r="F2399" s="91" t="s">
        <v>53</v>
      </c>
      <c r="G2399" s="4"/>
      <c r="H2399" s="4"/>
      <c r="I2399" s="4"/>
    </row>
    <row r="2400" spans="1:9" ht="15">
      <c r="A2400" s="21">
        <f t="shared" ref="A2400:A2404" si="43">A2399+1</f>
        <v>195</v>
      </c>
      <c r="B2400" s="14" t="s">
        <v>3287</v>
      </c>
      <c r="C2400" s="85" t="str">
        <f ca="1">IFERROR(__xludf.DUMMYFUNCTION("GOOGLETRANSLATE(B2400:B2415,""RU"",""UK"")"),"Зенкер насадної т/с 70ВК8 / 72ВК8")</f>
        <v>Зенкер насадної т/с 70ВК8 / 72ВК8</v>
      </c>
      <c r="D2400" s="15" t="s">
        <v>6</v>
      </c>
      <c r="E2400" s="15" t="s">
        <v>3288</v>
      </c>
      <c r="F2400" s="91" t="s">
        <v>27</v>
      </c>
      <c r="G2400" s="4"/>
      <c r="H2400" s="4"/>
      <c r="I2400" s="4"/>
    </row>
    <row r="2401" spans="1:9" ht="15">
      <c r="A2401" s="21">
        <f t="shared" si="43"/>
        <v>196</v>
      </c>
      <c r="B2401" s="14" t="s">
        <v>3289</v>
      </c>
      <c r="C2401" s="85" t="str">
        <f ca="1">IFERROR(__xludf.DUMMYFUNCTION("GOOGLETRANSLATE(B2401:B2416,""RU"",""UK"")"),"Зенкер насадної т/с 75ВК8 / 80ВК8")</f>
        <v>Зенкер насадної т/с 75ВК8 / 80ВК8</v>
      </c>
      <c r="D2401" s="15" t="s">
        <v>6</v>
      </c>
      <c r="E2401" s="15" t="s">
        <v>1625</v>
      </c>
      <c r="F2401" s="91" t="s">
        <v>138</v>
      </c>
      <c r="G2401" s="4"/>
      <c r="H2401" s="4"/>
      <c r="I2401" s="4"/>
    </row>
    <row r="2402" spans="1:9" ht="15">
      <c r="A2402" s="21">
        <f t="shared" si="43"/>
        <v>197</v>
      </c>
      <c r="B2402" s="16" t="s">
        <v>3290</v>
      </c>
      <c r="C2402" s="85" t="str">
        <f ca="1">IFERROR(__xludf.DUMMYFUNCTION("GOOGLETRANSLATE(B2402:B2417,""RU"",""UK"")"),"Цековка d24мм КМ2")</f>
        <v>Цековка d24мм КМ2</v>
      </c>
      <c r="D2402" s="15" t="s">
        <v>6</v>
      </c>
      <c r="E2402" s="15">
        <v>1</v>
      </c>
      <c r="F2402" s="91" t="s">
        <v>119</v>
      </c>
      <c r="G2402" s="4"/>
      <c r="H2402" s="4"/>
      <c r="I2402" s="4"/>
    </row>
    <row r="2403" spans="1:9" ht="15">
      <c r="A2403" s="21">
        <f t="shared" si="43"/>
        <v>198</v>
      </c>
      <c r="B2403" s="16" t="s">
        <v>3291</v>
      </c>
      <c r="C2403" s="85" t="str">
        <f ca="1">IFERROR(__xludf.DUMMYFUNCTION("GOOGLETRANSLATE(B2403:B2418,""RU"",""UK"")"),"Цековка d25мм Р9 КМ3")</f>
        <v>Цековка d25мм Р9 КМ3</v>
      </c>
      <c r="D2403" s="15" t="s">
        <v>6</v>
      </c>
      <c r="E2403" s="15">
        <v>2</v>
      </c>
      <c r="F2403" s="91" t="s">
        <v>119</v>
      </c>
      <c r="G2403" s="4"/>
      <c r="H2403" s="4"/>
      <c r="I2403" s="4"/>
    </row>
    <row r="2404" spans="1:9" ht="15">
      <c r="A2404" s="21">
        <f t="shared" si="43"/>
        <v>199</v>
      </c>
      <c r="B2404" s="16" t="s">
        <v>3292</v>
      </c>
      <c r="C2404" s="85" t="str">
        <f ca="1">IFERROR(__xludf.DUMMYFUNCTION("GOOGLETRANSLATE(B2404:B2419,""RU"",""UK"")"),"Цековка d31,5мм Ц/хв")</f>
        <v>Цековка d31,5мм Ц/хв</v>
      </c>
      <c r="D2404" s="15" t="s">
        <v>6</v>
      </c>
      <c r="E2404" s="15">
        <v>1</v>
      </c>
      <c r="F2404" s="91" t="s">
        <v>119</v>
      </c>
      <c r="G2404" s="4"/>
      <c r="H2404" s="4"/>
      <c r="I2404" s="4"/>
    </row>
    <row r="2405" spans="1:9" ht="15">
      <c r="A2405" s="68"/>
      <c r="B2405" s="69"/>
      <c r="C2405" s="110" t="s">
        <v>6038</v>
      </c>
      <c r="D2405" s="69"/>
      <c r="E2405" s="69"/>
      <c r="F2405" s="106"/>
      <c r="G2405" s="4"/>
      <c r="H2405" s="4"/>
      <c r="I2405" s="4"/>
    </row>
    <row r="2406" spans="1:9" ht="15">
      <c r="A2406" s="13">
        <v>1</v>
      </c>
      <c r="B2406" s="14" t="s">
        <v>3293</v>
      </c>
      <c r="C2406" s="85" t="str">
        <f ca="1">IFERROR(__xludf.DUMMYFUNCTION("GOOGLETRANSLATE(B2406:B2421,""RU"",""UK"")"),"Втулка перехідна конус 2/1")</f>
        <v>Втулка перехідна конус 2/1</v>
      </c>
      <c r="D2406" s="15" t="s">
        <v>6</v>
      </c>
      <c r="E2406" s="15">
        <v>104</v>
      </c>
      <c r="F2406" s="91" t="s">
        <v>539</v>
      </c>
      <c r="G2406" s="4"/>
      <c r="H2406" s="4"/>
      <c r="I2406" s="4"/>
    </row>
    <row r="2407" spans="1:9" ht="15">
      <c r="A2407" s="13">
        <f>A2406+1</f>
        <v>2</v>
      </c>
      <c r="B2407" s="14" t="s">
        <v>3294</v>
      </c>
      <c r="C2407" s="85" t="str">
        <f ca="1">IFERROR(__xludf.DUMMYFUNCTION("GOOGLETRANSLATE(B2407:B2422,""RU"",""UK"")"),"Втулка перехідна конус 2/1 удл 150мм")</f>
        <v>Втулка перехідна конус 2/1 удл 150мм</v>
      </c>
      <c r="D2407" s="15" t="s">
        <v>6</v>
      </c>
      <c r="E2407" s="15">
        <v>1</v>
      </c>
      <c r="F2407" s="91" t="s">
        <v>327</v>
      </c>
      <c r="G2407" s="4"/>
      <c r="H2407" s="4"/>
      <c r="I2407" s="4"/>
    </row>
    <row r="2408" spans="1:9" ht="15">
      <c r="A2408" s="21">
        <f t="shared" ref="A2408:A2471" si="44">A2407+1</f>
        <v>3</v>
      </c>
      <c r="B2408" s="16" t="s">
        <v>3295</v>
      </c>
      <c r="C2408" s="85" t="str">
        <f ca="1">IFERROR(__xludf.DUMMYFUNCTION("GOOGLETRANSLATE(B2408:B2423,""RU"",""UK"")"),"Втулка перехідна конус 3/1/3/2")</f>
        <v>Втулка перехідна конус 3/1/3/2</v>
      </c>
      <c r="D2408" s="15" t="s">
        <v>6</v>
      </c>
      <c r="E2408" s="15" t="s">
        <v>3296</v>
      </c>
      <c r="F2408" s="91" t="s">
        <v>140</v>
      </c>
      <c r="G2408" s="4"/>
      <c r="H2408" s="4"/>
      <c r="I2408" s="4"/>
    </row>
    <row r="2409" spans="1:9" ht="15">
      <c r="A2409" s="21">
        <f t="shared" si="44"/>
        <v>4</v>
      </c>
      <c r="B2409" s="14" t="s">
        <v>3297</v>
      </c>
      <c r="C2409" s="85" t="str">
        <f ca="1">IFERROR(__xludf.DUMMYFUNCTION("GOOGLETRANSLATE(B2409:B2424,""RU"",""UK"")"),"Перехідна втулка конус 3/3 удл. 400мм")</f>
        <v>Перехідна втулка конус 3/3 удл. 400мм</v>
      </c>
      <c r="D2409" s="15" t="s">
        <v>6</v>
      </c>
      <c r="E2409" s="15">
        <v>1</v>
      </c>
      <c r="F2409" s="91" t="s">
        <v>27</v>
      </c>
      <c r="G2409" s="4"/>
      <c r="H2409" s="4"/>
      <c r="I2409" s="4"/>
    </row>
    <row r="2410" spans="1:9" ht="15">
      <c r="A2410" s="21">
        <f t="shared" si="44"/>
        <v>5</v>
      </c>
      <c r="B2410" s="14" t="s">
        <v>3298</v>
      </c>
      <c r="C2410" s="85" t="str">
        <f ca="1">IFERROR(__xludf.DUMMYFUNCTION("GOOGLETRANSLATE(B2410:B2425,""RU"",""UK"")"),"Втулка перехідна конус 4/1")</f>
        <v>Втулка перехідна конус 4/1</v>
      </c>
      <c r="D2410" s="15" t="s">
        <v>6</v>
      </c>
      <c r="E2410" s="15">
        <v>1</v>
      </c>
      <c r="F2410" s="91" t="s">
        <v>20</v>
      </c>
      <c r="G2410" s="4"/>
      <c r="H2410" s="4"/>
      <c r="I2410" s="4"/>
    </row>
    <row r="2411" spans="1:9" ht="15">
      <c r="A2411" s="21">
        <f t="shared" si="44"/>
        <v>6</v>
      </c>
      <c r="B2411" s="14" t="s">
        <v>3299</v>
      </c>
      <c r="C2411" s="85" t="str">
        <f ca="1">IFERROR(__xludf.DUMMYFUNCTION("GOOGLETRANSLATE(B2411:B2426,""RU"",""UK"")"),"Втулка перехідна конус 4/1 удл 220мм")</f>
        <v>Втулка перехідна конус 4/1 удл 220мм</v>
      </c>
      <c r="D2411" s="15" t="s">
        <v>6</v>
      </c>
      <c r="E2411" s="15">
        <v>2</v>
      </c>
      <c r="F2411" s="91" t="s">
        <v>24</v>
      </c>
      <c r="G2411" s="4"/>
      <c r="H2411" s="4"/>
      <c r="I2411" s="4"/>
    </row>
    <row r="2412" spans="1:9" ht="15">
      <c r="A2412" s="21">
        <f t="shared" si="44"/>
        <v>7</v>
      </c>
      <c r="B2412" s="14" t="s">
        <v>3300</v>
      </c>
      <c r="C2412" s="85" t="str">
        <f ca="1">IFERROR(__xludf.DUMMYFUNCTION("GOOGLETRANSLATE(B2412:B2427,""RU"",""UK"")"),"Втулка перехідна конус 4/2/4/3")</f>
        <v>Втулка перехідна конус 4/2/4/3</v>
      </c>
      <c r="D2412" s="15" t="s">
        <v>6</v>
      </c>
      <c r="E2412" s="15" t="s">
        <v>3301</v>
      </c>
      <c r="F2412" s="91" t="s">
        <v>20</v>
      </c>
      <c r="G2412" s="4"/>
      <c r="H2412" s="4"/>
      <c r="I2412" s="4"/>
    </row>
    <row r="2413" spans="1:9" ht="15">
      <c r="A2413" s="21">
        <f t="shared" si="44"/>
        <v>8</v>
      </c>
      <c r="B2413" s="14" t="s">
        <v>3302</v>
      </c>
      <c r="C2413" s="85" t="str">
        <f ca="1">IFERROR(__xludf.DUMMYFUNCTION("GOOGLETRANSLATE(B2413:B2428,""RU"",""UK"")"),"Втулка перехідна конус 4/2 удл 220мм / 4/4 удл 200мм")</f>
        <v>Втулка перехідна конус 4/2 удл 220мм / 4/4 удл 200мм</v>
      </c>
      <c r="D2413" s="15" t="s">
        <v>6</v>
      </c>
      <c r="E2413" s="15" t="s">
        <v>793</v>
      </c>
      <c r="F2413" s="91" t="s">
        <v>24</v>
      </c>
      <c r="G2413" s="4"/>
      <c r="H2413" s="4"/>
      <c r="I2413" s="4"/>
    </row>
    <row r="2414" spans="1:9" ht="15">
      <c r="A2414" s="21">
        <f t="shared" si="44"/>
        <v>9</v>
      </c>
      <c r="B2414" s="14" t="s">
        <v>3303</v>
      </c>
      <c r="C2414" s="85" t="str">
        <f ca="1">IFERROR(__xludf.DUMMYFUNCTION("GOOGLETRANSLATE(B2414:B2429,""RU"",""UK"")"),"Втулка перехідна конус 5/1/5/2/5/3")</f>
        <v>Втулка перехідна конус 5/1/5/2/5/3</v>
      </c>
      <c r="D2414" s="15" t="s">
        <v>6</v>
      </c>
      <c r="E2414" s="15" t="s">
        <v>3304</v>
      </c>
      <c r="F2414" s="91" t="s">
        <v>24</v>
      </c>
      <c r="G2414" s="4"/>
      <c r="H2414" s="4"/>
      <c r="I2414" s="4"/>
    </row>
    <row r="2415" spans="1:9" ht="15">
      <c r="A2415" s="21">
        <f t="shared" si="44"/>
        <v>10</v>
      </c>
      <c r="B2415" s="14" t="s">
        <v>3305</v>
      </c>
      <c r="C2415" s="85" t="str">
        <f ca="1">IFERROR(__xludf.DUMMYFUNCTION("GOOGLETRANSLATE(B2415:B2430,""RU"",""UK"")"),"Втулка перехідна конус 5/3 удл.")</f>
        <v>Втулка перехідна конус 5/3 удл.</v>
      </c>
      <c r="D2415" s="15" t="s">
        <v>6</v>
      </c>
      <c r="E2415" s="15">
        <v>1</v>
      </c>
      <c r="F2415" s="91" t="s">
        <v>16</v>
      </c>
      <c r="G2415" s="4"/>
      <c r="H2415" s="4"/>
      <c r="I2415" s="4"/>
    </row>
    <row r="2416" spans="1:9" ht="15">
      <c r="A2416" s="21">
        <f t="shared" si="44"/>
        <v>11</v>
      </c>
      <c r="B2416" s="14" t="s">
        <v>3306</v>
      </c>
      <c r="C2416" s="85" t="str">
        <f ca="1">IFERROR(__xludf.DUMMYFUNCTION("GOOGLETRANSLATE(B2416:B2431,""RU"",""UK"")"),"Втулка перехідна конус 5/4")</f>
        <v>Втулка перехідна конус 5/4</v>
      </c>
      <c r="D2416" s="15" t="s">
        <v>6</v>
      </c>
      <c r="E2416" s="15">
        <v>5</v>
      </c>
      <c r="F2416" s="91" t="s">
        <v>22</v>
      </c>
      <c r="G2416" s="4"/>
      <c r="H2416" s="4"/>
      <c r="I2416" s="4"/>
    </row>
    <row r="2417" spans="1:9" ht="15">
      <c r="A2417" s="21">
        <f t="shared" si="44"/>
        <v>12</v>
      </c>
      <c r="B2417" s="16" t="s">
        <v>3307</v>
      </c>
      <c r="C2417" s="85" t="str">
        <f ca="1">IFERROR(__xludf.DUMMYFUNCTION("GOOGLETRANSLATE(B2417:B2432,""RU"",""UK"")"),"Втулка перехідна конус 5/4удл/6/5")</f>
        <v>Втулка перехідна конус 5/4удл/6/5</v>
      </c>
      <c r="D2417" s="15" t="s">
        <v>6</v>
      </c>
      <c r="E2417" s="15" t="s">
        <v>899</v>
      </c>
      <c r="F2417" s="91" t="s">
        <v>272</v>
      </c>
      <c r="G2417" s="4"/>
      <c r="H2417" s="4"/>
      <c r="I2417" s="4"/>
    </row>
    <row r="2418" spans="1:9" ht="15">
      <c r="A2418" s="21">
        <f t="shared" si="44"/>
        <v>13</v>
      </c>
      <c r="B2418" s="14" t="s">
        <v>3308</v>
      </c>
      <c r="C2418" s="85" t="str">
        <f ca="1">IFERROR(__xludf.DUMMYFUNCTION("GOOGLETRANSLATE(B2418:B2433,""RU"",""UK"")"),"Конус перехідний зовнішній КМ1хВ10")</f>
        <v>Конус перехідний зовнішній КМ1хВ10</v>
      </c>
      <c r="D2418" s="15" t="s">
        <v>6</v>
      </c>
      <c r="E2418" s="15">
        <v>1</v>
      </c>
      <c r="F2418" s="91" t="s">
        <v>119</v>
      </c>
      <c r="G2418" s="4"/>
      <c r="H2418" s="4"/>
      <c r="I2418" s="4"/>
    </row>
    <row r="2419" spans="1:9" ht="15">
      <c r="A2419" s="21">
        <f t="shared" si="44"/>
        <v>14</v>
      </c>
      <c r="B2419" s="14" t="s">
        <v>3309</v>
      </c>
      <c r="C2419" s="85" t="str">
        <f ca="1">IFERROR(__xludf.DUMMYFUNCTION("GOOGLETRANSLATE(B2419:B2434,""RU"",""UK"")"),"Конус перехідний зовнішній КМ1хВ18")</f>
        <v>Конус перехідний зовнішній КМ1хВ18</v>
      </c>
      <c r="D2419" s="15" t="s">
        <v>6</v>
      </c>
      <c r="E2419" s="15">
        <v>1</v>
      </c>
      <c r="F2419" s="91" t="s">
        <v>119</v>
      </c>
      <c r="G2419" s="4"/>
      <c r="H2419" s="4"/>
      <c r="I2419" s="4"/>
    </row>
    <row r="2420" spans="1:9" ht="15">
      <c r="A2420" s="21">
        <f t="shared" si="44"/>
        <v>15</v>
      </c>
      <c r="B2420" s="14" t="s">
        <v>3310</v>
      </c>
      <c r="C2420" s="85" t="str">
        <f ca="1">IFERROR(__xludf.DUMMYFUNCTION("GOOGLETRANSLATE(B2420:B2435,""RU"",""UK"")"),"Конус перехідний зовнішній КМ1хКМ2")</f>
        <v>Конус перехідний зовнішній КМ1хКМ2</v>
      </c>
      <c r="D2420" s="15" t="s">
        <v>6</v>
      </c>
      <c r="E2420" s="15">
        <v>1</v>
      </c>
      <c r="F2420" s="91" t="s">
        <v>119</v>
      </c>
      <c r="G2420" s="4"/>
      <c r="H2420" s="4"/>
      <c r="I2420" s="4"/>
    </row>
    <row r="2421" spans="1:9" ht="15">
      <c r="A2421" s="21">
        <f t="shared" si="44"/>
        <v>16</v>
      </c>
      <c r="B2421" s="14" t="s">
        <v>3311</v>
      </c>
      <c r="C2421" s="85" t="str">
        <f ca="1">IFERROR(__xludf.DUMMYFUNCTION("GOOGLETRANSLATE(B2421:B2436,""RU"",""UK"")"),"Конус перехідний зовнішній КМ2хВ10")</f>
        <v>Конус перехідний зовнішній КМ2хВ10</v>
      </c>
      <c r="D2421" s="15" t="s">
        <v>6</v>
      </c>
      <c r="E2421" s="15">
        <v>6</v>
      </c>
      <c r="F2421" s="91" t="s">
        <v>327</v>
      </c>
      <c r="G2421" s="4"/>
      <c r="H2421" s="4"/>
      <c r="I2421" s="4"/>
    </row>
    <row r="2422" spans="1:9" ht="15">
      <c r="A2422" s="21">
        <f t="shared" si="44"/>
        <v>17</v>
      </c>
      <c r="B2422" s="14" t="s">
        <v>3312</v>
      </c>
      <c r="C2422" s="85" t="str">
        <f ca="1">IFERROR(__xludf.DUMMYFUNCTION("GOOGLETRANSLATE(B2422:B2437,""RU"",""UK"")"),"Конус перехідний зовнішній КМ2хВ18")</f>
        <v>Конус перехідний зовнішній КМ2хВ18</v>
      </c>
      <c r="D2422" s="15" t="s">
        <v>6</v>
      </c>
      <c r="E2422" s="15">
        <v>9</v>
      </c>
      <c r="F2422" s="91" t="s">
        <v>327</v>
      </c>
      <c r="G2422" s="4"/>
      <c r="H2422" s="4"/>
      <c r="I2422" s="4"/>
    </row>
    <row r="2423" spans="1:9" ht="15">
      <c r="A2423" s="21">
        <f t="shared" si="44"/>
        <v>18</v>
      </c>
      <c r="B2423" s="14" t="s">
        <v>3313</v>
      </c>
      <c r="C2423" s="85" t="str">
        <f ca="1">IFERROR(__xludf.DUMMYFUNCTION("GOOGLETRANSLATE(B2423:B2438,""RU"",""UK"")"),"Конус перехідний зовнішній КМ3хВ16")</f>
        <v>Конус перехідний зовнішній КМ3хВ16</v>
      </c>
      <c r="D2423" s="15" t="s">
        <v>6</v>
      </c>
      <c r="E2423" s="15">
        <v>1</v>
      </c>
      <c r="F2423" s="91" t="s">
        <v>327</v>
      </c>
      <c r="G2423" s="4"/>
      <c r="H2423" s="4"/>
      <c r="I2423" s="4"/>
    </row>
    <row r="2424" spans="1:9" ht="15">
      <c r="A2424" s="21">
        <f t="shared" si="44"/>
        <v>19</v>
      </c>
      <c r="B2424" s="14" t="s">
        <v>3314</v>
      </c>
      <c r="C2424" s="85" t="str">
        <f ca="1">IFERROR(__xludf.DUMMYFUNCTION("GOOGLETRANSLATE(B2424:B2439,""RU"",""UK"")"),"Конус перехідний зовнішній КМ3хВ18")</f>
        <v>Конус перехідний зовнішній КМ3хВ18</v>
      </c>
      <c r="D2424" s="15" t="s">
        <v>6</v>
      </c>
      <c r="E2424" s="15">
        <v>1</v>
      </c>
      <c r="F2424" s="91" t="s">
        <v>327</v>
      </c>
      <c r="G2424" s="4"/>
      <c r="H2424" s="4"/>
      <c r="I2424" s="4"/>
    </row>
    <row r="2425" spans="1:9" ht="15">
      <c r="A2425" s="21">
        <f t="shared" si="44"/>
        <v>20</v>
      </c>
      <c r="B2425" s="14" t="s">
        <v>3315</v>
      </c>
      <c r="C2425" s="85" t="str">
        <f ca="1">IFERROR(__xludf.DUMMYFUNCTION("GOOGLETRANSLATE(B2425:B2440,""RU"",""UK"")"),"Конус перехідний зовнішній КМ2хКМ1")</f>
        <v>Конус перехідний зовнішній КМ2хКМ1</v>
      </c>
      <c r="D2425" s="15" t="s">
        <v>6</v>
      </c>
      <c r="E2425" s="17">
        <v>5</v>
      </c>
      <c r="F2425" s="91" t="s">
        <v>327</v>
      </c>
      <c r="G2425" s="4"/>
      <c r="H2425" s="4"/>
      <c r="I2425" s="4"/>
    </row>
    <row r="2426" spans="1:9" ht="15">
      <c r="A2426" s="21">
        <f t="shared" si="44"/>
        <v>21</v>
      </c>
      <c r="B2426" s="14" t="s">
        <v>3316</v>
      </c>
      <c r="C2426" s="85" t="str">
        <f ca="1">IFERROR(__xludf.DUMMYFUNCTION("GOOGLETRANSLATE(B2426:B2441,""RU"",""UK"")"),"Центр наполегливий обертовий КМ2 СРСР")</f>
        <v>Центр наполегливий обертовий КМ2 СРСР</v>
      </c>
      <c r="D2426" s="15" t="s">
        <v>6</v>
      </c>
      <c r="E2426" s="15">
        <v>9</v>
      </c>
      <c r="F2426" s="91" t="s">
        <v>851</v>
      </c>
      <c r="G2426" s="4"/>
      <c r="H2426" s="4"/>
      <c r="I2426" s="4"/>
    </row>
    <row r="2427" spans="1:9" ht="15">
      <c r="A2427" s="21">
        <f t="shared" si="44"/>
        <v>22</v>
      </c>
      <c r="B2427" s="14" t="s">
        <v>3317</v>
      </c>
      <c r="C2427" s="85" t="str">
        <f ca="1">IFERROR(__xludf.DUMMYFUNCTION("GOOGLETRANSLATE(B2427:B2442,""RU"",""UK"")"),"Центр наполегливий, що обертається, КМ3 СРСР.")</f>
        <v>Центр наполегливий, що обертається, КМ3 СРСР.</v>
      </c>
      <c r="D2427" s="15" t="s">
        <v>6</v>
      </c>
      <c r="E2427" s="15">
        <v>47</v>
      </c>
      <c r="F2427" s="91" t="s">
        <v>283</v>
      </c>
      <c r="G2427" s="4"/>
      <c r="H2427" s="4"/>
      <c r="I2427" s="4"/>
    </row>
    <row r="2428" spans="1:9" ht="15">
      <c r="A2428" s="21">
        <f t="shared" si="44"/>
        <v>23</v>
      </c>
      <c r="B2428" s="14" t="s">
        <v>3318</v>
      </c>
      <c r="C2428" s="85" t="str">
        <f ca="1">IFERROR(__xludf.DUMMYFUNCTION("GOOGLETRANSLATE(B2428:B2443,""RU"",""UK"")"),"Центр наполегливий обертовий КМ3 СРСР підвищ. точності")</f>
        <v>Центр наполегливий обертовий КМ3 СРСР підвищ. точності</v>
      </c>
      <c r="D2428" s="15" t="s">
        <v>6</v>
      </c>
      <c r="E2428" s="15">
        <v>1</v>
      </c>
      <c r="F2428" s="91" t="s">
        <v>88</v>
      </c>
      <c r="G2428" s="4"/>
      <c r="H2428" s="4"/>
      <c r="I2428" s="4"/>
    </row>
    <row r="2429" spans="1:9" ht="15">
      <c r="A2429" s="21">
        <f t="shared" si="44"/>
        <v>24</v>
      </c>
      <c r="B2429" s="14" t="s">
        <v>3319</v>
      </c>
      <c r="C2429" s="85" t="str">
        <f ca="1">IFERROR(__xludf.DUMMYFUNCTION("GOOGLETRANSLATE(B2429:B2444,""RU"",""UK"")"),"Центр наполегливий обертовий КМ3 розкочування (труба 15-30мм)")</f>
        <v>Центр наполегливий обертовий КМ3 розкочування (труба 15-30мм)</v>
      </c>
      <c r="D2429" s="15" t="s">
        <v>6</v>
      </c>
      <c r="E2429" s="15">
        <v>1</v>
      </c>
      <c r="F2429" s="91" t="s">
        <v>102</v>
      </c>
      <c r="G2429" s="4"/>
      <c r="H2429" s="4"/>
      <c r="I2429" s="4"/>
    </row>
    <row r="2430" spans="1:9" ht="15">
      <c r="A2430" s="21">
        <f t="shared" si="44"/>
        <v>25</v>
      </c>
      <c r="B2430" s="14" t="s">
        <v>3320</v>
      </c>
      <c r="C2430" s="85" t="str">
        <f ca="1">IFERROR(__xludf.DUMMYFUNCTION("GOOGLETRANSLATE(B2430:B2445,""RU"",""UK"")"),"Центр наполегливий, що обертається, КМ4 СРСР.")</f>
        <v>Центр наполегливий, що обертається, КМ4 СРСР.</v>
      </c>
      <c r="D2430" s="15" t="s">
        <v>6</v>
      </c>
      <c r="E2430" s="15">
        <v>45</v>
      </c>
      <c r="F2430" s="91" t="s">
        <v>231</v>
      </c>
      <c r="G2430" s="4"/>
      <c r="H2430" s="4"/>
      <c r="I2430" s="4"/>
    </row>
    <row r="2431" spans="1:9" ht="15">
      <c r="A2431" s="21">
        <f t="shared" si="44"/>
        <v>26</v>
      </c>
      <c r="B2431" s="14" t="s">
        <v>3321</v>
      </c>
      <c r="C2431" s="85" t="str">
        <f ca="1">IFERROR(__xludf.DUMMYFUNCTION("GOOGLETRANSLATE(B2431:B2446,""RU"",""UK"")"),"Центр наполегливий КМ4 ПНР, що обертається")</f>
        <v>Центр наполегливий КМ4 ПНР, що обертається</v>
      </c>
      <c r="D2431" s="15" t="s">
        <v>6</v>
      </c>
      <c r="E2431" s="15">
        <v>4</v>
      </c>
      <c r="F2431" s="91" t="s">
        <v>80</v>
      </c>
      <c r="G2431" s="4"/>
      <c r="H2431" s="4"/>
      <c r="I2431" s="4"/>
    </row>
    <row r="2432" spans="1:9" ht="15">
      <c r="A2432" s="21">
        <f t="shared" si="44"/>
        <v>27</v>
      </c>
      <c r="B2432" s="14" t="s">
        <v>3322</v>
      </c>
      <c r="C2432" s="85" t="str">
        <f ca="1">IFERROR(__xludf.DUMMYFUNCTION("GOOGLETRANSLATE(B2432:B2447,""RU"",""UK"")"),"Центр наполегливий КМ4, що обертається, посилив. СРСР")</f>
        <v>Центр наполегливий КМ4, що обертається, посилив. СРСР</v>
      </c>
      <c r="D2432" s="15" t="s">
        <v>6</v>
      </c>
      <c r="E2432" s="15">
        <v>38</v>
      </c>
      <c r="F2432" s="91" t="s">
        <v>80</v>
      </c>
      <c r="G2432" s="4"/>
      <c r="H2432" s="4"/>
      <c r="I2432" s="4"/>
    </row>
    <row r="2433" spans="1:9" ht="15">
      <c r="A2433" s="21">
        <f t="shared" si="44"/>
        <v>28</v>
      </c>
      <c r="B2433" s="14" t="s">
        <v>3323</v>
      </c>
      <c r="C2433" s="85" t="str">
        <f ca="1">IFERROR(__xludf.DUMMYFUNCTION("GOOGLETRANSLATE(B2433:B2448,""RU"",""UK"")"),"Центр наполегливий обертовий КМ4 d70-140ми грибковий")</f>
        <v>Центр наполегливий обертовий КМ4 d70-140ми грибковий</v>
      </c>
      <c r="D2433" s="15" t="s">
        <v>6</v>
      </c>
      <c r="E2433" s="15">
        <v>1</v>
      </c>
      <c r="F2433" s="91" t="s">
        <v>629</v>
      </c>
      <c r="G2433" s="4"/>
      <c r="H2433" s="4"/>
      <c r="I2433" s="4"/>
    </row>
    <row r="2434" spans="1:9" ht="15">
      <c r="A2434" s="21">
        <f t="shared" si="44"/>
        <v>29</v>
      </c>
      <c r="B2434" s="45" t="s">
        <v>3324</v>
      </c>
      <c r="C2434" s="85" t="str">
        <f ca="1">IFERROR(__xludf.DUMMYFUNCTION("GOOGLETRANSLATE(B2434:B2449,""RU"",""UK"")"),"Центр наполегливий обертовий КМ5 СРСР")</f>
        <v>Центр наполегливий обертовий КМ5 СРСР</v>
      </c>
      <c r="D2434" s="17" t="s">
        <v>6</v>
      </c>
      <c r="E2434" s="17">
        <v>25</v>
      </c>
      <c r="F2434" s="92" t="s">
        <v>3325</v>
      </c>
      <c r="G2434" s="4"/>
      <c r="H2434" s="4"/>
      <c r="I2434" s="4"/>
    </row>
    <row r="2435" spans="1:9" ht="15">
      <c r="A2435" s="21">
        <f t="shared" si="44"/>
        <v>30</v>
      </c>
      <c r="B2435" s="16" t="s">
        <v>3326</v>
      </c>
      <c r="C2435" s="85" t="str">
        <f ca="1">IFERROR(__xludf.DUMMYFUNCTION("GOOGLETRANSLATE(B2435:B2450,""RU"",""UK"")"),"Центр наполегливий обертовий КМ5 подовжений (65мм) легке бу")</f>
        <v>Центр наполегливий обертовий КМ5 подовжений (65мм) легке бу</v>
      </c>
      <c r="D2435" s="17" t="s">
        <v>6</v>
      </c>
      <c r="E2435" s="17">
        <v>1</v>
      </c>
      <c r="F2435" s="92" t="s">
        <v>75</v>
      </c>
      <c r="G2435" s="4"/>
      <c r="H2435" s="4"/>
      <c r="I2435" s="4"/>
    </row>
    <row r="2436" spans="1:9" ht="15">
      <c r="A2436" s="21">
        <f t="shared" si="44"/>
        <v>31</v>
      </c>
      <c r="B2436" s="19" t="s">
        <v>3327</v>
      </c>
      <c r="C2436" s="85" t="str">
        <f ca="1">IFERROR(__xludf.DUMMYFUNCTION("GOOGLETRANSLATE(B2436:B2451,""RU"",""UK"")"),"Центр наполегливий КМ5, що обертається Посил. СРСР")</f>
        <v>Центр наполегливий КМ5, що обертається Посил. СРСР</v>
      </c>
      <c r="D2436" s="15" t="s">
        <v>6</v>
      </c>
      <c r="E2436" s="15">
        <v>2</v>
      </c>
      <c r="F2436" s="91" t="s">
        <v>73</v>
      </c>
      <c r="G2436" s="4"/>
      <c r="H2436" s="4"/>
      <c r="I2436" s="4"/>
    </row>
    <row r="2437" spans="1:9" ht="15">
      <c r="A2437" s="21">
        <f t="shared" si="44"/>
        <v>32</v>
      </c>
      <c r="B2437" s="16" t="s">
        <v>3328</v>
      </c>
      <c r="C2437" s="85" t="str">
        <f ca="1">IFERROR(__xludf.DUMMYFUNCTION("GOOGLETRANSLATE(B2437:B2452,""RU"",""UK"")"),"Центр наполегливий КМ5, що обертається Посил. СРСР б/у")</f>
        <v>Центр наполегливий КМ5, що обертається Посил. СРСР б/у</v>
      </c>
      <c r="D2437" s="15" t="s">
        <v>6</v>
      </c>
      <c r="E2437" s="15">
        <v>2</v>
      </c>
      <c r="F2437" s="91" t="s">
        <v>1113</v>
      </c>
      <c r="G2437" s="4"/>
      <c r="H2437" s="4"/>
      <c r="I2437" s="4"/>
    </row>
    <row r="2438" spans="1:9" ht="15">
      <c r="A2438" s="21">
        <f t="shared" si="44"/>
        <v>33</v>
      </c>
      <c r="B2438" s="16" t="s">
        <v>3329</v>
      </c>
      <c r="C2438" s="85" t="str">
        <f ca="1">IFERROR(__xludf.DUMMYFUNCTION("GOOGLETRANSLATE(B2438:B2453,""RU"",""UK"")"),"Центр наполегливий обертовий КМ5 d20-90мм грибковий")</f>
        <v>Центр наполегливий обертовий КМ5 d20-90мм грибковий</v>
      </c>
      <c r="D2438" s="17" t="s">
        <v>6</v>
      </c>
      <c r="E2438" s="17">
        <v>1</v>
      </c>
      <c r="F2438" s="92" t="s">
        <v>38</v>
      </c>
      <c r="G2438" s="4"/>
      <c r="H2438" s="4"/>
      <c r="I2438" s="4"/>
    </row>
    <row r="2439" spans="1:9" ht="15">
      <c r="A2439" s="21">
        <f t="shared" si="44"/>
        <v>34</v>
      </c>
      <c r="B2439" s="19" t="s">
        <v>3330</v>
      </c>
      <c r="C2439" s="85" t="str">
        <f ca="1">IFERROR(__xludf.DUMMYFUNCTION("GOOGLETRANSLATE(B2439:B2454,""RU"",""UK"")"),"Центр наполегливий обертовий КМ5 d20-90мм грибковий легкий б/у")</f>
        <v>Центр наполегливий обертовий КМ5 d20-90мм грибковий легкий б/у</v>
      </c>
      <c r="D2439" s="17" t="s">
        <v>6</v>
      </c>
      <c r="E2439" s="17">
        <v>0</v>
      </c>
      <c r="F2439" s="92" t="s">
        <v>1901</v>
      </c>
      <c r="G2439" s="4"/>
      <c r="H2439" s="4"/>
      <c r="I2439" s="4"/>
    </row>
    <row r="2440" spans="1:9" ht="15">
      <c r="A2440" s="21">
        <f t="shared" si="44"/>
        <v>35</v>
      </c>
      <c r="B2440" s="16" t="s">
        <v>3331</v>
      </c>
      <c r="C2440" s="85" t="str">
        <f ca="1">IFERROR(__xludf.DUMMYFUNCTION("GOOGLETRANSLATE(B2440:B2455,""RU"",""UK"")"),"Центр наполегливий обертовий КМ5 d40-65мм грибковий легкий б/у")</f>
        <v>Центр наполегливий обертовий КМ5 d40-65мм грибковий легкий б/у</v>
      </c>
      <c r="D2440" s="17" t="s">
        <v>6</v>
      </c>
      <c r="E2440" s="17">
        <v>1</v>
      </c>
      <c r="F2440" s="92" t="s">
        <v>1901</v>
      </c>
      <c r="G2440" s="4"/>
      <c r="H2440" s="4"/>
      <c r="I2440" s="4"/>
    </row>
    <row r="2441" spans="1:9" ht="15">
      <c r="A2441" s="21">
        <f t="shared" si="44"/>
        <v>36</v>
      </c>
      <c r="B2441" s="14" t="s">
        <v>3332</v>
      </c>
      <c r="C2441" s="85" t="str">
        <f ca="1">IFERROR(__xludf.DUMMYFUNCTION("GOOGLETRANSLATE(B2441:B2456,""RU"",""UK"")"),"Центр наполегливий обертовий КМ5 d40-95мм грибковий легкий б/у")</f>
        <v>Центр наполегливий обертовий КМ5 d40-95мм грибковий легкий б/у</v>
      </c>
      <c r="D2441" s="15" t="s">
        <v>6</v>
      </c>
      <c r="E2441" s="15">
        <v>0</v>
      </c>
      <c r="F2441" s="91" t="s">
        <v>3333</v>
      </c>
      <c r="G2441" s="4"/>
      <c r="H2441" s="4"/>
      <c r="I2441" s="4"/>
    </row>
    <row r="2442" spans="1:9" ht="15">
      <c r="A2442" s="21">
        <f t="shared" si="44"/>
        <v>37</v>
      </c>
      <c r="B2442" s="14" t="s">
        <v>3334</v>
      </c>
      <c r="C2442" s="85" t="str">
        <f ca="1">IFERROR(__xludf.DUMMYFUNCTION("GOOGLETRANSLATE(B2442:B2457,""RU"",""UK"")"),"Центр наполегливий обертовий КМ5 d50-105мм грибковий")</f>
        <v>Центр наполегливий обертовий КМ5 d50-105мм грибковий</v>
      </c>
      <c r="D2442" s="15" t="s">
        <v>6</v>
      </c>
      <c r="E2442" s="15">
        <v>1</v>
      </c>
      <c r="F2442" s="91" t="s">
        <v>10</v>
      </c>
      <c r="G2442" s="4"/>
      <c r="H2442" s="4"/>
      <c r="I2442" s="4"/>
    </row>
    <row r="2443" spans="1:9" ht="15">
      <c r="A2443" s="21">
        <f t="shared" si="44"/>
        <v>38</v>
      </c>
      <c r="B2443" s="14" t="s">
        <v>3335</v>
      </c>
      <c r="C2443" s="85" t="str">
        <f ca="1">IFERROR(__xludf.DUMMYFUNCTION("GOOGLETRANSLATE(B2443:B2458,""RU"",""UK"")"),"Центр наполегливий обертовий КМ5 d80-95мм грибковий б/у")</f>
        <v>Центр наполегливий обертовий КМ5 d80-95мм грибковий б/у</v>
      </c>
      <c r="D2443" s="15" t="s">
        <v>6</v>
      </c>
      <c r="E2443" s="15">
        <v>1</v>
      </c>
      <c r="F2443" s="91" t="s">
        <v>71</v>
      </c>
      <c r="G2443" s="4"/>
      <c r="H2443" s="4"/>
      <c r="I2443" s="4"/>
    </row>
    <row r="2444" spans="1:9" ht="15">
      <c r="A2444" s="21">
        <f t="shared" si="44"/>
        <v>39</v>
      </c>
      <c r="B2444" s="14" t="s">
        <v>3336</v>
      </c>
      <c r="C2444" s="85" t="str">
        <f ca="1">IFERROR(__xludf.DUMMYFUNCTION("GOOGLETRANSLATE(B2444:B2459,""RU"",""UK"")"),"Центр наполегливий обертовий КМ5 розкочування (труба 30-40мм)")</f>
        <v>Центр наполегливий обертовий КМ5 розкочування (труба 30-40мм)</v>
      </c>
      <c r="D2444" s="15" t="s">
        <v>6</v>
      </c>
      <c r="E2444" s="15">
        <v>1</v>
      </c>
      <c r="F2444" s="91" t="s">
        <v>1901</v>
      </c>
      <c r="G2444" s="4"/>
      <c r="H2444" s="4"/>
      <c r="I2444" s="4"/>
    </row>
    <row r="2445" spans="1:9" ht="15">
      <c r="A2445" s="21">
        <f t="shared" si="44"/>
        <v>40</v>
      </c>
      <c r="B2445" s="14" t="s">
        <v>3337</v>
      </c>
      <c r="C2445" s="85" t="str">
        <f ca="1">IFERROR(__xludf.DUMMYFUNCTION("GOOGLETRANSLATE(B2445:B2460,""RU"",""UK"")"),"Центр наполегливий повідковий КМ5, що обертається.")</f>
        <v>Центр наполегливий повідковий КМ5, що обертається.</v>
      </c>
      <c r="D2445" s="15" t="s">
        <v>6</v>
      </c>
      <c r="E2445" s="15">
        <v>1</v>
      </c>
      <c r="F2445" s="91" t="s">
        <v>71</v>
      </c>
      <c r="G2445" s="4"/>
      <c r="H2445" s="4"/>
      <c r="I2445" s="4"/>
    </row>
    <row r="2446" spans="1:9" ht="15">
      <c r="A2446" s="21">
        <f t="shared" si="44"/>
        <v>41</v>
      </c>
      <c r="B2446" s="14" t="s">
        <v>3338</v>
      </c>
      <c r="C2446" s="85" t="str">
        <f ca="1">IFERROR(__xludf.DUMMYFUNCTION("GOOGLETRANSLATE(B2446:B2461,""RU"",""UK"")"),"Центр наполегливий обертовий потопаючий КМ5 б/у")</f>
        <v>Центр наполегливий обертовий потопаючий КМ5 б/у</v>
      </c>
      <c r="D2446" s="15" t="s">
        <v>6</v>
      </c>
      <c r="E2446" s="15">
        <v>2</v>
      </c>
      <c r="F2446" s="91" t="s">
        <v>80</v>
      </c>
      <c r="G2446" s="4"/>
      <c r="H2446" s="4"/>
      <c r="I2446" s="4"/>
    </row>
    <row r="2447" spans="1:9" ht="15">
      <c r="A2447" s="21">
        <f t="shared" si="44"/>
        <v>42</v>
      </c>
      <c r="B2447" s="14" t="s">
        <v>3339</v>
      </c>
      <c r="C2447" s="85" t="str">
        <f ca="1">IFERROR(__xludf.DUMMYFUNCTION("GOOGLETRANSLATE(B2447:B2462,""RU"",""UK"")"),"б/в Центр наполегливий обертовий КМ5")</f>
        <v>б/в Центр наполегливий обертовий КМ5</v>
      </c>
      <c r="D2447" s="15" t="s">
        <v>6</v>
      </c>
      <c r="E2447" s="15">
        <v>4</v>
      </c>
      <c r="F2447" s="91" t="s">
        <v>231</v>
      </c>
      <c r="G2447" s="4"/>
      <c r="H2447" s="4"/>
      <c r="I2447" s="4"/>
    </row>
    <row r="2448" spans="1:9" ht="15">
      <c r="A2448" s="21">
        <f t="shared" si="44"/>
        <v>43</v>
      </c>
      <c r="B2448" s="14" t="s">
        <v>3340</v>
      </c>
      <c r="C2448" s="85" t="str">
        <f ca="1">IFERROR(__xludf.DUMMYFUNCTION("GOOGLETRANSLATE(B2448:B2463,""RU"",""UK"")"),"Центр наполегливий, що обертається, КМ6 СРСР.")</f>
        <v>Центр наполегливий, що обертається, КМ6 СРСР.</v>
      </c>
      <c r="D2448" s="15" t="s">
        <v>6</v>
      </c>
      <c r="E2448" s="15">
        <v>8</v>
      </c>
      <c r="F2448" s="91" t="s">
        <v>73</v>
      </c>
      <c r="G2448" s="4"/>
      <c r="H2448" s="4"/>
      <c r="I2448" s="4"/>
    </row>
    <row r="2449" spans="1:9" ht="15">
      <c r="A2449" s="21">
        <f t="shared" si="44"/>
        <v>44</v>
      </c>
      <c r="B2449" s="14" t="s">
        <v>3341</v>
      </c>
      <c r="C2449" s="85" t="str">
        <f ca="1">IFERROR(__xludf.DUMMYFUNCTION("GOOGLETRANSLATE(B2449:B2464,""RU"",""UK"")"),"Центр наполегливий, що обертається КМ6 ПНР")</f>
        <v>Центр наполегливий, що обертається КМ6 ПНР</v>
      </c>
      <c r="D2449" s="15" t="s">
        <v>6</v>
      </c>
      <c r="E2449" s="15">
        <v>2</v>
      </c>
      <c r="F2449" s="91" t="s">
        <v>914</v>
      </c>
      <c r="G2449" s="4"/>
      <c r="H2449" s="4"/>
      <c r="I2449" s="4"/>
    </row>
    <row r="2450" spans="1:9" ht="15">
      <c r="A2450" s="21">
        <f t="shared" si="44"/>
        <v>45</v>
      </c>
      <c r="B2450" s="14" t="s">
        <v>3342</v>
      </c>
      <c r="C2450" s="85" t="str">
        <f ca="1">IFERROR(__xludf.DUMMYFUNCTION("GOOGLETRANSLATE(B2450:B2465,""RU"",""UK"")"),"Центр наполегливий глухий №0 / №0 гол. обр. /№1")</f>
        <v>Центр наполегливий глухий №0 / №0 гол. обр. /№1</v>
      </c>
      <c r="D2450" s="15" t="s">
        <v>6</v>
      </c>
      <c r="E2450" s="15" t="s">
        <v>2743</v>
      </c>
      <c r="F2450" s="91" t="s">
        <v>119</v>
      </c>
      <c r="G2450" s="4"/>
      <c r="H2450" s="4"/>
      <c r="I2450" s="4"/>
    </row>
    <row r="2451" spans="1:9" ht="15">
      <c r="A2451" s="21">
        <f t="shared" si="44"/>
        <v>46</v>
      </c>
      <c r="B2451" s="14" t="s">
        <v>3343</v>
      </c>
      <c r="C2451" s="85" t="str">
        <f ca="1">IFERROR(__xludf.DUMMYFUNCTION("GOOGLETRANSLATE(B2451:B2466,""RU"",""UK"")"),"Центр наполегливий глухий №2")</f>
        <v>Центр наполегливий глухий №2</v>
      </c>
      <c r="D2451" s="15" t="s">
        <v>6</v>
      </c>
      <c r="E2451" s="15">
        <v>11</v>
      </c>
      <c r="F2451" s="91" t="s">
        <v>222</v>
      </c>
      <c r="G2451" s="4"/>
      <c r="H2451" s="4"/>
      <c r="I2451" s="4"/>
    </row>
    <row r="2452" spans="1:9" ht="15">
      <c r="A2452" s="21">
        <f t="shared" si="44"/>
        <v>47</v>
      </c>
      <c r="B2452" s="14" t="s">
        <v>3344</v>
      </c>
      <c r="C2452" s="85" t="str">
        <f ca="1">IFERROR(__xludf.DUMMYFUNCTION("GOOGLETRANSLATE(B2452:B2467,""RU"",""UK"")"),"Центр наполегливий глухий грибковий №2")</f>
        <v>Центр наполегливий глухий грибковий №2</v>
      </c>
      <c r="D2452" s="15" t="s">
        <v>6</v>
      </c>
      <c r="E2452" s="15">
        <v>1</v>
      </c>
      <c r="F2452" s="91" t="s">
        <v>663</v>
      </c>
      <c r="G2452" s="4"/>
      <c r="H2452" s="4"/>
      <c r="I2452" s="4"/>
    </row>
    <row r="2453" spans="1:9" ht="15">
      <c r="A2453" s="21">
        <f t="shared" si="44"/>
        <v>48</v>
      </c>
      <c r="B2453" s="14" t="s">
        <v>3345</v>
      </c>
      <c r="C2453" s="85" t="str">
        <f ca="1">IFERROR(__xludf.DUMMYFUNCTION("GOOGLETRANSLATE(B2453:B2468,""RU"",""UK"")"),"Центр наполегливий глухий рифл. №2 (45х80мм)")</f>
        <v>Центр наполегливий глухий рифл. №2 (45х80мм)</v>
      </c>
      <c r="D2453" s="15" t="s">
        <v>6</v>
      </c>
      <c r="E2453" s="15">
        <v>1</v>
      </c>
      <c r="F2453" s="91" t="s">
        <v>106</v>
      </c>
      <c r="G2453" s="4"/>
      <c r="H2453" s="4"/>
      <c r="I2453" s="4"/>
    </row>
    <row r="2454" spans="1:9" ht="15">
      <c r="A2454" s="21">
        <f t="shared" si="44"/>
        <v>49</v>
      </c>
      <c r="B2454" s="14" t="s">
        <v>3346</v>
      </c>
      <c r="C2454" s="85" t="str">
        <f ca="1">IFERROR(__xludf.DUMMYFUNCTION("GOOGLETRANSLATE(B2454:B2469,""RU"",""UK"")"),"Центр наполегливий глухий №3")</f>
        <v>Центр наполегливий глухий №3</v>
      </c>
      <c r="D2454" s="15" t="s">
        <v>6</v>
      </c>
      <c r="E2454" s="15">
        <v>36</v>
      </c>
      <c r="F2454" s="91" t="s">
        <v>140</v>
      </c>
      <c r="G2454" s="4"/>
      <c r="H2454" s="4"/>
      <c r="I2454" s="4"/>
    </row>
    <row r="2455" spans="1:9" ht="15">
      <c r="A2455" s="21">
        <f t="shared" si="44"/>
        <v>50</v>
      </c>
      <c r="B2455" s="14" t="s">
        <v>3347</v>
      </c>
      <c r="C2455" s="85" t="str">
        <f ca="1">IFERROR(__xludf.DUMMYFUNCTION("GOOGLETRANSLATE(B2455:B2470,""RU"",""UK"")"),"Центр наполегливий глухий №3 т/с")</f>
        <v>Центр наполегливий глухий №3 т/с</v>
      </c>
      <c r="D2455" s="15" t="s">
        <v>6</v>
      </c>
      <c r="E2455" s="15">
        <v>5</v>
      </c>
      <c r="F2455" s="91" t="s">
        <v>20</v>
      </c>
      <c r="G2455" s="4"/>
      <c r="H2455" s="4"/>
      <c r="I2455" s="4"/>
    </row>
    <row r="2456" spans="1:9" ht="15">
      <c r="A2456" s="21">
        <f t="shared" si="44"/>
        <v>51</v>
      </c>
      <c r="B2456" s="14" t="s">
        <v>3348</v>
      </c>
      <c r="C2456" s="85" t="str">
        <f ca="1">IFERROR(__xludf.DUMMYFUNCTION("GOOGLETRANSLATE(B2456:B2471,""RU"",""UK"")"),"Центр наполегливий глухий рифл. №3 зворотний")</f>
        <v>Центр наполегливий глухий рифл. №3 зворотний</v>
      </c>
      <c r="D2456" s="15" t="s">
        <v>6</v>
      </c>
      <c r="E2456" s="15">
        <v>1</v>
      </c>
      <c r="F2456" s="91" t="s">
        <v>20</v>
      </c>
      <c r="G2456" s="4"/>
      <c r="H2456" s="4"/>
      <c r="I2456" s="4"/>
    </row>
    <row r="2457" spans="1:9" ht="15">
      <c r="A2457" s="21">
        <f t="shared" si="44"/>
        <v>52</v>
      </c>
      <c r="B2457" s="14" t="s">
        <v>3349</v>
      </c>
      <c r="C2457" s="85" t="str">
        <f ca="1">IFERROR(__xludf.DUMMYFUNCTION("GOOGLETRANSLATE(B2457:B2472,""RU"",""UK"")"),"Центр наполегливий глухий для центрошукача №3 (2шт)")</f>
        <v>Центр наполегливий глухий для центрошукача №3 (2шт)</v>
      </c>
      <c r="D2457" s="15" t="s">
        <v>1031</v>
      </c>
      <c r="E2457" s="15">
        <v>1</v>
      </c>
      <c r="F2457" s="91" t="s">
        <v>102</v>
      </c>
      <c r="G2457" s="4"/>
      <c r="H2457" s="4"/>
      <c r="I2457" s="4"/>
    </row>
    <row r="2458" spans="1:9" ht="15">
      <c r="A2458" s="21">
        <f t="shared" si="44"/>
        <v>53</v>
      </c>
      <c r="B2458" s="14" t="s">
        <v>3350</v>
      </c>
      <c r="C2458" s="85" t="str">
        <f ca="1">IFERROR(__xludf.DUMMYFUNCTION("GOOGLETRANSLATE(B2458:B2473,""RU"",""UK"")"),"Центр наполегливий глухий №4")</f>
        <v>Центр наполегливий глухий №4</v>
      </c>
      <c r="D2458" s="15" t="s">
        <v>6</v>
      </c>
      <c r="E2458" s="15">
        <v>20</v>
      </c>
      <c r="F2458" s="91" t="s">
        <v>159</v>
      </c>
      <c r="G2458" s="4"/>
      <c r="H2458" s="4"/>
      <c r="I2458" s="4"/>
    </row>
    <row r="2459" spans="1:9" ht="15">
      <c r="A2459" s="21">
        <f t="shared" si="44"/>
        <v>54</v>
      </c>
      <c r="B2459" s="14" t="s">
        <v>3351</v>
      </c>
      <c r="C2459" s="85" t="str">
        <f ca="1">IFERROR(__xludf.DUMMYFUNCTION("GOOGLETRANSLATE(B2459:B2474,""RU"",""UK"")"),"Центр наполегливий глухий №4т/с")</f>
        <v>Центр наполегливий глухий №4т/с</v>
      </c>
      <c r="D2459" s="15" t="s">
        <v>6</v>
      </c>
      <c r="E2459" s="15">
        <v>12</v>
      </c>
      <c r="F2459" s="91" t="s">
        <v>106</v>
      </c>
      <c r="G2459" s="4"/>
      <c r="H2459" s="4"/>
      <c r="I2459" s="4"/>
    </row>
    <row r="2460" spans="1:9" ht="15">
      <c r="A2460" s="21">
        <f t="shared" si="44"/>
        <v>55</v>
      </c>
      <c r="B2460" s="14" t="s">
        <v>3352</v>
      </c>
      <c r="C2460" s="85" t="str">
        <f ca="1">IFERROR(__xludf.DUMMYFUNCTION("GOOGLETRANSLATE(B2460:B2475,""RU"",""UK"")"),"Центр наполегливий глухий №5")</f>
        <v>Центр наполегливий глухий №5</v>
      </c>
      <c r="D2460" s="15" t="s">
        <v>6</v>
      </c>
      <c r="E2460" s="15">
        <v>62</v>
      </c>
      <c r="F2460" s="91" t="s">
        <v>106</v>
      </c>
      <c r="G2460" s="4"/>
      <c r="H2460" s="4"/>
      <c r="I2460" s="4"/>
    </row>
    <row r="2461" spans="1:9" ht="15">
      <c r="A2461" s="21">
        <f t="shared" si="44"/>
        <v>56</v>
      </c>
      <c r="B2461" s="14" t="s">
        <v>3353</v>
      </c>
      <c r="C2461" s="85" t="str">
        <f ca="1">IFERROR(__xludf.DUMMYFUNCTION("GOOGLETRANSLATE(B2461:B2476,""RU"",""UK"")"),"Центр наполегливий глухий №5т/с")</f>
        <v>Центр наполегливий глухий №5т/с</v>
      </c>
      <c r="D2461" s="15" t="s">
        <v>6</v>
      </c>
      <c r="E2461" s="15">
        <v>10</v>
      </c>
      <c r="F2461" s="91" t="s">
        <v>272</v>
      </c>
      <c r="G2461" s="4"/>
      <c r="H2461" s="4"/>
      <c r="I2461" s="4"/>
    </row>
    <row r="2462" spans="1:9" ht="15">
      <c r="A2462" s="21">
        <f t="shared" si="44"/>
        <v>57</v>
      </c>
      <c r="B2462" s="14" t="s">
        <v>3354</v>
      </c>
      <c r="C2462" s="85" t="str">
        <f ca="1">IFERROR(__xludf.DUMMYFUNCTION("GOOGLETRANSLATE(B2462:B2477,""RU"",""UK"")"),"Центр наполегливий глухий №6")</f>
        <v>Центр наполегливий глухий №6</v>
      </c>
      <c r="D2462" s="15" t="s">
        <v>6</v>
      </c>
      <c r="E2462" s="15">
        <v>7</v>
      </c>
      <c r="F2462" s="91" t="s">
        <v>102</v>
      </c>
      <c r="G2462" s="4"/>
      <c r="H2462" s="4"/>
      <c r="I2462" s="4"/>
    </row>
    <row r="2463" spans="1:9" ht="15">
      <c r="A2463" s="21">
        <f t="shared" si="44"/>
        <v>58</v>
      </c>
      <c r="B2463" s="14" t="s">
        <v>3355</v>
      </c>
      <c r="C2463" s="85" t="str">
        <f ca="1">IFERROR(__xludf.DUMMYFUNCTION("GOOGLETRANSLATE(B2463:B2478,""RU"",""UK"")"),"Центр наполегливий глухий №6 рж.")</f>
        <v>Центр наполегливий глухий №6 рж.</v>
      </c>
      <c r="D2463" s="15" t="s">
        <v>6</v>
      </c>
      <c r="E2463" s="15">
        <v>1</v>
      </c>
      <c r="F2463" s="91" t="s">
        <v>272</v>
      </c>
      <c r="G2463" s="4"/>
      <c r="H2463" s="4"/>
      <c r="I2463" s="4"/>
    </row>
    <row r="2464" spans="1:9" ht="15">
      <c r="A2464" s="21">
        <f t="shared" si="44"/>
        <v>59</v>
      </c>
      <c r="B2464" s="16" t="s">
        <v>3356</v>
      </c>
      <c r="C2464" s="85" t="str">
        <f ca="1">IFERROR(__xludf.DUMMYFUNCTION("GOOGLETRANSLATE(B2464:B2479,""RU"",""UK"")"),"Оправлення для вирізування у металі круглих дисків, канавок, шайб. d50-280мм КМ3")</f>
        <v>Оправлення для вирізування у металі круглих дисків, канавок, шайб. d50-280мм КМ3</v>
      </c>
      <c r="D2464" s="15" t="s">
        <v>6</v>
      </c>
      <c r="E2464" s="15">
        <v>3</v>
      </c>
      <c r="F2464" s="91" t="s">
        <v>63</v>
      </c>
      <c r="G2464" s="4"/>
      <c r="H2464" s="4"/>
      <c r="I2464" s="4"/>
    </row>
    <row r="2465" spans="1:9" ht="15">
      <c r="A2465" s="21">
        <f t="shared" si="44"/>
        <v>60</v>
      </c>
      <c r="B2465" s="70" t="s">
        <v>3357</v>
      </c>
      <c r="C2465" s="85" t="str">
        <f ca="1">IFERROR(__xludf.DUMMYFUNCTION("GOOGLETRANSLATE(B2465:B2480,""RU"",""UK"")"),"Розточувальна оправка з мікроподачею різця 0,001мм КМ5 L130мм 70-95мм(10 різців)")</f>
        <v>Розточувальна оправка з мікроподачею різця 0,001мм КМ5 L130мм 70-95мм(10 різців)</v>
      </c>
      <c r="D2465" s="60" t="s">
        <v>1031</v>
      </c>
      <c r="E2465" s="60">
        <v>1</v>
      </c>
      <c r="F2465" s="103" t="s">
        <v>84</v>
      </c>
      <c r="G2465" s="4"/>
      <c r="H2465" s="4"/>
      <c r="I2465" s="4"/>
    </row>
    <row r="2466" spans="1:9" ht="15">
      <c r="A2466" s="21">
        <f t="shared" si="44"/>
        <v>61</v>
      </c>
      <c r="B2466" s="45" t="s">
        <v>3358</v>
      </c>
      <c r="C2466" s="85" t="str">
        <f ca="1">IFERROR(__xludf.DUMMYFUNCTION("GOOGLETRANSLATE(B2466:B2481,""RU"",""UK"")"),"Розточувальна оправка з мікроподачею різця 0,001мм КМ5 L220 d70-100мм")</f>
        <v>Розточувальна оправка з мікроподачею різця 0,001мм КМ5 L220 d70-100мм</v>
      </c>
      <c r="D2466" s="60" t="s">
        <v>6</v>
      </c>
      <c r="E2466" s="60">
        <v>1</v>
      </c>
      <c r="F2466" s="103" t="s">
        <v>3359</v>
      </c>
      <c r="G2466" s="4"/>
      <c r="H2466" s="4"/>
      <c r="I2466" s="4"/>
    </row>
    <row r="2467" spans="1:9" ht="15">
      <c r="A2467" s="21">
        <f t="shared" si="44"/>
        <v>62</v>
      </c>
      <c r="B2467" s="45" t="s">
        <v>3360</v>
      </c>
      <c r="C2467" s="85" t="str">
        <f ca="1">IFERROR(__xludf.DUMMYFUNCTION("GOOGLETRANSLATE(B2467:B2482,""RU"",""UK"")"),"Розточувальна оправка з мікроподачею різця 0,001мм КМ5 L140 d90-130мм")</f>
        <v>Розточувальна оправка з мікроподачею різця 0,001мм КМ5 L140 d90-130мм</v>
      </c>
      <c r="D2467" s="60" t="s">
        <v>6</v>
      </c>
      <c r="E2467" s="60">
        <v>1</v>
      </c>
      <c r="F2467" s="103" t="s">
        <v>3359</v>
      </c>
      <c r="G2467" s="4"/>
      <c r="H2467" s="4"/>
      <c r="I2467" s="4"/>
    </row>
    <row r="2468" spans="1:9" ht="15">
      <c r="A2468" s="21">
        <f t="shared" si="44"/>
        <v>63</v>
      </c>
      <c r="B2468" s="70" t="s">
        <v>3361</v>
      </c>
      <c r="C2468" s="85" t="str">
        <f ca="1">IFERROR(__xludf.DUMMYFUNCTION("GOOGLETRANSLATE(B2468:B2483,""RU"",""UK"")"),"Розточувальна оправка з мікроподачею різця 0,001мм КМ5 d120-145 (8 різців Т30К4)")</f>
        <v>Розточувальна оправка з мікроподачею різця 0,001мм КМ5 d120-145 (8 різців Т30К4)</v>
      </c>
      <c r="D2468" s="60" t="s">
        <v>1031</v>
      </c>
      <c r="E2468" s="60">
        <v>2</v>
      </c>
      <c r="F2468" s="103" t="s">
        <v>84</v>
      </c>
      <c r="G2468" s="4"/>
      <c r="H2468" s="4"/>
      <c r="I2468" s="4"/>
    </row>
    <row r="2469" spans="1:9" ht="15">
      <c r="A2469" s="21">
        <f t="shared" si="44"/>
        <v>64</v>
      </c>
      <c r="B2469" s="45" t="s">
        <v>3362</v>
      </c>
      <c r="C2469" s="85" t="str">
        <f ca="1">IFERROR(__xludf.DUMMYFUNCTION("GOOGLETRANSLATE(B2469:B2484,""RU"",""UK"")"),"Розточувальна оправка з мікроподачею різця 0,01мм КМ4 d10-45")</f>
        <v>Розточувальна оправка з мікроподачею різця 0,01мм КМ4 d10-45</v>
      </c>
      <c r="D2469" s="60" t="s">
        <v>6</v>
      </c>
      <c r="E2469" s="60">
        <v>1</v>
      </c>
      <c r="F2469" s="103" t="s">
        <v>10</v>
      </c>
      <c r="G2469" s="4"/>
      <c r="H2469" s="4"/>
      <c r="I2469" s="4"/>
    </row>
    <row r="2470" spans="1:9" ht="15">
      <c r="A2470" s="21">
        <f t="shared" si="44"/>
        <v>65</v>
      </c>
      <c r="B2470" s="45" t="s">
        <v>3363</v>
      </c>
      <c r="C2470" s="85" t="str">
        <f ca="1">IFERROR(__xludf.DUMMYFUNCTION("GOOGLETRANSLATE(B2470:B2485,""RU"",""UK"")"),"Розточувальна оправка з мікроподачею різця КМ4 d45-65 L120")</f>
        <v>Розточувальна оправка з мікроподачею різця КМ4 d45-65 L120</v>
      </c>
      <c r="D2470" s="60" t="s">
        <v>6</v>
      </c>
      <c r="E2470" s="60">
        <v>1</v>
      </c>
      <c r="F2470" s="103" t="s">
        <v>75</v>
      </c>
      <c r="G2470" s="4"/>
      <c r="H2470" s="4"/>
      <c r="I2470" s="4"/>
    </row>
    <row r="2471" spans="1:9" ht="15">
      <c r="A2471" s="21">
        <f t="shared" si="44"/>
        <v>66</v>
      </c>
      <c r="B2471" s="45" t="s">
        <v>3364</v>
      </c>
      <c r="C2471" s="85" t="str">
        <f ca="1">IFERROR(__xludf.DUMMYFUNCTION("GOOGLETRANSLATE(B2471:B2486,""RU"",""UK"")"),"Розточувальна оправка з мікроподачею різця До ISO40 L120 d45-65мм")</f>
        <v>Розточувальна оправка з мікроподачею різця До ISO40 L120 d45-65мм</v>
      </c>
      <c r="D2471" s="60" t="s">
        <v>6</v>
      </c>
      <c r="E2471" s="60">
        <v>1</v>
      </c>
      <c r="F2471" s="103" t="s">
        <v>75</v>
      </c>
      <c r="G2471" s="4"/>
      <c r="H2471" s="4"/>
      <c r="I2471" s="4"/>
    </row>
    <row r="2472" spans="1:9" ht="15">
      <c r="A2472" s="21">
        <f t="shared" ref="A2472:A2529" si="45">A2471+1</f>
        <v>67</v>
      </c>
      <c r="B2472" s="45" t="s">
        <v>3365</v>
      </c>
      <c r="C2472" s="85" t="str">
        <f ca="1">IFERROR(__xludf.DUMMYFUNCTION("GOOGLETRANSLATE(B2472:B2487,""RU"",""UK"")"),"Розточувальна оправка з мікроподачею різця До ISO40 L150 d60-80мм")</f>
        <v>Розточувальна оправка з мікроподачею різця До ISO40 L150 d60-80мм</v>
      </c>
      <c r="D2472" s="60" t="s">
        <v>6</v>
      </c>
      <c r="E2472" s="60">
        <v>2</v>
      </c>
      <c r="F2472" s="103" t="s">
        <v>3366</v>
      </c>
      <c r="G2472" s="4"/>
      <c r="H2472" s="4"/>
      <c r="I2472" s="4"/>
    </row>
    <row r="2473" spans="1:9" ht="15">
      <c r="A2473" s="21">
        <f t="shared" si="45"/>
        <v>68</v>
      </c>
      <c r="B2473" s="45" t="s">
        <v>3367</v>
      </c>
      <c r="C2473" s="85" t="str">
        <f ca="1">IFERROR(__xludf.DUMMYFUNCTION("GOOGLETRANSLATE(B2473:B2488,""RU"",""UK"")"),"Розточувальна оправка з мікроподачею різця До ISO40 L220 d120-150мм різець 16х16")</f>
        <v>Розточувальна оправка з мікроподачею різця До ISO40 L220 d120-150мм різець 16х16</v>
      </c>
      <c r="D2473" s="60" t="s">
        <v>6</v>
      </c>
      <c r="E2473" s="60">
        <v>1</v>
      </c>
      <c r="F2473" s="103" t="s">
        <v>3368</v>
      </c>
      <c r="G2473" s="4"/>
      <c r="H2473" s="4"/>
      <c r="I2473" s="4"/>
    </row>
    <row r="2474" spans="1:9" ht="15">
      <c r="A2474" s="21">
        <f t="shared" si="45"/>
        <v>69</v>
      </c>
      <c r="B2474" s="45" t="s">
        <v>3369</v>
      </c>
      <c r="C2474" s="85" t="str">
        <f ca="1">IFERROR(__xludf.DUMMYFUNCTION("GOOGLETRANSLATE(B2474:B2489,""RU"",""UK"")"),"Розточувальна оправка (головка) До ISO40 (7/24) L140 d55-70мм різець 12х12мм")</f>
        <v>Розточувальна оправка (головка) До ISO40 (7/24) L140 d55-70мм різець 12х12мм</v>
      </c>
      <c r="D2474" s="60" t="s">
        <v>6</v>
      </c>
      <c r="E2474" s="60">
        <v>1</v>
      </c>
      <c r="F2474" s="103" t="s">
        <v>71</v>
      </c>
      <c r="G2474" s="4"/>
      <c r="H2474" s="4"/>
      <c r="I2474" s="4"/>
    </row>
    <row r="2475" spans="1:9" ht="15">
      <c r="A2475" s="21">
        <f t="shared" si="45"/>
        <v>70</v>
      </c>
      <c r="B2475" s="45" t="s">
        <v>3370</v>
      </c>
      <c r="C2475" s="85" t="str">
        <f ca="1">IFERROR(__xludf.DUMMYFUNCTION("GOOGLETRANSLATE(B2475:B2490,""RU"",""UK"")"),"Розточувальна оправка (головка) До ISO40 (7/24) L230 d55-70мм різець 12х12мм")</f>
        <v>Розточувальна оправка (головка) До ISO40 (7/24) L230 d55-70мм різець 12х12мм</v>
      </c>
      <c r="D2475" s="60" t="s">
        <v>6</v>
      </c>
      <c r="E2475" s="60">
        <v>1</v>
      </c>
      <c r="F2475" s="103" t="s">
        <v>3371</v>
      </c>
      <c r="G2475" s="4"/>
      <c r="H2475" s="4"/>
      <c r="I2475" s="4"/>
    </row>
    <row r="2476" spans="1:9" ht="15">
      <c r="A2476" s="21">
        <f t="shared" si="45"/>
        <v>71</v>
      </c>
      <c r="B2476" s="45" t="s">
        <v>3372</v>
      </c>
      <c r="C2476" s="85" t="str">
        <f ca="1">IFERROR(__xludf.DUMMYFUNCTION("GOOGLETRANSLATE(B2476:B2491,""RU"",""UK"")"),"Розточувальна оправка (головка) До ISO40 (7/24) L140 d70-90мм різець 16х16мм")</f>
        <v>Розточувальна оправка (головка) До ISO40 (7/24) L140 d70-90мм різець 16х16мм</v>
      </c>
      <c r="D2476" s="60" t="s">
        <v>6</v>
      </c>
      <c r="E2476" s="60">
        <v>1</v>
      </c>
      <c r="F2476" s="103" t="s">
        <v>3371</v>
      </c>
      <c r="G2476" s="4"/>
      <c r="H2476" s="4"/>
      <c r="I2476" s="4"/>
    </row>
    <row r="2477" spans="1:9" ht="15">
      <c r="A2477" s="21">
        <f t="shared" si="45"/>
        <v>72</v>
      </c>
      <c r="B2477" s="45" t="s">
        <v>3373</v>
      </c>
      <c r="C2477" s="85" t="str">
        <f ca="1">IFERROR(__xludf.DUMMYFUNCTION("GOOGLETRANSLATE(B2477:B2492,""RU"",""UK"")"),"Розточувальна оправка (головка) До ISO40 (7/24) L180 d90-110мм різець 16х16мм")</f>
        <v>Розточувальна оправка (головка) До ISO40 (7/24) L180 d90-110мм різець 16х16мм</v>
      </c>
      <c r="D2477" s="60" t="s">
        <v>6</v>
      </c>
      <c r="E2477" s="60">
        <v>1</v>
      </c>
      <c r="F2477" s="103" t="s">
        <v>75</v>
      </c>
      <c r="G2477" s="4"/>
      <c r="H2477" s="4"/>
      <c r="I2477" s="4"/>
    </row>
    <row r="2478" spans="1:9" ht="15">
      <c r="A2478" s="21">
        <f t="shared" si="45"/>
        <v>73</v>
      </c>
      <c r="B2478" s="70" t="s">
        <v>3374</v>
      </c>
      <c r="C2478" s="85" t="str">
        <f ca="1">IFERROR(__xludf.DUMMYFUNCTION("GOOGLETRANSLATE(B2478:B2493,""RU"",""UK"")"),"Розточувальна оправка (головка) До ISO40 d135-360 хутро. Кр. 4гр.L200мм (всього 3 ставки)")</f>
        <v>Розточувальна оправка (головка) До ISO40 d135-360 хутро. Кр. 4гр.L200мм (всього 3 ставки)</v>
      </c>
      <c r="D2478" s="60" t="s">
        <v>6</v>
      </c>
      <c r="E2478" s="60">
        <v>1</v>
      </c>
      <c r="F2478" s="103" t="s">
        <v>48</v>
      </c>
      <c r="G2478" s="4"/>
      <c r="H2478" s="4"/>
      <c r="I2478" s="4"/>
    </row>
    <row r="2479" spans="1:9" ht="15">
      <c r="A2479" s="21">
        <f t="shared" si="45"/>
        <v>74</v>
      </c>
      <c r="B2479" s="45" t="s">
        <v>3375</v>
      </c>
      <c r="C2479" s="85" t="str">
        <f ca="1">IFERROR(__xludf.DUMMYFUNCTION("GOOGLETRANSLATE(B2479:B2494,""RU"",""UK"")"),"Розточувальна оправка До ІСО40 d63-100 2-х стор.мех.кр.т/с ромб.L170")</f>
        <v>Розточувальна оправка До ІСО40 d63-100 2-х стор.мех.кр.т/с ромб.L170</v>
      </c>
      <c r="D2479" s="60" t="s">
        <v>6</v>
      </c>
      <c r="E2479" s="60">
        <v>1</v>
      </c>
      <c r="F2479" s="103" t="s">
        <v>914</v>
      </c>
      <c r="G2479" s="4"/>
      <c r="H2479" s="4"/>
      <c r="I2479" s="4"/>
    </row>
    <row r="2480" spans="1:9" ht="15">
      <c r="A2480" s="21">
        <f t="shared" si="45"/>
        <v>75</v>
      </c>
      <c r="B2480" s="16" t="s">
        <v>3376</v>
      </c>
      <c r="C2480" s="85" t="str">
        <f ca="1">IFERROR(__xludf.DUMMYFUNCTION("GOOGLETRANSLATE(B2480:B2495,""RU"",""UK"")"),"Розточувальна оправка з мікром. регулювання. різця К45 d30-120")</f>
        <v>Розточувальна оправка з мікром. регулювання. різця К45 d30-120</v>
      </c>
      <c r="D2480" s="15" t="s">
        <v>6</v>
      </c>
      <c r="E2480" s="15">
        <v>1</v>
      </c>
      <c r="F2480" s="91" t="s">
        <v>73</v>
      </c>
      <c r="G2480" s="4"/>
      <c r="H2480" s="4"/>
      <c r="I2480" s="4"/>
    </row>
    <row r="2481" spans="1:9" ht="15">
      <c r="A2481" s="21">
        <f t="shared" si="45"/>
        <v>76</v>
      </c>
      <c r="B2481" s="14" t="s">
        <v>3377</v>
      </c>
      <c r="C2481" s="85" t="str">
        <f ca="1">IFERROR(__xludf.DUMMYFUNCTION("GOOGLETRANSLATE(B2481:B2496,""RU"",""UK"")"),"Розточувальна оправка К45 d80-170мм")</f>
        <v>Розточувальна оправка К45 d80-170мм</v>
      </c>
      <c r="D2481" s="15" t="s">
        <v>6</v>
      </c>
      <c r="E2481" s="15">
        <v>1</v>
      </c>
      <c r="F2481" s="91" t="s">
        <v>71</v>
      </c>
      <c r="G2481" s="4"/>
      <c r="H2481" s="4"/>
      <c r="I2481" s="4"/>
    </row>
    <row r="2482" spans="1:9" ht="15">
      <c r="A2482" s="21">
        <f t="shared" si="45"/>
        <v>77</v>
      </c>
      <c r="B2482" s="14" t="s">
        <v>3378</v>
      </c>
      <c r="C2482" s="85" t="str">
        <f ca="1">IFERROR(__xludf.DUMMYFUNCTION("GOOGLETRANSLATE(B2482:B2497,""RU"",""UK"")"),"Розточувальна оправка К45 під різець 14х14 d65-120мм")</f>
        <v>Розточувальна оправка К45 під різець 14х14 d65-120мм</v>
      </c>
      <c r="D2482" s="15" t="s">
        <v>6</v>
      </c>
      <c r="E2482" s="15">
        <v>1</v>
      </c>
      <c r="F2482" s="91" t="s">
        <v>71</v>
      </c>
      <c r="G2482" s="4"/>
      <c r="H2482" s="4"/>
      <c r="I2482" s="4"/>
    </row>
    <row r="2483" spans="1:9" ht="15">
      <c r="A2483" s="21">
        <f t="shared" si="45"/>
        <v>78</v>
      </c>
      <c r="B2483" s="16" t="s">
        <v>3379</v>
      </c>
      <c r="C2483" s="85" t="str">
        <f ca="1">IFERROR(__xludf.DUMMYFUNCTION("GOOGLETRANSLATE(B2483:B2498,""RU"",""UK"")"),"Розточувальна оправка К50")</f>
        <v>Розточувальна оправка К50</v>
      </c>
      <c r="D2483" s="17" t="s">
        <v>6</v>
      </c>
      <c r="E2483" s="17">
        <v>1</v>
      </c>
      <c r="F2483" s="92" t="s">
        <v>38</v>
      </c>
      <c r="G2483" s="4"/>
      <c r="H2483" s="4"/>
      <c r="I2483" s="4"/>
    </row>
    <row r="2484" spans="1:9" ht="15">
      <c r="A2484" s="21">
        <f t="shared" si="45"/>
        <v>79</v>
      </c>
      <c r="B2484" s="16" t="s">
        <v>3380</v>
      </c>
      <c r="C2484" s="85" t="str">
        <f ca="1">IFERROR(__xludf.DUMMYFUNCTION("GOOGLETRANSLATE(B2484:B2499,""RU"",""UK"")"),"Розточувальна оправка (головка) К50 з мікром. регул. Різця (0,01) d10-45 мм")</f>
        <v>Розточувальна оправка (головка) К50 з мікром. регул. Різця (0,01) d10-45 мм</v>
      </c>
      <c r="D2484" s="17" t="s">
        <v>6</v>
      </c>
      <c r="E2484" s="17">
        <v>6</v>
      </c>
      <c r="F2484" s="92" t="s">
        <v>10</v>
      </c>
      <c r="G2484" s="4"/>
      <c r="H2484" s="4"/>
      <c r="I2484" s="4"/>
    </row>
    <row r="2485" spans="1:9" ht="15">
      <c r="A2485" s="21">
        <f t="shared" si="45"/>
        <v>80</v>
      </c>
      <c r="B2485" s="16" t="s">
        <v>3381</v>
      </c>
      <c r="C2485" s="85" t="str">
        <f ca="1">IFERROR(__xludf.DUMMYFUNCTION("GOOGLETRANSLATE(B2485:B2500,""RU"",""UK"")"),"Розточувальна оправка (головка) К50 з мікром. регул. різця d45-65 L240мм")</f>
        <v>Розточувальна оправка (головка) К50 з мікром. регул. різця d45-65 L240мм</v>
      </c>
      <c r="D2485" s="17" t="s">
        <v>6</v>
      </c>
      <c r="E2485" s="17">
        <v>1</v>
      </c>
      <c r="F2485" s="92" t="s">
        <v>38</v>
      </c>
      <c r="G2485" s="4"/>
      <c r="H2485" s="4"/>
      <c r="I2485" s="4"/>
    </row>
    <row r="2486" spans="1:9" ht="15">
      <c r="A2486" s="21">
        <f t="shared" si="45"/>
        <v>81</v>
      </c>
      <c r="B2486" s="16" t="s">
        <v>3382</v>
      </c>
      <c r="C2486" s="85" t="str">
        <f ca="1">IFERROR(__xludf.DUMMYFUNCTION("GOOGLETRANSLATE(B2486:B2501,""RU"",""UK"")"),"Розточувальна оправка (головка) К50 конусність 7/24 на d70-90 L130мм")</f>
        <v>Розточувальна оправка (головка) К50 конусність 7/24 на d70-90 L130мм</v>
      </c>
      <c r="D2486" s="17" t="s">
        <v>6</v>
      </c>
      <c r="E2486" s="17">
        <v>1</v>
      </c>
      <c r="F2486" s="92" t="s">
        <v>75</v>
      </c>
      <c r="G2486" s="4"/>
      <c r="H2486" s="4"/>
      <c r="I2486" s="4"/>
    </row>
    <row r="2487" spans="1:9" ht="15">
      <c r="A2487" s="21">
        <f t="shared" si="45"/>
        <v>82</v>
      </c>
      <c r="B2487" s="16" t="s">
        <v>3383</v>
      </c>
      <c r="C2487" s="85" t="str">
        <f ca="1">IFERROR(__xludf.DUMMYFUNCTION("GOOGLETRANSLATE(B2487:B2502,""RU"",""UK"")"),"Розточувальна оправка (головка) К50 з мікром. регул. різця d90-125 L120мм")</f>
        <v>Розточувальна оправка (головка) К50 з мікром. регул. різця d90-125 L120мм</v>
      </c>
      <c r="D2487" s="17" t="s">
        <v>6</v>
      </c>
      <c r="E2487" s="17">
        <v>1</v>
      </c>
      <c r="F2487" s="92" t="s">
        <v>38</v>
      </c>
      <c r="G2487" s="4"/>
      <c r="H2487" s="4"/>
      <c r="I2487" s="4"/>
    </row>
    <row r="2488" spans="1:9" ht="15">
      <c r="A2488" s="21">
        <f t="shared" si="45"/>
        <v>83</v>
      </c>
      <c r="B2488" s="16" t="s">
        <v>3384</v>
      </c>
      <c r="C2488" s="85" t="str">
        <f ca="1">IFERROR(__xludf.DUMMYFUNCTION("GOOGLETRANSLATE(B2488:B2503,""RU"",""UK"")"),"Розточувальна оправка (головка) К50 конусність 7/24 на d63-82-100 L140мм")</f>
        <v>Розточувальна оправка (головка) К50 конусність 7/24 на d63-82-100 L140мм</v>
      </c>
      <c r="D2488" s="17" t="s">
        <v>6</v>
      </c>
      <c r="E2488" s="17">
        <v>1</v>
      </c>
      <c r="F2488" s="92" t="s">
        <v>75</v>
      </c>
      <c r="G2488" s="4"/>
      <c r="H2488" s="4"/>
      <c r="I2488" s="4"/>
    </row>
    <row r="2489" spans="1:9" ht="15">
      <c r="A2489" s="21">
        <f t="shared" si="45"/>
        <v>84</v>
      </c>
      <c r="B2489" s="16" t="s">
        <v>3385</v>
      </c>
      <c r="C2489" s="85" t="str">
        <f ca="1">IFERROR(__xludf.DUMMYFUNCTION("GOOGLETRANSLATE(B2489:B2504,""RU"",""UK"")"),"Розточувальна оправка (головка) К50 конусність 7/24 на d80-120-100 L150мм")</f>
        <v>Розточувальна оправка (головка) К50 конусність 7/24 на d80-120-100 L150мм</v>
      </c>
      <c r="D2489" s="17" t="s">
        <v>6</v>
      </c>
      <c r="E2489" s="17">
        <v>1</v>
      </c>
      <c r="F2489" s="92" t="s">
        <v>75</v>
      </c>
      <c r="G2489" s="4"/>
      <c r="H2489" s="4"/>
      <c r="I2489" s="4"/>
    </row>
    <row r="2490" spans="1:9" ht="15">
      <c r="A2490" s="21">
        <f t="shared" si="45"/>
        <v>85</v>
      </c>
      <c r="B2490" s="16" t="s">
        <v>3386</v>
      </c>
      <c r="C2490" s="85" t="str">
        <f ca="1">IFERROR(__xludf.DUMMYFUNCTION("GOOGLETRANSLATE(B2490:B2505,""RU"",""UK"")"),"Розточувальна оправка (головка) К50 конусність 7/24 на d100-180 L130мм")</f>
        <v>Розточувальна оправка (головка) К50 конусність 7/24 на d100-180 L130мм</v>
      </c>
      <c r="D2490" s="17" t="s">
        <v>6</v>
      </c>
      <c r="E2490" s="17">
        <v>1</v>
      </c>
      <c r="F2490" s="92" t="s">
        <v>75</v>
      </c>
      <c r="G2490" s="4"/>
      <c r="H2490" s="4"/>
      <c r="I2490" s="4"/>
    </row>
    <row r="2491" spans="1:9" ht="15">
      <c r="A2491" s="21">
        <f t="shared" si="45"/>
        <v>86</v>
      </c>
      <c r="B2491" s="16" t="s">
        <v>3387</v>
      </c>
      <c r="C2491" s="85" t="str">
        <f ca="1">IFERROR(__xludf.DUMMYFUNCTION("GOOGLETRANSLATE(B2491:B2506,""RU"",""UK"")"),"Розточувальна оправка (головка) К50 з мікром. регул. різця d100-180 L200мм")</f>
        <v>Розточувальна оправка (головка) К50 з мікром. регул. різця d100-180 L200мм</v>
      </c>
      <c r="D2491" s="17" t="s">
        <v>6</v>
      </c>
      <c r="E2491" s="17">
        <v>1</v>
      </c>
      <c r="F2491" s="92" t="s">
        <v>38</v>
      </c>
      <c r="G2491" s="4"/>
      <c r="H2491" s="4"/>
      <c r="I2491" s="4"/>
    </row>
    <row r="2492" spans="1:9" ht="15">
      <c r="A2492" s="21">
        <f t="shared" si="45"/>
        <v>87</v>
      </c>
      <c r="B2492" s="16" t="s">
        <v>3388</v>
      </c>
      <c r="C2492" s="85" t="str">
        <f ca="1">IFERROR(__xludf.DUMMYFUNCTION("GOOGLETRANSLATE(B2492:B2507,""RU"",""UK"")"),"Розточувальна оправка (головка) К50 з мікром. регул. різця d150-180 L200мм")</f>
        <v>Розточувальна оправка (головка) К50 з мікром. регул. різця d150-180 L200мм</v>
      </c>
      <c r="D2492" s="17" t="s">
        <v>6</v>
      </c>
      <c r="E2492" s="17">
        <v>2</v>
      </c>
      <c r="F2492" s="92" t="s">
        <v>38</v>
      </c>
      <c r="G2492" s="4"/>
      <c r="H2492" s="4"/>
      <c r="I2492" s="4"/>
    </row>
    <row r="2493" spans="1:9" ht="15">
      <c r="A2493" s="21">
        <f t="shared" si="45"/>
        <v>88</v>
      </c>
      <c r="B2493" s="36" t="s">
        <v>3389</v>
      </c>
      <c r="C2493" s="85" t="str">
        <f ca="1">IFERROR(__xludf.DUMMYFUNCTION("GOOGLETRANSLATE(B2493:B2508,""RU"",""UK"")"),"Розточувальна оправка (головка) циліндр. 36мм d10-45 L180мм")</f>
        <v>Розточувальна оправка (головка) циліндр. 36мм d10-45 L180мм</v>
      </c>
      <c r="D2493" s="71" t="s">
        <v>6</v>
      </c>
      <c r="E2493" s="71">
        <v>2</v>
      </c>
      <c r="F2493" s="107" t="s">
        <v>71</v>
      </c>
      <c r="G2493" s="4"/>
      <c r="H2493" s="4"/>
      <c r="I2493" s="4"/>
    </row>
    <row r="2494" spans="1:9" ht="15">
      <c r="A2494" s="21">
        <f t="shared" si="45"/>
        <v>89</v>
      </c>
      <c r="B2494" s="36" t="s">
        <v>3390</v>
      </c>
      <c r="C2494" s="85" t="str">
        <f ca="1">IFERROR(__xludf.DUMMYFUNCTION("GOOGLETRANSLATE(B2494:B2509,""RU"",""UK"")"),"Розточувальна оправка (головка) циліндр. 46мм d10-45 L180мм")</f>
        <v>Розточувальна оправка (головка) циліндр. 46мм d10-45 L180мм</v>
      </c>
      <c r="D2494" s="71" t="s">
        <v>6</v>
      </c>
      <c r="E2494" s="71">
        <v>1</v>
      </c>
      <c r="F2494" s="107" t="s">
        <v>71</v>
      </c>
      <c r="G2494" s="4"/>
      <c r="H2494" s="4"/>
      <c r="I2494" s="4"/>
    </row>
    <row r="2495" spans="1:9" ht="15">
      <c r="A2495" s="21">
        <f t="shared" si="45"/>
        <v>90</v>
      </c>
      <c r="B2495" s="45" t="s">
        <v>3391</v>
      </c>
      <c r="C2495" s="85" t="str">
        <f ca="1">IFERROR(__xludf.DUMMYFUNCTION("GOOGLETRANSLATE(B2495:B2510,""RU"",""UK"")"),"Вставка на розточувальну оправку 2192-4007.02 (ОРША) 40-70мм. Ромб")</f>
        <v>Вставка на розточувальну оправку 2192-4007.02 (ОРША) 40-70мм. Ромб</v>
      </c>
      <c r="D2495" s="15" t="s">
        <v>6</v>
      </c>
      <c r="E2495" s="15">
        <v>1</v>
      </c>
      <c r="F2495" s="91" t="s">
        <v>27</v>
      </c>
      <c r="G2495" s="4"/>
      <c r="H2495" s="4"/>
      <c r="I2495" s="4"/>
    </row>
    <row r="2496" spans="1:9" ht="15">
      <c r="A2496" s="21">
        <f t="shared" si="45"/>
        <v>91</v>
      </c>
      <c r="B2496" s="45" t="s">
        <v>3392</v>
      </c>
      <c r="C2496" s="85" t="str">
        <f ca="1">IFERROR(__xludf.DUMMYFUNCTION("GOOGLETRANSLATE(B2496:B2511,""RU"",""UK"")"),"Вставка на розточувальну оправку 2192-4011.02 (ОРША) 180-270мм. Ромб")</f>
        <v>Вставка на розточувальну оправку 2192-4011.02 (ОРША) 180-270мм. Ромб</v>
      </c>
      <c r="D2496" s="15" t="s">
        <v>6</v>
      </c>
      <c r="E2496" s="15">
        <v>3</v>
      </c>
      <c r="F2496" s="91" t="s">
        <v>75</v>
      </c>
      <c r="G2496" s="4"/>
      <c r="H2496" s="4"/>
      <c r="I2496" s="4"/>
    </row>
    <row r="2497" spans="1:9" ht="15">
      <c r="A2497" s="21">
        <f t="shared" si="45"/>
        <v>92</v>
      </c>
      <c r="B2497" s="45" t="s">
        <v>3393</v>
      </c>
      <c r="C2497" s="85" t="str">
        <f ca="1">IFERROR(__xludf.DUMMYFUNCTION("GOOGLETRANSLATE(B2497:B2512,""RU"",""UK"")"),"Вставка на розточувальну оправку 2192-4011.03 (ОРША) 180-270мм. Квадрат")</f>
        <v>Вставка на розточувальну оправку 2192-4011.03 (ОРША) 180-270мм. Квадрат</v>
      </c>
      <c r="D2497" s="15" t="s">
        <v>6</v>
      </c>
      <c r="E2497" s="15">
        <v>9</v>
      </c>
      <c r="F2497" s="91" t="s">
        <v>75</v>
      </c>
      <c r="G2497" s="4"/>
      <c r="H2497" s="4"/>
      <c r="I2497" s="4"/>
    </row>
    <row r="2498" spans="1:9" ht="15">
      <c r="A2498" s="21">
        <f t="shared" si="45"/>
        <v>93</v>
      </c>
      <c r="B2498" s="45" t="s">
        <v>3394</v>
      </c>
      <c r="C2498" s="85" t="str">
        <f ca="1">IFERROR(__xludf.DUMMYFUNCTION("GOOGLETRANSLATE(B2498:B2513,""RU"",""UK"")"),"Вставка на розточувальну оправку 2192-4010.05 (ОРША) 270-360мм. Квадрат")</f>
        <v>Вставка на розточувальну оправку 2192-4010.05 (ОРША) 270-360мм. Квадрат</v>
      </c>
      <c r="D2498" s="15" t="s">
        <v>6</v>
      </c>
      <c r="E2498" s="15">
        <v>8</v>
      </c>
      <c r="F2498" s="91" t="s">
        <v>75</v>
      </c>
      <c r="G2498" s="4"/>
      <c r="H2498" s="4"/>
      <c r="I2498" s="4"/>
    </row>
    <row r="2499" spans="1:9" ht="15">
      <c r="A2499" s="21">
        <f t="shared" si="45"/>
        <v>94</v>
      </c>
      <c r="B2499" s="45" t="s">
        <v>3395</v>
      </c>
      <c r="C2499" s="85" t="str">
        <f ca="1">IFERROR(__xludf.DUMMYFUNCTION("GOOGLETRANSLATE(B2499:B2514,""RU"",""UK"")"),"Вставка на розточувальну оправку 2192-4010.04 (ОРША) 270-360мм. Ромб")</f>
        <v>Вставка на розточувальну оправку 2192-4010.04 (ОРША) 270-360мм. Ромб</v>
      </c>
      <c r="D2499" s="15" t="s">
        <v>6</v>
      </c>
      <c r="E2499" s="15">
        <v>1</v>
      </c>
      <c r="F2499" s="91" t="s">
        <v>75</v>
      </c>
      <c r="G2499" s="4"/>
      <c r="H2499" s="4"/>
      <c r="I2499" s="4"/>
    </row>
    <row r="2500" spans="1:9" ht="15">
      <c r="A2500" s="21">
        <f t="shared" si="45"/>
        <v>95</v>
      </c>
      <c r="B2500" s="14" t="s">
        <v>3396</v>
      </c>
      <c r="C2500" s="85" t="str">
        <f ca="1">IFERROR(__xludf.DUMMYFUNCTION("GOOGLETRANSLATE(B2500:B2515,""RU"",""UK"")"),"Оправлення КМ2 на d20мм")</f>
        <v>Оправлення КМ2 на d20мм</v>
      </c>
      <c r="D2500" s="15" t="s">
        <v>6</v>
      </c>
      <c r="E2500" s="15">
        <v>1</v>
      </c>
      <c r="F2500" s="91" t="s">
        <v>24</v>
      </c>
      <c r="G2500" s="4"/>
      <c r="H2500" s="4"/>
      <c r="I2500" s="4"/>
    </row>
    <row r="2501" spans="1:9" ht="15">
      <c r="A2501" s="21">
        <f t="shared" si="45"/>
        <v>96</v>
      </c>
      <c r="B2501" s="14" t="s">
        <v>3397</v>
      </c>
      <c r="C2501" s="85" t="str">
        <f ca="1">IFERROR(__xludf.DUMMYFUNCTION("GOOGLETRANSLATE(B2501:B2516,""RU"",""UK"")"),"Оправлення КМ3 на d20мм/КМ3 на d32мм")</f>
        <v>Оправлення КМ3 на d20мм/КМ3 на d32мм</v>
      </c>
      <c r="D2501" s="15" t="s">
        <v>6</v>
      </c>
      <c r="E2501" s="15" t="s">
        <v>749</v>
      </c>
      <c r="F2501" s="91" t="s">
        <v>36</v>
      </c>
      <c r="G2501" s="4"/>
      <c r="H2501" s="4"/>
      <c r="I2501" s="4"/>
    </row>
    <row r="2502" spans="1:9" ht="15">
      <c r="A2502" s="21">
        <f t="shared" si="45"/>
        <v>97</v>
      </c>
      <c r="B2502" s="14" t="s">
        <v>3398</v>
      </c>
      <c r="C2502" s="85" t="str">
        <f ca="1">IFERROR(__xludf.DUMMYFUNCTION("GOOGLETRANSLATE(B2502:B2517,""RU"",""UK"")"),"Оправлення КМ3 на d22мм/КМ3 на d27мм")</f>
        <v>Оправлення КМ3 на d22мм/КМ3 на d27мм</v>
      </c>
      <c r="D2502" s="15" t="s">
        <v>6</v>
      </c>
      <c r="E2502" s="15" t="s">
        <v>749</v>
      </c>
      <c r="F2502" s="91" t="s">
        <v>36</v>
      </c>
      <c r="G2502" s="4"/>
      <c r="H2502" s="4"/>
      <c r="I2502" s="4"/>
    </row>
    <row r="2503" spans="1:9" ht="15">
      <c r="A2503" s="21">
        <f t="shared" si="45"/>
        <v>98</v>
      </c>
      <c r="B2503" s="14" t="s">
        <v>3399</v>
      </c>
      <c r="C2503" s="85" t="str">
        <f ca="1">IFERROR(__xludf.DUMMYFUNCTION("GOOGLETRANSLATE(B2503:B2518,""RU"",""UK"")"),"Оправлення КМ3 на d20х220мм")</f>
        <v>Оправлення КМ3 на d20х220мм</v>
      </c>
      <c r="D2503" s="15" t="s">
        <v>6</v>
      </c>
      <c r="E2503" s="15">
        <v>3</v>
      </c>
      <c r="F2503" s="91" t="s">
        <v>27</v>
      </c>
      <c r="G2503" s="4"/>
      <c r="H2503" s="4"/>
      <c r="I2503" s="4"/>
    </row>
    <row r="2504" spans="1:9" ht="15">
      <c r="A2504" s="21">
        <f t="shared" si="45"/>
        <v>99</v>
      </c>
      <c r="B2504" s="16" t="s">
        <v>3400</v>
      </c>
      <c r="C2504" s="85" t="str">
        <f ca="1">IFERROR(__xludf.DUMMYFUNCTION("GOOGLETRANSLATE(B2504:B2519,""RU"",""UK"")"),"Оправлення КМ4 на d24мм/КМ4 на d40мм")</f>
        <v>Оправлення КМ4 на d24мм/КМ4 на d40мм</v>
      </c>
      <c r="D2504" s="15" t="s">
        <v>6</v>
      </c>
      <c r="E2504" s="15" t="s">
        <v>749</v>
      </c>
      <c r="F2504" s="91" t="s">
        <v>53</v>
      </c>
      <c r="G2504" s="4"/>
      <c r="H2504" s="4"/>
      <c r="I2504" s="4"/>
    </row>
    <row r="2505" spans="1:9" ht="15">
      <c r="A2505" s="21">
        <f t="shared" si="45"/>
        <v>100</v>
      </c>
      <c r="B2505" s="14" t="s">
        <v>3401</v>
      </c>
      <c r="C2505" s="85" t="str">
        <f ca="1">IFERROR(__xludf.DUMMYFUNCTION("GOOGLETRANSLATE(B2505:B2520,""RU"",""UK"")"),"Оправлення КМ5 на d32мм/КМ5 на d50мм")</f>
        <v>Оправлення КМ5 на d32мм/КМ5 на d50мм</v>
      </c>
      <c r="D2505" s="15" t="s">
        <v>6</v>
      </c>
      <c r="E2505" s="15" t="s">
        <v>793</v>
      </c>
      <c r="F2505" s="91" t="s">
        <v>842</v>
      </c>
      <c r="G2505" s="4"/>
      <c r="H2505" s="4"/>
      <c r="I2505" s="4"/>
    </row>
    <row r="2506" spans="1:9" ht="15">
      <c r="A2506" s="21">
        <f t="shared" si="45"/>
        <v>101</v>
      </c>
      <c r="B2506" s="14" t="s">
        <v>3402</v>
      </c>
      <c r="C2506" s="85" t="str">
        <f ca="1">IFERROR(__xludf.DUMMYFUNCTION("GOOGLETRANSLATE(B2506:B2521,""RU"",""UK"")"),"Оправлення КМ6 на КМ4")</f>
        <v>Оправлення КМ6 на КМ4</v>
      </c>
      <c r="D2506" s="15" t="s">
        <v>6</v>
      </c>
      <c r="E2506" s="15">
        <v>1</v>
      </c>
      <c r="F2506" s="91" t="s">
        <v>36</v>
      </c>
      <c r="G2506" s="4"/>
      <c r="H2506" s="4"/>
      <c r="I2506" s="4"/>
    </row>
    <row r="2507" spans="1:9" ht="15">
      <c r="A2507" s="21">
        <f t="shared" si="45"/>
        <v>102</v>
      </c>
      <c r="B2507" s="36" t="s">
        <v>3403</v>
      </c>
      <c r="C2507" s="85" t="str">
        <f ca="1">IFERROR(__xludf.DUMMYFUNCTION("GOOGLETRANSLATE(B2507:B2522,""RU"",""UK"")"),"Оправлення для насадних розгорток, зенкерів КМ3 d13мм")</f>
        <v>Оправлення для насадних розгорток, зенкерів КМ3 d13мм</v>
      </c>
      <c r="D2507" s="71" t="s">
        <v>6</v>
      </c>
      <c r="E2507" s="71">
        <v>2</v>
      </c>
      <c r="F2507" s="107" t="s">
        <v>413</v>
      </c>
      <c r="G2507" s="4"/>
      <c r="H2507" s="4"/>
      <c r="I2507" s="4"/>
    </row>
    <row r="2508" spans="1:9" ht="15">
      <c r="A2508" s="21">
        <f t="shared" si="45"/>
        <v>103</v>
      </c>
      <c r="B2508" s="36" t="s">
        <v>3404</v>
      </c>
      <c r="C2508" s="85" t="str">
        <f ca="1">IFERROR(__xludf.DUMMYFUNCTION("GOOGLETRANSLATE(B2508:B2523,""RU"",""UK"")"),"Оправлення для насадних розгорток, зенкерів КМ4 d19мм/27мм")</f>
        <v>Оправлення для насадних розгорток, зенкерів КМ4 d19мм/27мм</v>
      </c>
      <c r="D2508" s="71" t="s">
        <v>6</v>
      </c>
      <c r="E2508" s="71" t="s">
        <v>749</v>
      </c>
      <c r="F2508" s="107" t="s">
        <v>36</v>
      </c>
      <c r="G2508" s="4"/>
      <c r="H2508" s="4"/>
      <c r="I2508" s="4"/>
    </row>
    <row r="2509" spans="1:9" ht="15">
      <c r="A2509" s="21">
        <f t="shared" si="45"/>
        <v>104</v>
      </c>
      <c r="B2509" s="36" t="s">
        <v>3405</v>
      </c>
      <c r="C2509" s="85" t="str">
        <f ca="1">IFERROR(__xludf.DUMMYFUNCTION("GOOGLETRANSLATE(B2509:B2524,""RU"",""UK"")"),"Оправлення для насадних розгорток, зенкерів КМ2/КМ3")</f>
        <v>Оправлення для насадних розгорток, зенкерів КМ2/КМ3</v>
      </c>
      <c r="D2509" s="71" t="s">
        <v>6</v>
      </c>
      <c r="E2509" s="71" t="s">
        <v>1761</v>
      </c>
      <c r="F2509" s="107" t="s">
        <v>27</v>
      </c>
      <c r="G2509" s="4"/>
      <c r="H2509" s="4"/>
      <c r="I2509" s="4"/>
    </row>
    <row r="2510" spans="1:9" ht="15">
      <c r="A2510" s="21">
        <f t="shared" si="45"/>
        <v>105</v>
      </c>
      <c r="B2510" s="14" t="s">
        <v>3406</v>
      </c>
      <c r="C2510" s="85" t="str">
        <f ca="1">IFERROR(__xludf.DUMMYFUNCTION("GOOGLETRANSLATE(B2510:B2525,""RU"",""UK"")"),"Оправлення для торцевих фрез К40 конусність 7/24 на d32мм")</f>
        <v>Оправлення для торцевих фрез К40 конусність 7/24 на d32мм</v>
      </c>
      <c r="D2510" s="15" t="s">
        <v>6</v>
      </c>
      <c r="E2510" s="15">
        <v>2</v>
      </c>
      <c r="F2510" s="91" t="s">
        <v>78</v>
      </c>
      <c r="G2510" s="4"/>
      <c r="H2510" s="4"/>
      <c r="I2510" s="4"/>
    </row>
    <row r="2511" spans="1:9" ht="15">
      <c r="A2511" s="21">
        <f t="shared" si="45"/>
        <v>106</v>
      </c>
      <c r="B2511" s="14" t="s">
        <v>3407</v>
      </c>
      <c r="C2511" s="85" t="str">
        <f ca="1">IFERROR(__xludf.DUMMYFUNCTION("GOOGLETRANSLATE(B2511:B2526,""RU"",""UK"")"),"Оправлення фрезерне КМ4 L480мм")</f>
        <v>Оправлення фрезерне КМ4 L480мм</v>
      </c>
      <c r="D2511" s="15" t="s">
        <v>6</v>
      </c>
      <c r="E2511" s="15">
        <v>1</v>
      </c>
      <c r="F2511" s="91" t="s">
        <v>102</v>
      </c>
      <c r="G2511" s="4"/>
      <c r="H2511" s="4"/>
      <c r="I2511" s="4"/>
    </row>
    <row r="2512" spans="1:9" ht="15">
      <c r="A2512" s="21">
        <f t="shared" si="45"/>
        <v>107</v>
      </c>
      <c r="B2512" s="14" t="s">
        <v>3408</v>
      </c>
      <c r="C2512" s="85" t="str">
        <f ca="1">IFERROR(__xludf.DUMMYFUNCTION("GOOGLETRANSLATE(B2512:B2527,""RU"",""UK"")"),"Оправлення фрезерне КМ4 L400мм")</f>
        <v>Оправлення фрезерне КМ4 L400мм</v>
      </c>
      <c r="D2512" s="15" t="s">
        <v>6</v>
      </c>
      <c r="E2512" s="15">
        <v>3</v>
      </c>
      <c r="F2512" s="91" t="s">
        <v>102</v>
      </c>
      <c r="G2512" s="4"/>
      <c r="H2512" s="4"/>
      <c r="I2512" s="4"/>
    </row>
    <row r="2513" spans="1:9" ht="15">
      <c r="A2513" s="21">
        <f t="shared" si="45"/>
        <v>108</v>
      </c>
      <c r="B2513" s="14" t="s">
        <v>3409</v>
      </c>
      <c r="C2513" s="85" t="str">
        <f ca="1">IFERROR(__xludf.DUMMYFUNCTION("GOOGLETRANSLATE(B2513:B2528,""RU"",""UK"")"),"Оправлення КМ2н/КМ1 вн L150мм")</f>
        <v>Оправлення КМ2н/КМ1 вн L150мм</v>
      </c>
      <c r="D2513" s="15" t="s">
        <v>6</v>
      </c>
      <c r="E2513" s="15">
        <v>1</v>
      </c>
      <c r="F2513" s="91" t="s">
        <v>140</v>
      </c>
      <c r="G2513" s="4"/>
      <c r="H2513" s="4"/>
      <c r="I2513" s="4"/>
    </row>
    <row r="2514" spans="1:9" ht="15">
      <c r="A2514" s="21">
        <f t="shared" si="45"/>
        <v>109</v>
      </c>
      <c r="B2514" s="14" t="s">
        <v>3410</v>
      </c>
      <c r="C2514" s="85" t="str">
        <f ca="1">IFERROR(__xludf.DUMMYFUNCTION("GOOGLETRANSLATE(B2514:B2529,""RU"",""UK"")"),"Оправлення К40 конусність 7/24 на d22мм")</f>
        <v>Оправлення К40 конусність 7/24 на d22мм</v>
      </c>
      <c r="D2514" s="15" t="s">
        <v>6</v>
      </c>
      <c r="E2514" s="15">
        <v>1</v>
      </c>
      <c r="F2514" s="91" t="s">
        <v>27</v>
      </c>
      <c r="G2514" s="4"/>
      <c r="H2514" s="4"/>
      <c r="I2514" s="4"/>
    </row>
    <row r="2515" spans="1:9" ht="15">
      <c r="A2515" s="21">
        <f t="shared" si="45"/>
        <v>110</v>
      </c>
      <c r="B2515" s="14" t="s">
        <v>3411</v>
      </c>
      <c r="C2515" s="85" t="str">
        <f ca="1">IFERROR(__xludf.DUMMYFUNCTION("GOOGLETRANSLATE(B2515:B2530,""RU"",""UK"")"),"Оправлення К40 конусність 7/24 на d22х260мм")</f>
        <v>Оправлення К40 конусність 7/24 на d22х260мм</v>
      </c>
      <c r="D2515" s="15" t="s">
        <v>6</v>
      </c>
      <c r="E2515" s="15">
        <v>1</v>
      </c>
      <c r="F2515" s="91" t="s">
        <v>111</v>
      </c>
      <c r="G2515" s="4"/>
      <c r="H2515" s="4"/>
      <c r="I2515" s="4"/>
    </row>
    <row r="2516" spans="1:9" ht="15">
      <c r="A2516" s="21">
        <f t="shared" si="45"/>
        <v>111</v>
      </c>
      <c r="B2516" s="14" t="s">
        <v>3412</v>
      </c>
      <c r="C2516" s="85" t="str">
        <f ca="1">IFERROR(__xludf.DUMMYFUNCTION("GOOGLETRANSLATE(B2516:B2531,""RU"",""UK"")"),"Оправлення К40 конусність 7/24 на d27мм")</f>
        <v>Оправлення К40 конусність 7/24 на d27мм</v>
      </c>
      <c r="D2516" s="15" t="s">
        <v>6</v>
      </c>
      <c r="E2516" s="15">
        <v>1</v>
      </c>
      <c r="F2516" s="91" t="s">
        <v>111</v>
      </c>
      <c r="G2516" s="4"/>
      <c r="H2516" s="4"/>
      <c r="I2516" s="4"/>
    </row>
    <row r="2517" spans="1:9" ht="15">
      <c r="A2517" s="21">
        <f t="shared" si="45"/>
        <v>112</v>
      </c>
      <c r="B2517" s="14" t="s">
        <v>3413</v>
      </c>
      <c r="C2517" s="85" t="str">
        <f ca="1">IFERROR(__xludf.DUMMYFUNCTION("GOOGLETRANSLATE(B2517:B2532,""RU"",""UK"")"),"Оправлення К40 конусність 7/24 на d27х240мм")</f>
        <v>Оправлення К40 конусність 7/24 на d27х240мм</v>
      </c>
      <c r="D2517" s="15" t="s">
        <v>6</v>
      </c>
      <c r="E2517" s="15">
        <v>1</v>
      </c>
      <c r="F2517" s="91" t="s">
        <v>111</v>
      </c>
      <c r="G2517" s="4"/>
      <c r="H2517" s="4"/>
      <c r="I2517" s="4"/>
    </row>
    <row r="2518" spans="1:9" ht="15">
      <c r="A2518" s="21">
        <f t="shared" si="45"/>
        <v>113</v>
      </c>
      <c r="B2518" s="14" t="s">
        <v>3414</v>
      </c>
      <c r="C2518" s="85" t="str">
        <f ca="1">IFERROR(__xludf.DUMMYFUNCTION("GOOGLETRANSLATE(B2518:B2533,""RU"",""UK"")"),"Оправлення К40 конусність 7/24 на d32мм")</f>
        <v>Оправлення К40 конусність 7/24 на d32мм</v>
      </c>
      <c r="D2518" s="15" t="s">
        <v>6</v>
      </c>
      <c r="E2518" s="15">
        <v>2</v>
      </c>
      <c r="F2518" s="91" t="s">
        <v>111</v>
      </c>
      <c r="G2518" s="4"/>
      <c r="H2518" s="4"/>
      <c r="I2518" s="4"/>
    </row>
    <row r="2519" spans="1:9" ht="15">
      <c r="A2519" s="21">
        <f t="shared" si="45"/>
        <v>114</v>
      </c>
      <c r="B2519" s="14" t="s">
        <v>3415</v>
      </c>
      <c r="C2519" s="85" t="str">
        <f ca="1">IFERROR(__xludf.DUMMYFUNCTION("GOOGLETRANSLATE(B2519:B2534,""RU"",""UK"")"),"Оправлення К40 конусність 7/24 на d32х150мм")</f>
        <v>Оправлення К40 конусність 7/24 на d32х150мм</v>
      </c>
      <c r="D2519" s="15" t="s">
        <v>6</v>
      </c>
      <c r="E2519" s="15">
        <v>1</v>
      </c>
      <c r="F2519" s="91" t="s">
        <v>88</v>
      </c>
      <c r="G2519" s="4"/>
      <c r="H2519" s="4"/>
      <c r="I2519" s="4"/>
    </row>
    <row r="2520" spans="1:9" ht="15">
      <c r="A2520" s="21">
        <f t="shared" si="45"/>
        <v>115</v>
      </c>
      <c r="B2520" s="14" t="s">
        <v>3416</v>
      </c>
      <c r="C2520" s="85" t="str">
        <f ca="1">IFERROR(__xludf.DUMMYFUNCTION("GOOGLETRANSLATE(B2520:B2535,""RU"",""UK"")"),"Оправлення К40 конусність 7/24 на КМ2")</f>
        <v>Оправлення К40 конусність 7/24 на КМ2</v>
      </c>
      <c r="D2520" s="15" t="s">
        <v>6</v>
      </c>
      <c r="E2520" s="15">
        <v>1</v>
      </c>
      <c r="F2520" s="91" t="s">
        <v>100</v>
      </c>
      <c r="G2520" s="4"/>
      <c r="H2520" s="4"/>
      <c r="I2520" s="4"/>
    </row>
    <row r="2521" spans="1:9" ht="15">
      <c r="A2521" s="21">
        <f t="shared" si="45"/>
        <v>116</v>
      </c>
      <c r="B2521" s="19" t="s">
        <v>3417</v>
      </c>
      <c r="C2521" s="85" t="str">
        <f ca="1">IFERROR(__xludf.DUMMYFUNCTION("GOOGLETRANSLATE(B2521:B2536,""RU"",""UK"")"),"Оправлення К40 конусність 7/24 на КМ3")</f>
        <v>Оправлення К40 конусність 7/24 на КМ3</v>
      </c>
      <c r="D2521" s="15" t="s">
        <v>6</v>
      </c>
      <c r="E2521" s="15">
        <v>0</v>
      </c>
      <c r="F2521" s="91" t="s">
        <v>100</v>
      </c>
      <c r="G2521" s="4"/>
      <c r="H2521" s="4"/>
      <c r="I2521" s="4"/>
    </row>
    <row r="2522" spans="1:9" ht="15">
      <c r="A2522" s="21">
        <f t="shared" si="45"/>
        <v>117</v>
      </c>
      <c r="B2522" s="14" t="s">
        <v>3418</v>
      </c>
      <c r="C2522" s="85" t="str">
        <f ca="1">IFERROR(__xludf.DUMMYFUNCTION("GOOGLETRANSLATE(B2522:B2537,""RU"",""UK"")"),"Оправлення К45 конусність 7/24 на КМ3")</f>
        <v>Оправлення К45 конусність 7/24 на КМ3</v>
      </c>
      <c r="D2522" s="15" t="s">
        <v>6</v>
      </c>
      <c r="E2522" s="15">
        <v>1</v>
      </c>
      <c r="F2522" s="91" t="s">
        <v>1086</v>
      </c>
      <c r="G2522" s="4"/>
      <c r="H2522" s="4"/>
      <c r="I2522" s="4"/>
    </row>
    <row r="2523" spans="1:9" ht="15">
      <c r="A2523" s="21">
        <f t="shared" si="45"/>
        <v>118</v>
      </c>
      <c r="B2523" s="14" t="s">
        <v>3419</v>
      </c>
      <c r="C2523" s="85" t="str">
        <f ca="1">IFERROR(__xludf.DUMMYFUNCTION("GOOGLETRANSLATE(B2523:B2538,""RU"",""UK"")"),"Оправлення К50 конусність 7/24 на КМ2/КМ3")</f>
        <v>Оправлення К50 конусність 7/24 на КМ2/КМ3</v>
      </c>
      <c r="D2523" s="15" t="s">
        <v>6</v>
      </c>
      <c r="E2523" s="15" t="s">
        <v>3244</v>
      </c>
      <c r="F2523" s="91" t="s">
        <v>111</v>
      </c>
      <c r="G2523" s="4"/>
      <c r="H2523" s="4"/>
      <c r="I2523" s="4"/>
    </row>
    <row r="2524" spans="1:9" ht="15">
      <c r="A2524" s="21">
        <f t="shared" si="45"/>
        <v>119</v>
      </c>
      <c r="B2524" s="14" t="s">
        <v>3420</v>
      </c>
      <c r="C2524" s="85" t="str">
        <f ca="1">IFERROR(__xludf.DUMMYFUNCTION("GOOGLETRANSLATE(B2524:B2539,""RU"",""UK"")"),"Оправлення К50 конусність 7/24 на КМ4/КМ5")</f>
        <v>Оправлення К50 конусність 7/24 на КМ4/КМ5</v>
      </c>
      <c r="D2524" s="15" t="s">
        <v>6</v>
      </c>
      <c r="E2524" s="15" t="s">
        <v>2039</v>
      </c>
      <c r="F2524" s="91" t="s">
        <v>88</v>
      </c>
      <c r="G2524" s="4"/>
      <c r="H2524" s="4"/>
      <c r="I2524" s="4"/>
    </row>
    <row r="2525" spans="1:9" ht="15">
      <c r="A2525" s="21">
        <f t="shared" si="45"/>
        <v>120</v>
      </c>
      <c r="B2525" s="14" t="s">
        <v>3421</v>
      </c>
      <c r="C2525" s="85" t="str">
        <f ca="1">IFERROR(__xludf.DUMMYFUNCTION("GOOGLETRANSLATE(B2525:B2540,""RU"",""UK"")"),"Оправлення К50 конусність 7/24 на d27мм")</f>
        <v>Оправлення К50 конусність 7/24 на d27мм</v>
      </c>
      <c r="D2525" s="15" t="s">
        <v>6</v>
      </c>
      <c r="E2525" s="15">
        <v>4</v>
      </c>
      <c r="F2525" s="91" t="s">
        <v>80</v>
      </c>
      <c r="G2525" s="4"/>
      <c r="H2525" s="4"/>
      <c r="I2525" s="4"/>
    </row>
    <row r="2526" spans="1:9" ht="15">
      <c r="A2526" s="21">
        <f t="shared" si="45"/>
        <v>121</v>
      </c>
      <c r="B2526" s="14" t="s">
        <v>3422</v>
      </c>
      <c r="C2526" s="85" t="str">
        <f ca="1">IFERROR(__xludf.DUMMYFUNCTION("GOOGLETRANSLATE(B2526:B2541,""RU"",""UK"")"),"Оправлення К50 конусність 7/24 на d32мм")</f>
        <v>Оправлення К50 конусність 7/24 на d32мм</v>
      </c>
      <c r="D2526" s="15" t="s">
        <v>6</v>
      </c>
      <c r="E2526" s="15">
        <v>5</v>
      </c>
      <c r="F2526" s="91" t="s">
        <v>80</v>
      </c>
      <c r="G2526" s="4"/>
      <c r="H2526" s="4"/>
      <c r="I2526" s="4"/>
    </row>
    <row r="2527" spans="1:9" ht="15">
      <c r="A2527" s="21">
        <f t="shared" si="45"/>
        <v>122</v>
      </c>
      <c r="B2527" s="16" t="s">
        <v>3423</v>
      </c>
      <c r="C2527" s="85" t="str">
        <f ca="1">IFERROR(__xludf.DUMMYFUNCTION("GOOGLETRANSLATE(B2527:B2542,""RU"",""UK"")"),"Оправлення К50 конусність 7/24 на d40мм")</f>
        <v>Оправлення К50 конусність 7/24 на d40мм</v>
      </c>
      <c r="D2527" s="15" t="s">
        <v>6</v>
      </c>
      <c r="E2527" s="15">
        <v>7</v>
      </c>
      <c r="F2527" s="91" t="s">
        <v>3424</v>
      </c>
      <c r="G2527" s="4"/>
      <c r="H2527" s="4"/>
      <c r="I2527" s="4"/>
    </row>
    <row r="2528" spans="1:9" ht="15">
      <c r="A2528" s="21">
        <f t="shared" si="45"/>
        <v>123</v>
      </c>
      <c r="B2528" s="16" t="s">
        <v>3425</v>
      </c>
      <c r="C2528" s="85" t="str">
        <f ca="1">IFERROR(__xludf.DUMMYFUNCTION("GOOGLETRANSLATE(B2528:B2543,""RU"",""UK"")"),"Оправлення К50 конусність 7/24 на d50мм")</f>
        <v>Оправлення К50 конусність 7/24 на d50мм</v>
      </c>
      <c r="D2528" s="15" t="s">
        <v>6</v>
      </c>
      <c r="E2528" s="15">
        <v>1</v>
      </c>
      <c r="F2528" s="91" t="s">
        <v>3424</v>
      </c>
      <c r="G2528" s="4"/>
      <c r="H2528" s="4"/>
      <c r="I2528" s="4"/>
    </row>
    <row r="2529" spans="1:9" ht="15">
      <c r="A2529" s="21">
        <f t="shared" si="45"/>
        <v>124</v>
      </c>
      <c r="B2529" s="14" t="s">
        <v>3426</v>
      </c>
      <c r="C2529" s="85" t="str">
        <f ca="1">IFERROR(__xludf.DUMMYFUNCTION("GOOGLETRANSLATE(B2529:B2544,""RU"",""UK"")"),"Оправлення К50 конусність 7/24 на d10х10мм")</f>
        <v>Оправлення К50 конусність 7/24 на d10х10мм</v>
      </c>
      <c r="D2529" s="15" t="s">
        <v>6</v>
      </c>
      <c r="E2529" s="15">
        <v>2</v>
      </c>
      <c r="F2529" s="91" t="s">
        <v>111</v>
      </c>
      <c r="G2529" s="4"/>
      <c r="H2529" s="4"/>
      <c r="I2529" s="4"/>
    </row>
    <row r="2530" spans="1:9" ht="15">
      <c r="A2530" s="68"/>
      <c r="B2530" s="69"/>
      <c r="C2530" s="110" t="s">
        <v>6039</v>
      </c>
      <c r="D2530" s="69"/>
      <c r="E2530" s="69"/>
      <c r="F2530" s="106"/>
      <c r="G2530" s="4"/>
      <c r="H2530" s="4"/>
      <c r="I2530" s="4"/>
    </row>
    <row r="2531" spans="1:9" ht="15">
      <c r="A2531" s="13">
        <v>1</v>
      </c>
      <c r="B2531" s="16" t="s">
        <v>3427</v>
      </c>
      <c r="C2531" s="85" t="str">
        <f ca="1">IFERROR(__xludf.DUMMYFUNCTION("GOOGLETRANSLATE(B2531:B2546,""RU"",""UK"")"),"Штангенциркуль із глибиноміром ШЦ-125-0,1 Кл.2 Ставрополь")</f>
        <v>Штангенциркуль із глибиноміром ШЦ-125-0,1 Кл.2 Ставрополь</v>
      </c>
      <c r="D2531" s="15" t="s">
        <v>6</v>
      </c>
      <c r="E2531" s="15">
        <v>1</v>
      </c>
      <c r="F2531" s="91" t="s">
        <v>1874</v>
      </c>
      <c r="G2531" s="4"/>
      <c r="H2531" s="4"/>
      <c r="I2531" s="4"/>
    </row>
    <row r="2532" spans="1:9" ht="15">
      <c r="A2532" s="13">
        <f>A2531+1</f>
        <v>2</v>
      </c>
      <c r="B2532" s="16" t="s">
        <v>3428</v>
      </c>
      <c r="C2532" s="85" t="str">
        <f ca="1">IFERROR(__xludf.DUMMYFUNCTION("GOOGLETRANSLATE(B2532:B2547,""RU"",""UK"")"),"Штангенциркуль із глибиноміром ШЦ-125-0,05 Кл. 1 Ставрополь")</f>
        <v>Штангенциркуль із глибиноміром ШЦ-125-0,05 Кл. 1 Ставрополь</v>
      </c>
      <c r="D2532" s="15" t="s">
        <v>6</v>
      </c>
      <c r="E2532" s="15">
        <v>2</v>
      </c>
      <c r="F2532" s="91" t="s">
        <v>1086</v>
      </c>
      <c r="G2532" s="4"/>
      <c r="H2532" s="4"/>
      <c r="I2532" s="4"/>
    </row>
    <row r="2533" spans="1:9" ht="15">
      <c r="A2533" s="21">
        <f t="shared" ref="A2533:A2596" si="46">A2532+1</f>
        <v>3</v>
      </c>
      <c r="B2533" s="16" t="s">
        <v>3429</v>
      </c>
      <c r="C2533" s="85" t="str">
        <f ca="1">IFERROR(__xludf.DUMMYFUNCTION("GOOGLETRANSLATE(B2533:B2548,""RU"",""UK"")"),"Штангенциркуль із глибиноміром ШЦ-125-0,1 Кл.2 СРСР Калібр/Ставрополь")</f>
        <v>Штангенциркуль із глибиноміром ШЦ-125-0,1 Кл.2 СРСР Калібр/Ставрополь</v>
      </c>
      <c r="D2533" s="15" t="s">
        <v>6</v>
      </c>
      <c r="E2533" s="15" t="s">
        <v>2529</v>
      </c>
      <c r="F2533" s="91" t="s">
        <v>88</v>
      </c>
      <c r="G2533" s="4"/>
      <c r="H2533" s="4"/>
      <c r="I2533" s="4"/>
    </row>
    <row r="2534" spans="1:9" ht="15">
      <c r="A2534" s="21">
        <f t="shared" si="46"/>
        <v>4</v>
      </c>
      <c r="B2534" s="16" t="s">
        <v>3430</v>
      </c>
      <c r="C2534" s="85" t="str">
        <f ca="1">IFERROR(__xludf.DUMMYFUNCTION("GOOGLETRANSLATE(B2534:B2549,""RU"",""UK"")"),"Штангенциркуль із глибиноміром ШЦ-125-0,1 Кл.2 СРСР без футряра легке б/у")</f>
        <v>Штангенциркуль із глибиноміром ШЦ-125-0,1 Кл.2 СРСР без футряра легке б/у</v>
      </c>
      <c r="D2534" s="15" t="s">
        <v>6</v>
      </c>
      <c r="E2534" s="15">
        <v>6</v>
      </c>
      <c r="F2534" s="91" t="s">
        <v>33</v>
      </c>
      <c r="G2534" s="4"/>
      <c r="H2534" s="4"/>
      <c r="I2534" s="4"/>
    </row>
    <row r="2535" spans="1:9" ht="15">
      <c r="A2535" s="21">
        <f t="shared" si="46"/>
        <v>5</v>
      </c>
      <c r="B2535" s="19" t="s">
        <v>3431</v>
      </c>
      <c r="C2535" s="85" t="str">
        <f ca="1">IFERROR(__xludf.DUMMYFUNCTION("GOOGLETRANSLATE(B2535:B2550,""RU"",""UK"")"),"Штангенциркуль із глибиноміром ШЦ-150-0,1 Кл. 2 Ставропіль")</f>
        <v>Штангенциркуль із глибиноміром ШЦ-150-0,1 Кл. 2 Ставропіль</v>
      </c>
      <c r="D2535" s="15" t="s">
        <v>6</v>
      </c>
      <c r="E2535" s="15">
        <v>0</v>
      </c>
      <c r="F2535" s="91" t="s">
        <v>3432</v>
      </c>
      <c r="G2535" s="4"/>
      <c r="H2535" s="4"/>
      <c r="I2535" s="4"/>
    </row>
    <row r="2536" spans="1:9" ht="15">
      <c r="A2536" s="21">
        <f t="shared" si="46"/>
        <v>6</v>
      </c>
      <c r="B2536" s="16" t="s">
        <v>3433</v>
      </c>
      <c r="C2536" s="85" t="str">
        <f ca="1">IFERROR(__xludf.DUMMYFUNCTION("GOOGLETRANSLATE(B2536:B2551,""RU"",""UK"")"),"Штангенциркуль із глибиноміром ШЦ-150-0,05 Кл. 1 Китай")</f>
        <v>Штангенциркуль із глибиноміром ШЦ-150-0,05 Кл. 1 Китай</v>
      </c>
      <c r="D2536" s="15" t="s">
        <v>6</v>
      </c>
      <c r="E2536" s="15">
        <v>1</v>
      </c>
      <c r="F2536" s="91" t="s">
        <v>63</v>
      </c>
      <c r="G2536" s="4"/>
      <c r="H2536" s="4"/>
      <c r="I2536" s="4"/>
    </row>
    <row r="2537" spans="1:9" ht="15">
      <c r="A2537" s="21">
        <f t="shared" si="46"/>
        <v>7</v>
      </c>
      <c r="B2537" s="16" t="s">
        <v>3434</v>
      </c>
      <c r="C2537" s="85" t="str">
        <f ca="1">IFERROR(__xludf.DUMMYFUNCTION("GOOGLETRANSLATE(B2537:B2552,""RU"",""UK"")"),"Штангенциркуль із глибиноміром ШЦ-150-0,02 Кл. 1 Китай")</f>
        <v>Штангенциркуль із глибиноміром ШЦ-150-0,02 Кл. 1 Китай</v>
      </c>
      <c r="D2537" s="15" t="s">
        <v>6</v>
      </c>
      <c r="E2537" s="15">
        <v>1</v>
      </c>
      <c r="F2537" s="91" t="s">
        <v>33</v>
      </c>
      <c r="G2537" s="4"/>
      <c r="H2537" s="4"/>
      <c r="I2537" s="4"/>
    </row>
    <row r="2538" spans="1:9" ht="15">
      <c r="A2538" s="21">
        <f t="shared" si="46"/>
        <v>8</v>
      </c>
      <c r="B2538" s="14" t="s">
        <v>3435</v>
      </c>
      <c r="C2538" s="85" t="str">
        <f ca="1">IFERROR(__xludf.DUMMYFUNCTION("GOOGLETRANSLATE(B2538:B2553,""RU"",""UK"")"),"Штангенциркуль без глибиноміру 150мм ЛІЗ СРСР б/у")</f>
        <v>Штангенциркуль без глибиноміру 150мм ЛІЗ СРСР б/у</v>
      </c>
      <c r="D2538" s="15" t="s">
        <v>6</v>
      </c>
      <c r="E2538" s="15">
        <v>3</v>
      </c>
      <c r="F2538" s="91" t="s">
        <v>27</v>
      </c>
      <c r="G2538" s="4"/>
      <c r="H2538" s="4"/>
      <c r="I2538" s="4"/>
    </row>
    <row r="2539" spans="1:9" ht="15">
      <c r="A2539" s="21">
        <f t="shared" si="46"/>
        <v>9</v>
      </c>
      <c r="B2539" s="14" t="s">
        <v>3436</v>
      </c>
      <c r="C2539" s="85" t="str">
        <f ca="1">IFERROR(__xludf.DUMMYFUNCTION("GOOGLETRANSLATE(B2539:B2554,""RU"",""UK"")"),"Штангенциркуль з глибиноміром електронним 150мм YATO")</f>
        <v>Штангенциркуль з глибиноміром електронним 150мм YATO</v>
      </c>
      <c r="D2539" s="15" t="s">
        <v>6</v>
      </c>
      <c r="E2539" s="15">
        <v>1</v>
      </c>
      <c r="F2539" s="91" t="s">
        <v>3437</v>
      </c>
      <c r="G2539" s="4"/>
      <c r="H2539" s="4"/>
      <c r="I2539" s="4"/>
    </row>
    <row r="2540" spans="1:9" ht="15">
      <c r="A2540" s="21">
        <f t="shared" si="46"/>
        <v>10</v>
      </c>
      <c r="B2540" s="14" t="s">
        <v>3438</v>
      </c>
      <c r="C2540" s="85" t="str">
        <f ca="1">IFERROR(__xludf.DUMMYFUNCTION("GOOGLETRANSLATE(B2540:B2555,""RU"",""UK"")"),"Штангенциркуль із глибиноміром 160мм (0.05) Кл. 1 СРСР")</f>
        <v>Штангенциркуль із глибиноміром 160мм (0.05) Кл. 1 СРСР</v>
      </c>
      <c r="D2540" s="15" t="s">
        <v>6</v>
      </c>
      <c r="E2540" s="15">
        <v>14</v>
      </c>
      <c r="F2540" s="91" t="s">
        <v>1874</v>
      </c>
      <c r="G2540" s="4"/>
      <c r="H2540" s="4"/>
      <c r="I2540" s="4"/>
    </row>
    <row r="2541" spans="1:9" ht="15">
      <c r="A2541" s="21">
        <f t="shared" si="46"/>
        <v>11</v>
      </c>
      <c r="B2541" s="14" t="s">
        <v>3439</v>
      </c>
      <c r="C2541" s="85" t="str">
        <f ca="1">IFERROR(__xludf.DUMMYFUNCTION("GOOGLETRANSLATE(B2541:B2556,""RU"",""UK"")"),"Штангенциркуль висотомір без глибиноміру 160мм (0.05) Кл. 1 СРСР")</f>
        <v>Штангенциркуль висотомір без глибиноміру 160мм (0.05) Кл. 1 СРСР</v>
      </c>
      <c r="D2541" s="15" t="s">
        <v>6</v>
      </c>
      <c r="E2541" s="15">
        <v>106</v>
      </c>
      <c r="F2541" s="91" t="s">
        <v>100</v>
      </c>
      <c r="G2541" s="4"/>
      <c r="H2541" s="4"/>
      <c r="I2541" s="4"/>
    </row>
    <row r="2542" spans="1:9" ht="15">
      <c r="A2542" s="21">
        <f t="shared" si="46"/>
        <v>12</v>
      </c>
      <c r="B2542" s="45" t="s">
        <v>3440</v>
      </c>
      <c r="C2542" s="85" t="str">
        <f ca="1">IFERROR(__xludf.DUMMYFUNCTION("GOOGLETRANSLATE(B2542:B2557,""RU"",""UK"")"),"Розмічальний пристрій на штангенциркуль ШЦ-III-160")</f>
        <v>Розмічальний пристрій на штангенциркуль ШЦ-III-160</v>
      </c>
      <c r="D2542" s="15" t="s">
        <v>6</v>
      </c>
      <c r="E2542" s="15">
        <v>111</v>
      </c>
      <c r="F2542" s="91" t="s">
        <v>106</v>
      </c>
      <c r="G2542" s="4"/>
      <c r="H2542" s="4"/>
      <c r="I2542" s="4"/>
    </row>
    <row r="2543" spans="1:9" ht="15">
      <c r="A2543" s="21">
        <f t="shared" si="46"/>
        <v>13</v>
      </c>
      <c r="B2543" s="14" t="s">
        <v>3441</v>
      </c>
      <c r="C2543" s="85" t="str">
        <f ca="1">IFERROR(__xludf.DUMMYFUNCTION("GOOGLETRANSLATE(B2543:B2558,""RU"",""UK"")"),"Штангенциркуль 200мм СРСР б/у СРСР")</f>
        <v>Штангенциркуль 200мм СРСР б/у СРСР</v>
      </c>
      <c r="D2543" s="15" t="s">
        <v>6</v>
      </c>
      <c r="E2543" s="15">
        <v>1</v>
      </c>
      <c r="F2543" s="91" t="s">
        <v>29</v>
      </c>
      <c r="G2543" s="4"/>
      <c r="H2543" s="4"/>
      <c r="I2543" s="4"/>
    </row>
    <row r="2544" spans="1:9" ht="15">
      <c r="A2544" s="21">
        <f t="shared" si="46"/>
        <v>14</v>
      </c>
      <c r="B2544" s="16" t="s">
        <v>3442</v>
      </c>
      <c r="C2544" s="85" t="str">
        <f ca="1">IFERROR(__xludf.DUMMYFUNCTION("GOOGLETRANSLATE(B2544:B2559,""RU"",""UK"")"),"Штангенциркуль 250мм (0.1) Кл. 2 СРСР")</f>
        <v>Штангенциркуль 250мм (0.1) Кл. 2 СРСР</v>
      </c>
      <c r="D2544" s="17" t="s">
        <v>6</v>
      </c>
      <c r="E2544" s="17">
        <v>4</v>
      </c>
      <c r="F2544" s="92" t="s">
        <v>3443</v>
      </c>
      <c r="G2544" s="4"/>
      <c r="H2544" s="4"/>
      <c r="I2544" s="4"/>
    </row>
    <row r="2545" spans="1:9" ht="15">
      <c r="A2545" s="21">
        <f t="shared" si="46"/>
        <v>15</v>
      </c>
      <c r="B2545" s="45" t="s">
        <v>3444</v>
      </c>
      <c r="C2545" s="85" t="str">
        <f ca="1">IFERROR(__xludf.DUMMYFUNCTION("GOOGLETRANSLATE(B2545:B2560,""RU"",""UK"")"),"Штангенциркуль 250мм (0.05) Кл. 1 СРСР")</f>
        <v>Штангенциркуль 250мм (0.05) Кл. 1 СРСР</v>
      </c>
      <c r="D2545" s="15" t="s">
        <v>6</v>
      </c>
      <c r="E2545" s="15">
        <v>7</v>
      </c>
      <c r="F2545" s="91" t="s">
        <v>3445</v>
      </c>
      <c r="G2545" s="4"/>
      <c r="H2545" s="4"/>
      <c r="I2545" s="4"/>
    </row>
    <row r="2546" spans="1:9" ht="15">
      <c r="A2546" s="21">
        <f t="shared" si="46"/>
        <v>16</v>
      </c>
      <c r="B2546" s="14" t="s">
        <v>3446</v>
      </c>
      <c r="C2546" s="85" t="str">
        <f ca="1">IFERROR(__xludf.DUMMYFUNCTION("GOOGLETRANSLATE(B2546:B2561,""RU"",""UK"")"),"Штангенциркуль 250мм 0,1/0,05 легке б/в СРСР")</f>
        <v>Штангенциркуль 250мм 0,1/0,05 легке б/в СРСР</v>
      </c>
      <c r="D2546" s="15" t="s">
        <v>6</v>
      </c>
      <c r="E2546" s="15" t="s">
        <v>3140</v>
      </c>
      <c r="F2546" s="91" t="s">
        <v>3447</v>
      </c>
      <c r="G2546" s="4"/>
      <c r="H2546" s="4"/>
      <c r="I2546" s="4"/>
    </row>
    <row r="2547" spans="1:9" ht="15">
      <c r="A2547" s="21">
        <f t="shared" si="46"/>
        <v>17</v>
      </c>
      <c r="B2547" s="14" t="s">
        <v>3448</v>
      </c>
      <c r="C2547" s="85" t="str">
        <f ca="1">IFERROR(__xludf.DUMMYFUNCTION("GOOGLETRANSLATE(B2547:B2562,""RU"",""UK"")"),"Штангенциркуль 250мм (0.1) односторонній СРСР")</f>
        <v>Штангенциркуль 250мм (0.1) односторонній СРСР</v>
      </c>
      <c r="D2547" s="15" t="s">
        <v>6</v>
      </c>
      <c r="E2547" s="15">
        <v>2</v>
      </c>
      <c r="F2547" s="91" t="s">
        <v>111</v>
      </c>
      <c r="G2547" s="4"/>
      <c r="H2547" s="4"/>
      <c r="I2547" s="4"/>
    </row>
    <row r="2548" spans="1:9" ht="15">
      <c r="A2548" s="21">
        <f t="shared" si="46"/>
        <v>18</v>
      </c>
      <c r="B2548" s="19" t="s">
        <v>3449</v>
      </c>
      <c r="C2548" s="85" t="str">
        <f ca="1">IFERROR(__xludf.DUMMYFUNCTION("GOOGLETRANSLATE(B2548:B2563,""RU"",""UK"")"),"Штангенциркуль колійний ПШБ 0-290мм легке бу")</f>
        <v>Штангенциркуль колійний ПШБ 0-290мм легке бу</v>
      </c>
      <c r="D2548" s="15" t="s">
        <v>6</v>
      </c>
      <c r="E2548" s="15">
        <v>0</v>
      </c>
      <c r="F2548" s="91" t="s">
        <v>48</v>
      </c>
      <c r="G2548" s="4"/>
      <c r="H2548" s="4"/>
      <c r="I2548" s="4"/>
    </row>
    <row r="2549" spans="1:9" ht="15">
      <c r="A2549" s="21">
        <f t="shared" si="46"/>
        <v>19</v>
      </c>
      <c r="B2549" s="16" t="s">
        <v>3450</v>
      </c>
      <c r="C2549" s="85" t="str">
        <f ca="1">IFERROR(__xludf.DUMMYFUNCTION("GOOGLETRANSLATE(B2549:B2564,""RU"",""UK"")"),"Штангенциркуль ШЦ І-300мм (0.05) Мікротех")</f>
        <v>Штангенциркуль ШЦ І-300мм (0.05) Мікротех</v>
      </c>
      <c r="D2549" s="17" t="s">
        <v>6</v>
      </c>
      <c r="E2549" s="17">
        <v>1</v>
      </c>
      <c r="F2549" s="92" t="s">
        <v>10</v>
      </c>
      <c r="G2549" s="4"/>
      <c r="H2549" s="4"/>
      <c r="I2549" s="4"/>
    </row>
    <row r="2550" spans="1:9" ht="15">
      <c r="A2550" s="21">
        <f t="shared" si="46"/>
        <v>20</v>
      </c>
      <c r="B2550" s="16" t="s">
        <v>3451</v>
      </c>
      <c r="C2550" s="85" t="str">
        <f ca="1">IFERROR(__xludf.DUMMYFUNCTION("GOOGLETRANSLATE(B2550:B2565,""RU"",""UK"")"),"Штангенциркуль ШЦ ІІ-300мм (0.02) Мікротех")</f>
        <v>Штангенциркуль ШЦ ІІ-300мм (0.02) Мікротех</v>
      </c>
      <c r="D2550" s="17" t="s">
        <v>6</v>
      </c>
      <c r="E2550" s="17">
        <v>1</v>
      </c>
      <c r="F2550" s="92" t="s">
        <v>3452</v>
      </c>
      <c r="G2550" s="4"/>
      <c r="H2550" s="4"/>
      <c r="I2550" s="4"/>
    </row>
    <row r="2551" spans="1:9" ht="15">
      <c r="A2551" s="21">
        <f t="shared" si="46"/>
        <v>21</v>
      </c>
      <c r="B2551" s="16" t="s">
        <v>3453</v>
      </c>
      <c r="C2551" s="85" t="str">
        <f ca="1">IFERROR(__xludf.DUMMYFUNCTION("GOOGLETRANSLATE(B2551:B2566,""RU"",""UK"")"),"Штангенциркуль 300мм (0.05) Кл. 1 СРСР")</f>
        <v>Штангенциркуль 300мм (0.05) Кл. 1 СРСР</v>
      </c>
      <c r="D2551" s="15" t="s">
        <v>6</v>
      </c>
      <c r="E2551" s="15">
        <v>3</v>
      </c>
      <c r="F2551" s="91" t="s">
        <v>73</v>
      </c>
      <c r="G2551" s="4"/>
      <c r="H2551" s="4"/>
      <c r="I2551" s="4"/>
    </row>
    <row r="2552" spans="1:9" ht="15">
      <c r="A2552" s="21">
        <f t="shared" si="46"/>
        <v>22</v>
      </c>
      <c r="B2552" s="14" t="s">
        <v>3454</v>
      </c>
      <c r="C2552" s="85" t="str">
        <f ca="1">IFERROR(__xludf.DUMMYFUNCTION("GOOGLETRANSLATE(B2552:B2567,""RU"",""UK"")"),"Штангенциркуль 400мм (0.1)")</f>
        <v>Штангенциркуль 400мм (0.1)</v>
      </c>
      <c r="D2552" s="15" t="s">
        <v>6</v>
      </c>
      <c r="E2552" s="15">
        <v>5</v>
      </c>
      <c r="F2552" s="91" t="s">
        <v>97</v>
      </c>
      <c r="G2552" s="4"/>
      <c r="H2552" s="4"/>
      <c r="I2552" s="4"/>
    </row>
    <row r="2553" spans="1:9" ht="15">
      <c r="A2553" s="21">
        <f t="shared" si="46"/>
        <v>23</v>
      </c>
      <c r="B2553" s="14" t="s">
        <v>3455</v>
      </c>
      <c r="C2553" s="85" t="str">
        <f ca="1">IFERROR(__xludf.DUMMYFUNCTION("GOOGLETRANSLATE(B2553:B2568,""RU"",""UK"")"),"Штангенциркуль 400мм (0.1)")</f>
        <v>Штангенциркуль 400мм (0.1)</v>
      </c>
      <c r="D2553" s="15" t="s">
        <v>6</v>
      </c>
      <c r="E2553" s="15">
        <v>5</v>
      </c>
      <c r="F2553" s="91" t="s">
        <v>3456</v>
      </c>
      <c r="G2553" s="4"/>
      <c r="H2553" s="4"/>
      <c r="I2553" s="4"/>
    </row>
    <row r="2554" spans="1:9" ht="15">
      <c r="A2554" s="21">
        <f t="shared" si="46"/>
        <v>24</v>
      </c>
      <c r="B2554" s="14" t="s">
        <v>3457</v>
      </c>
      <c r="C2554" s="85" t="str">
        <f ca="1">IFERROR(__xludf.DUMMYFUNCTION("GOOGLETRANSLATE(B2554:B2569,""RU"",""UK"")"),"Штангенциркуль 500мм (0.1)")</f>
        <v>Штангенциркуль 500мм (0.1)</v>
      </c>
      <c r="D2554" s="15" t="s">
        <v>6</v>
      </c>
      <c r="E2554" s="15">
        <v>8</v>
      </c>
      <c r="F2554" s="91" t="s">
        <v>3458</v>
      </c>
      <c r="G2554" s="4"/>
      <c r="H2554" s="4"/>
      <c r="I2554" s="4"/>
    </row>
    <row r="2555" spans="1:9" ht="15">
      <c r="A2555" s="21">
        <f t="shared" si="46"/>
        <v>25</v>
      </c>
      <c r="B2555" s="16" t="s">
        <v>3459</v>
      </c>
      <c r="C2555" s="85" t="str">
        <f ca="1">IFERROR(__xludf.DUMMYFUNCTION("GOOGLETRANSLATE(B2555:B2570,""RU"",""UK"")"),"Штангенциркуль 0-500мм (0.1) з розмічальним пристроєм")</f>
        <v>Штангенциркуль 0-500мм (0.1) з розмічальним пристроєм</v>
      </c>
      <c r="D2555" s="15" t="s">
        <v>6</v>
      </c>
      <c r="E2555" s="15">
        <v>1</v>
      </c>
      <c r="F2555" s="91" t="s">
        <v>50</v>
      </c>
      <c r="G2555" s="4"/>
      <c r="H2555" s="4"/>
      <c r="I2555" s="4"/>
    </row>
    <row r="2556" spans="1:9" ht="15">
      <c r="A2556" s="21">
        <f t="shared" si="46"/>
        <v>26</v>
      </c>
      <c r="B2556" s="14" t="s">
        <v>3460</v>
      </c>
      <c r="C2556" s="85" t="str">
        <f ca="1">IFERROR(__xludf.DUMMYFUNCTION("GOOGLETRANSLATE(B2556:B2571,""RU"",""UK"")"),"Штангенциркуль 500мм (0.05)")</f>
        <v>Штангенциркуль 500мм (0.05)</v>
      </c>
      <c r="D2556" s="15" t="s">
        <v>6</v>
      </c>
      <c r="E2556" s="15">
        <v>1</v>
      </c>
      <c r="F2556" s="91" t="s">
        <v>12</v>
      </c>
      <c r="G2556" s="4"/>
      <c r="H2556" s="4"/>
      <c r="I2556" s="4"/>
    </row>
    <row r="2557" spans="1:9" ht="15">
      <c r="A2557" s="21">
        <f t="shared" si="46"/>
        <v>27</v>
      </c>
      <c r="B2557" s="14" t="s">
        <v>3461</v>
      </c>
      <c r="C2557" s="85" t="str">
        <f ca="1">IFERROR(__xludf.DUMMYFUNCTION("GOOGLETRANSLATE(B2557:B2572,""RU"",""UK"")"),"Штангенциркуль ШЦ ІІІ-500мм (0.02) Мікротех")</f>
        <v>Штангенциркуль ШЦ ІІІ-500мм (0.02) Мікротех</v>
      </c>
      <c r="D2557" s="15" t="s">
        <v>6</v>
      </c>
      <c r="E2557" s="15">
        <v>1</v>
      </c>
      <c r="F2557" s="91" t="s">
        <v>84</v>
      </c>
      <c r="G2557" s="4"/>
      <c r="H2557" s="4"/>
      <c r="I2557" s="4"/>
    </row>
    <row r="2558" spans="1:9" ht="15">
      <c r="A2558" s="21">
        <f t="shared" si="46"/>
        <v>28</v>
      </c>
      <c r="B2558" s="14" t="s">
        <v>3462</v>
      </c>
      <c r="C2558" s="85" t="str">
        <f ca="1">IFERROR(__xludf.DUMMYFUNCTION("GOOGLETRANSLATE(B2558:B2573,""RU"",""UK"")"),"Штангенциркуль 250 - 630мм (0,1)")</f>
        <v>Штангенциркуль 250 - 630мм (0,1)</v>
      </c>
      <c r="D2558" s="15" t="s">
        <v>6</v>
      </c>
      <c r="E2558" s="15">
        <v>12</v>
      </c>
      <c r="F2558" s="91" t="s">
        <v>3458</v>
      </c>
      <c r="G2558" s="4"/>
      <c r="H2558" s="4"/>
      <c r="I2558" s="4"/>
    </row>
    <row r="2559" spans="1:9" ht="15">
      <c r="A2559" s="21">
        <f t="shared" si="46"/>
        <v>29</v>
      </c>
      <c r="B2559" s="14" t="s">
        <v>3463</v>
      </c>
      <c r="C2559" s="85" t="str">
        <f ca="1">IFERROR(__xludf.DUMMYFUNCTION("GOOGLETRANSLATE(B2559:B2574,""RU"",""UK"")"),"Штангенциркуль 250 – 700мм (0.1)")</f>
        <v>Штангенциркуль 250 – 700мм (0.1)</v>
      </c>
      <c r="D2559" s="15" t="s">
        <v>6</v>
      </c>
      <c r="E2559" s="15">
        <v>2</v>
      </c>
      <c r="F2559" s="91" t="s">
        <v>14</v>
      </c>
      <c r="G2559" s="4"/>
      <c r="H2559" s="4"/>
      <c r="I2559" s="4"/>
    </row>
    <row r="2560" spans="1:9" ht="15">
      <c r="A2560" s="21">
        <f t="shared" si="46"/>
        <v>30</v>
      </c>
      <c r="B2560" s="14" t="s">
        <v>3464</v>
      </c>
      <c r="C2560" s="85" t="str">
        <f ca="1">IFERROR(__xludf.DUMMYFUNCTION("GOOGLETRANSLATE(B2560:B2575,""RU"",""UK"")"),"Штангенциркуль 700мм (0.1) легке")</f>
        <v>Штангенциркуль 700мм (0.1) легке</v>
      </c>
      <c r="D2560" s="15" t="s">
        <v>6</v>
      </c>
      <c r="E2560" s="15">
        <v>1</v>
      </c>
      <c r="F2560" s="91" t="s">
        <v>10</v>
      </c>
      <c r="G2560" s="4"/>
      <c r="H2560" s="4"/>
      <c r="I2560" s="4"/>
    </row>
    <row r="2561" spans="1:9" ht="15">
      <c r="A2561" s="21">
        <f t="shared" si="46"/>
        <v>31</v>
      </c>
      <c r="B2561" s="14" t="s">
        <v>3465</v>
      </c>
      <c r="C2561" s="85" t="str">
        <f ca="1">IFERROR(__xludf.DUMMYFUNCTION("GOOGLETRANSLATE(B2561:B2576,""RU"",""UK"")"),"Штангенциркуль 250-800мм (0.1)")</f>
        <v>Штангенциркуль 250-800мм (0.1)</v>
      </c>
      <c r="D2561" s="15" t="s">
        <v>6</v>
      </c>
      <c r="E2561" s="15">
        <v>12</v>
      </c>
      <c r="F2561" s="91" t="s">
        <v>50</v>
      </c>
      <c r="G2561" s="4"/>
      <c r="H2561" s="4"/>
      <c r="I2561" s="4"/>
    </row>
    <row r="2562" spans="1:9" ht="15">
      <c r="A2562" s="21">
        <f t="shared" si="46"/>
        <v>32</v>
      </c>
      <c r="B2562" s="14" t="s">
        <v>3466</v>
      </c>
      <c r="C2562" s="85" t="str">
        <f ca="1">IFERROR(__xludf.DUMMYFUNCTION("GOOGLETRANSLATE(B2562:B2577,""RU"",""UK"")"),"Штангенциркуль 250-800мм (0.1)")</f>
        <v>Штангенциркуль 250-800мм (0.1)</v>
      </c>
      <c r="D2562" s="15" t="s">
        <v>6</v>
      </c>
      <c r="E2562" s="15">
        <v>1</v>
      </c>
      <c r="F2562" s="91" t="s">
        <v>38</v>
      </c>
      <c r="G2562" s="4"/>
      <c r="H2562" s="4"/>
      <c r="I2562" s="4"/>
    </row>
    <row r="2563" spans="1:9" ht="15">
      <c r="A2563" s="21">
        <f t="shared" si="46"/>
        <v>33</v>
      </c>
      <c r="B2563" s="14" t="s">
        <v>3467</v>
      </c>
      <c r="C2563" s="85" t="str">
        <f ca="1">IFERROR(__xludf.DUMMYFUNCTION("GOOGLETRANSLATE(B2563:B2578,""RU"",""UK"")"),"Штангенциркуль 320-1000мм(0.1)")</f>
        <v>Штангенциркуль 320-1000мм(0.1)</v>
      </c>
      <c r="D2563" s="15" t="s">
        <v>6</v>
      </c>
      <c r="E2563" s="15">
        <v>2</v>
      </c>
      <c r="F2563" s="91" t="s">
        <v>59</v>
      </c>
      <c r="G2563" s="4"/>
      <c r="H2563" s="4"/>
      <c r="I2563" s="4"/>
    </row>
    <row r="2564" spans="1:9" ht="15">
      <c r="A2564" s="21">
        <f t="shared" si="46"/>
        <v>34</v>
      </c>
      <c r="B2564" s="16" t="s">
        <v>3468</v>
      </c>
      <c r="C2564" s="85" t="str">
        <f ca="1">IFERROR(__xludf.DUMMYFUNCTION("GOOGLETRANSLATE(B2564:B2579,""RU"",""UK"")"),"Штангенциркуль 400-1000мм (0.1)")</f>
        <v>Штангенциркуль 400-1000мм (0.1)</v>
      </c>
      <c r="D2564" s="15" t="s">
        <v>6</v>
      </c>
      <c r="E2564" s="15">
        <v>2</v>
      </c>
      <c r="F2564" s="91" t="s">
        <v>50</v>
      </c>
      <c r="G2564" s="4"/>
      <c r="H2564" s="4"/>
      <c r="I2564" s="4"/>
    </row>
    <row r="2565" spans="1:9" ht="15">
      <c r="A2565" s="21">
        <f t="shared" si="46"/>
        <v>35</v>
      </c>
      <c r="B2565" s="14" t="s">
        <v>3469</v>
      </c>
      <c r="C2565" s="85" t="str">
        <f ca="1">IFERROR(__xludf.DUMMYFUNCTION("GOOGLETRANSLATE(B2565:B2580,""RU"",""UK"")"),"Штангенциркуль 320-1000мм(0.1) б/в")</f>
        <v>Штангенциркуль 320-1000мм(0.1) б/в</v>
      </c>
      <c r="D2565" s="15" t="s">
        <v>6</v>
      </c>
      <c r="E2565" s="15">
        <v>1</v>
      </c>
      <c r="F2565" s="91" t="s">
        <v>12</v>
      </c>
      <c r="G2565" s="4"/>
      <c r="H2565" s="4"/>
      <c r="I2565" s="4"/>
    </row>
    <row r="2566" spans="1:9" ht="15">
      <c r="A2566" s="21">
        <f t="shared" si="46"/>
        <v>36</v>
      </c>
      <c r="B2566" s="14" t="s">
        <v>3470</v>
      </c>
      <c r="C2566" s="85" t="str">
        <f ca="1">IFERROR(__xludf.DUMMYFUNCTION("GOOGLETRANSLATE(B2566:B2581,""RU"",""UK"")"),"Штангенциркуль 600-1500мм (0,1) б/в")</f>
        <v>Штангенциркуль 600-1500мм (0,1) б/в</v>
      </c>
      <c r="D2566" s="15" t="s">
        <v>6</v>
      </c>
      <c r="E2566" s="15">
        <v>1</v>
      </c>
      <c r="F2566" s="91" t="s">
        <v>94</v>
      </c>
      <c r="G2566" s="4"/>
      <c r="H2566" s="4"/>
      <c r="I2566" s="4"/>
    </row>
    <row r="2567" spans="1:9" ht="15">
      <c r="A2567" s="21">
        <f t="shared" si="46"/>
        <v>37</v>
      </c>
      <c r="B2567" s="14" t="s">
        <v>3471</v>
      </c>
      <c r="C2567" s="85" t="str">
        <f ca="1">IFERROR(__xludf.DUMMYFUNCTION("GOOGLETRANSLATE(B2567:B2582,""RU"",""UK"")"),"Штангенциркуль 500-1600мм (0,1) новий, є незначні плями корозії")</f>
        <v>Штангенциркуль 500-1600мм (0,1) новий, є незначні плями корозії</v>
      </c>
      <c r="D2567" s="15" t="s">
        <v>6</v>
      </c>
      <c r="E2567" s="15">
        <v>1</v>
      </c>
      <c r="F2567" s="91" t="s">
        <v>3472</v>
      </c>
      <c r="G2567" s="4"/>
      <c r="H2567" s="4"/>
      <c r="I2567" s="4"/>
    </row>
    <row r="2568" spans="1:9" ht="15">
      <c r="A2568" s="21">
        <f t="shared" si="46"/>
        <v>38</v>
      </c>
      <c r="B2568" s="14" t="s">
        <v>3473</v>
      </c>
      <c r="C2568" s="85" t="str">
        <f ca="1">IFERROR(__xludf.DUMMYFUNCTION("GOOGLETRANSLATE(B2568:B2583,""RU"",""UK"")"),"Штангенциркуль 600-2000мм (0,1) новий, без коробки")</f>
        <v>Штангенциркуль 600-2000мм (0,1) новий, без коробки</v>
      </c>
      <c r="D2568" s="15" t="s">
        <v>6</v>
      </c>
      <c r="E2568" s="15">
        <v>1</v>
      </c>
      <c r="F2568" s="91" t="s">
        <v>3474</v>
      </c>
      <c r="G2568" s="4"/>
      <c r="H2568" s="4"/>
      <c r="I2568" s="4"/>
    </row>
    <row r="2569" spans="1:9" ht="15">
      <c r="A2569" s="21">
        <f t="shared" si="46"/>
        <v>39</v>
      </c>
      <c r="B2569" s="16" t="s">
        <v>3475</v>
      </c>
      <c r="C2569" s="85" t="str">
        <f ca="1">IFERROR(__xludf.DUMMYFUNCTION("GOOGLETRANSLATE(B2569:B2584,""RU"",""UK"")"),"Штангенрейсмус ШР 0 – 250мм (0,05)")</f>
        <v>Штангенрейсмус ШР 0 – 250мм (0,05)</v>
      </c>
      <c r="D2569" s="15" t="s">
        <v>6</v>
      </c>
      <c r="E2569" s="15">
        <v>7</v>
      </c>
      <c r="F2569" s="91" t="s">
        <v>3476</v>
      </c>
      <c r="G2569" s="4"/>
      <c r="H2569" s="4"/>
      <c r="I2569" s="4"/>
    </row>
    <row r="2570" spans="1:9" ht="15">
      <c r="A2570" s="21">
        <f t="shared" si="46"/>
        <v>40</v>
      </c>
      <c r="B2570" s="14" t="s">
        <v>3477</v>
      </c>
      <c r="C2570" s="85" t="str">
        <f ca="1">IFERROR(__xludf.DUMMYFUNCTION("GOOGLETRANSLATE(B2570:B2585,""RU"",""UK"")"),"Штангенрейсмус ШР 0 - 250мм без коробки / з коробкою")</f>
        <v>Штангенрейсмус ШР 0 - 250мм без коробки / з коробкою</v>
      </c>
      <c r="D2570" s="15" t="s">
        <v>6</v>
      </c>
      <c r="E2570" s="15" t="s">
        <v>793</v>
      </c>
      <c r="F2570" s="91" t="s">
        <v>3424</v>
      </c>
      <c r="G2570" s="4"/>
      <c r="H2570" s="4"/>
      <c r="I2570" s="4"/>
    </row>
    <row r="2571" spans="1:9" ht="15">
      <c r="A2571" s="21">
        <f t="shared" si="46"/>
        <v>41</v>
      </c>
      <c r="B2571" s="14" t="s">
        <v>3478</v>
      </c>
      <c r="C2571" s="85" t="str">
        <f ca="1">IFERROR(__xludf.DUMMYFUNCTION("GOOGLETRANSLATE(B2571:B2586,""RU"",""UK"")"),"Штангенрейсмус стрілочний 250ми. Модель БВ-6226.")</f>
        <v>Штангенрейсмус стрілочний 250ми. Модель БВ-6226.</v>
      </c>
      <c r="D2571" s="15" t="s">
        <v>6</v>
      </c>
      <c r="E2571" s="15">
        <v>1</v>
      </c>
      <c r="F2571" s="91" t="s">
        <v>910</v>
      </c>
      <c r="G2571" s="4"/>
      <c r="H2571" s="4"/>
      <c r="I2571" s="4"/>
    </row>
    <row r="2572" spans="1:9" ht="15">
      <c r="A2572" s="21">
        <f t="shared" si="46"/>
        <v>42</v>
      </c>
      <c r="B2572" s="14" t="s">
        <v>3479</v>
      </c>
      <c r="C2572" s="85" t="str">
        <f ca="1">IFERROR(__xludf.DUMMYFUNCTION("GOOGLETRANSLATE(B2572:B2587,""RU"",""UK"")"),"Штангенрейсмус ШР 30-300мм")</f>
        <v>Штангенрейсмус ШР 30-300мм</v>
      </c>
      <c r="D2572" s="15" t="s">
        <v>6</v>
      </c>
      <c r="E2572" s="15">
        <v>1</v>
      </c>
      <c r="F2572" s="91" t="s">
        <v>73</v>
      </c>
      <c r="G2572" s="4"/>
      <c r="H2572" s="4"/>
      <c r="I2572" s="4"/>
    </row>
    <row r="2573" spans="1:9" ht="15">
      <c r="A2573" s="21">
        <f t="shared" si="46"/>
        <v>43</v>
      </c>
      <c r="B2573" s="14" t="s">
        <v>3480</v>
      </c>
      <c r="C2573" s="85" t="str">
        <f ca="1">IFERROR(__xludf.DUMMYFUNCTION("GOOGLETRANSLATE(B2573:B2588,""RU"",""UK"")"),"Штангенрейсмус ШР 40-400мм")</f>
        <v>Штангенрейсмус ШР 40-400мм</v>
      </c>
      <c r="D2573" s="15" t="s">
        <v>6</v>
      </c>
      <c r="E2573" s="15">
        <v>5</v>
      </c>
      <c r="F2573" s="91" t="s">
        <v>3481</v>
      </c>
      <c r="G2573" s="4"/>
      <c r="H2573" s="4"/>
      <c r="I2573" s="4"/>
    </row>
    <row r="2574" spans="1:9" ht="15">
      <c r="A2574" s="21">
        <f t="shared" si="46"/>
        <v>44</v>
      </c>
      <c r="B2574" s="14" t="s">
        <v>3482</v>
      </c>
      <c r="C2574" s="85" t="str">
        <f ca="1">IFERROR(__xludf.DUMMYFUNCTION("GOOGLETRANSLATE(B2574:B2589,""RU"",""UK"")"),"Штангенрейсмус ШР 450мм (0,02) ПНР")</f>
        <v>Штангенрейсмус ШР 450мм (0,02) ПНР</v>
      </c>
      <c r="D2574" s="15" t="s">
        <v>6</v>
      </c>
      <c r="E2574" s="15">
        <v>1</v>
      </c>
      <c r="F2574" s="91" t="s">
        <v>914</v>
      </c>
      <c r="G2574" s="4"/>
      <c r="H2574" s="4"/>
      <c r="I2574" s="4"/>
    </row>
    <row r="2575" spans="1:9" ht="15">
      <c r="A2575" s="21">
        <f t="shared" si="46"/>
        <v>45</v>
      </c>
      <c r="B2575" s="14" t="s">
        <v>3483</v>
      </c>
      <c r="C2575" s="85" t="str">
        <f ca="1">IFERROR(__xludf.DUMMYFUNCTION("GOOGLETRANSLATE(B2575:B2590,""RU"",""UK"")"),"Штангенрейсмус ШР 40-630мм")</f>
        <v>Штангенрейсмус ШР 40-630мм</v>
      </c>
      <c r="D2575" s="15" t="s">
        <v>6</v>
      </c>
      <c r="E2575" s="15">
        <v>1</v>
      </c>
      <c r="F2575" s="91" t="s">
        <v>910</v>
      </c>
      <c r="G2575" s="4"/>
      <c r="H2575" s="4"/>
      <c r="I2575" s="4"/>
    </row>
    <row r="2576" spans="1:9" ht="15">
      <c r="A2576" s="21">
        <f t="shared" si="46"/>
        <v>46</v>
      </c>
      <c r="B2576" s="16" t="s">
        <v>3484</v>
      </c>
      <c r="C2576" s="85" t="str">
        <f ca="1">IFERROR(__xludf.DUMMYFUNCTION("GOOGLETRANSLATE(B2576:B2591,""RU"",""UK"")"),"Штангенрейсмус ШР 60-810мм (0,1)")</f>
        <v>Штангенрейсмус ШР 60-810мм (0,1)</v>
      </c>
      <c r="D2576" s="15" t="s">
        <v>6</v>
      </c>
      <c r="E2576" s="15">
        <v>1</v>
      </c>
      <c r="F2576" s="91" t="s">
        <v>1917</v>
      </c>
      <c r="G2576" s="4"/>
      <c r="H2576" s="4"/>
      <c r="I2576" s="4"/>
    </row>
    <row r="2577" spans="1:9" ht="15">
      <c r="A2577" s="21">
        <f t="shared" si="46"/>
        <v>47</v>
      </c>
      <c r="B2577" s="16" t="s">
        <v>3485</v>
      </c>
      <c r="C2577" s="85" t="str">
        <f ca="1">IFERROR(__xludf.DUMMYFUNCTION("GOOGLETRANSLATE(B2577:B2592,""RU"",""UK"")"),"Штангенрейсмус ШР 100-1000мм (0,1)")</f>
        <v>Штангенрейсмус ШР 100-1000мм (0,1)</v>
      </c>
      <c r="D2577" s="15" t="s">
        <v>6</v>
      </c>
      <c r="E2577" s="15">
        <v>1</v>
      </c>
      <c r="F2577" s="91" t="s">
        <v>84</v>
      </c>
      <c r="G2577" s="4"/>
      <c r="H2577" s="4"/>
      <c r="I2577" s="4"/>
    </row>
    <row r="2578" spans="1:9" ht="15">
      <c r="A2578" s="21">
        <f t="shared" si="46"/>
        <v>48</v>
      </c>
      <c r="B2578" s="14" t="s">
        <v>3486</v>
      </c>
      <c r="C2578" s="85" t="str">
        <f ca="1">IFERROR(__xludf.DUMMYFUNCTION("GOOGLETRANSLATE(B2578:B2593,""RU"",""UK"")"),"Штангенглибиномір індикаторний Mitytoyo 150мм (0,05)")</f>
        <v>Штангенглибиномір індикаторний Mitytoyo 150мм (0,05)</v>
      </c>
      <c r="D2578" s="15" t="s">
        <v>6</v>
      </c>
      <c r="E2578" s="15">
        <v>1</v>
      </c>
      <c r="F2578" s="91" t="s">
        <v>3452</v>
      </c>
      <c r="G2578" s="4"/>
      <c r="H2578" s="4"/>
      <c r="I2578" s="4"/>
    </row>
    <row r="2579" spans="1:9" ht="15">
      <c r="A2579" s="21">
        <f t="shared" si="46"/>
        <v>49</v>
      </c>
      <c r="B2579" s="14" t="s">
        <v>3487</v>
      </c>
      <c r="C2579" s="85" t="str">
        <f ca="1">IFERROR(__xludf.DUMMYFUNCTION("GOOGLETRANSLATE(B2579:B2594,""RU"",""UK"")"),"Штангенглибиномір ШГ 160мм (0,05)")</f>
        <v>Штангенглибиномір ШГ 160мм (0,05)</v>
      </c>
      <c r="D2579" s="15" t="s">
        <v>6</v>
      </c>
      <c r="E2579" s="15">
        <v>3</v>
      </c>
      <c r="F2579" s="91" t="s">
        <v>1091</v>
      </c>
      <c r="G2579" s="4"/>
      <c r="H2579" s="4"/>
      <c r="I2579" s="4"/>
    </row>
    <row r="2580" spans="1:9" ht="15">
      <c r="A2580" s="21">
        <f t="shared" si="46"/>
        <v>50</v>
      </c>
      <c r="B2580" s="16" t="s">
        <v>3488</v>
      </c>
      <c r="C2580" s="85" t="str">
        <f ca="1">IFERROR(__xludf.DUMMYFUNCTION("GOOGLETRANSLATE(B2580:B2595,""RU"",""UK"")"),"Штангенглибиномір ШГ 200мм (0,05)")</f>
        <v>Штангенглибиномір ШГ 200мм (0,05)</v>
      </c>
      <c r="D2580" s="15" t="s">
        <v>6</v>
      </c>
      <c r="E2580" s="15">
        <v>2</v>
      </c>
      <c r="F2580" s="91" t="s">
        <v>71</v>
      </c>
      <c r="G2580" s="4"/>
      <c r="H2580" s="4"/>
      <c r="I2580" s="4"/>
    </row>
    <row r="2581" spans="1:9" ht="15">
      <c r="A2581" s="21">
        <f t="shared" si="46"/>
        <v>51</v>
      </c>
      <c r="B2581" s="16" t="s">
        <v>3489</v>
      </c>
      <c r="C2581" s="85" t="str">
        <f ca="1">IFERROR(__xludf.DUMMYFUNCTION("GOOGLETRANSLATE(B2581:B2596,""RU"",""UK"")"),"Штангенглибиномір ШГ 250мм (0,05)")</f>
        <v>Штангенглибиномір ШГ 250мм (0,05)</v>
      </c>
      <c r="D2581" s="15" t="s">
        <v>6</v>
      </c>
      <c r="E2581" s="15">
        <v>2</v>
      </c>
      <c r="F2581" s="91" t="s">
        <v>3333</v>
      </c>
      <c r="G2581" s="4"/>
      <c r="H2581" s="4"/>
      <c r="I2581" s="4"/>
    </row>
    <row r="2582" spans="1:9" ht="15">
      <c r="A2582" s="21">
        <f t="shared" si="46"/>
        <v>52</v>
      </c>
      <c r="B2582" s="14" t="s">
        <v>3490</v>
      </c>
      <c r="C2582" s="85" t="str">
        <f ca="1">IFERROR(__xludf.DUMMYFUNCTION("GOOGLETRANSLATE(B2582:B2597,""RU"",""UK"")"),"Штангенглибиномір ШГ 320мм (0,05)")</f>
        <v>Штангенглибиномір ШГ 320мм (0,05)</v>
      </c>
      <c r="D2582" s="15" t="s">
        <v>6</v>
      </c>
      <c r="E2582" s="15">
        <v>5</v>
      </c>
      <c r="F2582" s="91" t="s">
        <v>75</v>
      </c>
      <c r="G2582" s="4"/>
      <c r="H2582" s="4"/>
      <c r="I2582" s="4"/>
    </row>
    <row r="2583" spans="1:9" ht="15">
      <c r="A2583" s="21">
        <f t="shared" si="46"/>
        <v>53</v>
      </c>
      <c r="B2583" s="14" t="s">
        <v>3491</v>
      </c>
      <c r="C2583" s="85" t="str">
        <f ca="1">IFERROR(__xludf.DUMMYFUNCTION("GOOGLETRANSLATE(B2583:B2598,""RU"",""UK"")"),"Штангенглибиномір ШГ 400мм (0,05)")</f>
        <v>Штангенглибиномір ШГ 400мм (0,05)</v>
      </c>
      <c r="D2583" s="15" t="s">
        <v>6</v>
      </c>
      <c r="E2583" s="15">
        <v>2</v>
      </c>
      <c r="F2583" s="91" t="s">
        <v>38</v>
      </c>
      <c r="G2583" s="4"/>
      <c r="H2583" s="4"/>
      <c r="I2583" s="4"/>
    </row>
    <row r="2584" spans="1:9" ht="15">
      <c r="A2584" s="21">
        <f t="shared" si="46"/>
        <v>54</v>
      </c>
      <c r="B2584" s="14" t="s">
        <v>3492</v>
      </c>
      <c r="C2584" s="85" t="str">
        <f ca="1">IFERROR(__xludf.DUMMYFUNCTION("GOOGLETRANSLATE(B2584:B2599,""RU"",""UK"")"),"Штангенглибиномір ШГ 500мм (0,1) легке б/у")</f>
        <v>Штангенглибиномір ШГ 500мм (0,1) легке б/у</v>
      </c>
      <c r="D2584" s="15" t="s">
        <v>6</v>
      </c>
      <c r="E2584" s="15">
        <v>3</v>
      </c>
      <c r="F2584" s="91" t="s">
        <v>75</v>
      </c>
      <c r="G2584" s="4"/>
      <c r="H2584" s="4"/>
      <c r="I2584" s="4"/>
    </row>
    <row r="2585" spans="1:9" ht="15">
      <c r="A2585" s="21">
        <f t="shared" si="46"/>
        <v>55</v>
      </c>
      <c r="B2585" s="14" t="s">
        <v>3493</v>
      </c>
      <c r="C2585" s="85" t="str">
        <f ca="1">IFERROR(__xludf.DUMMYFUNCTION("GOOGLETRANSLATE(B2585:B2600,""RU"",""UK"")"),"Штангензубомір ШЗ 1-18 мм (0,02) / (0,05)")</f>
        <v>Штангензубомір ШЗ 1-18 мм (0,02) / (0,05)</v>
      </c>
      <c r="D2585" s="15" t="s">
        <v>6</v>
      </c>
      <c r="E2585" s="15" t="s">
        <v>793</v>
      </c>
      <c r="F2585" s="91" t="s">
        <v>3452</v>
      </c>
      <c r="G2585" s="4"/>
      <c r="H2585" s="4"/>
      <c r="I2585" s="4"/>
    </row>
    <row r="2586" spans="1:9" ht="15">
      <c r="A2586" s="21">
        <f t="shared" si="46"/>
        <v>56</v>
      </c>
      <c r="B2586" s="14" t="s">
        <v>3494</v>
      </c>
      <c r="C2586" s="85" t="str">
        <f ca="1">IFERROR(__xludf.DUMMYFUNCTION("GOOGLETRANSLATE(B2586:B2601,""RU"",""UK"")"),"Штангензубомір ШЗ 1-18 мм (0,02) б/в")</f>
        <v>Штангензубомір ШЗ 1-18 мм (0,02) б/в</v>
      </c>
      <c r="D2586" s="15" t="s">
        <v>6</v>
      </c>
      <c r="E2586" s="15">
        <v>2</v>
      </c>
      <c r="F2586" s="91" t="s">
        <v>1113</v>
      </c>
      <c r="G2586" s="4"/>
      <c r="H2586" s="4"/>
      <c r="I2586" s="4"/>
    </row>
    <row r="2587" spans="1:9" ht="15">
      <c r="A2587" s="21">
        <f t="shared" si="46"/>
        <v>57</v>
      </c>
      <c r="B2587" s="14" t="s">
        <v>3495</v>
      </c>
      <c r="C2587" s="85" t="str">
        <f ca="1">IFERROR(__xludf.DUMMYFUNCTION("GOOGLETRANSLATE(B2587:B2602,""RU"",""UK"")"),"Штангензубомір ШЗ 5-36 мм (0,02)")</f>
        <v>Штангензубомір ШЗ 5-36 мм (0,02)</v>
      </c>
      <c r="D2587" s="15" t="s">
        <v>6</v>
      </c>
      <c r="E2587" s="15">
        <v>4</v>
      </c>
      <c r="F2587" s="91" t="s">
        <v>3496</v>
      </c>
      <c r="G2587" s="4"/>
      <c r="H2587" s="4"/>
      <c r="I2587" s="4"/>
    </row>
    <row r="2588" spans="1:9" ht="15">
      <c r="A2588" s="21">
        <f t="shared" si="46"/>
        <v>58</v>
      </c>
      <c r="B2588" s="14" t="s">
        <v>3497</v>
      </c>
      <c r="C2588" s="85" t="str">
        <f ca="1">IFERROR(__xludf.DUMMYFUNCTION("GOOGLETRANSLATE(B2588:B2603,""RU"",""UK"")"),"Штангензубомір ШЗ 5-36 мм (0,02) легке б/у")</f>
        <v>Штангензубомір ШЗ 5-36 мм (0,02) легке б/у</v>
      </c>
      <c r="D2588" s="15" t="s">
        <v>6</v>
      </c>
      <c r="E2588" s="15">
        <v>1</v>
      </c>
      <c r="F2588" s="91" t="s">
        <v>237</v>
      </c>
      <c r="G2588" s="4"/>
      <c r="H2588" s="4"/>
      <c r="I2588" s="4"/>
    </row>
    <row r="2589" spans="1:9" ht="15">
      <c r="A2589" s="21">
        <f t="shared" si="46"/>
        <v>59</v>
      </c>
      <c r="B2589" s="14" t="s">
        <v>3498</v>
      </c>
      <c r="C2589" s="85" t="str">
        <f ca="1">IFERROR(__xludf.DUMMYFUNCTION("GOOGLETRANSLATE(B2589:B2604,""RU"",""UK"")"),"Штангензубомір ШЗ 5-36 мм (0,02) б/у")</f>
        <v>Штангензубомір ШЗ 5-36 мм (0,02) б/у</v>
      </c>
      <c r="D2589" s="15" t="s">
        <v>6</v>
      </c>
      <c r="E2589" s="15">
        <v>2</v>
      </c>
      <c r="F2589" s="91" t="s">
        <v>157</v>
      </c>
      <c r="G2589" s="4"/>
      <c r="H2589" s="4"/>
      <c r="I2589" s="4"/>
    </row>
    <row r="2590" spans="1:9" ht="15">
      <c r="A2590" s="21">
        <f t="shared" si="46"/>
        <v>60</v>
      </c>
      <c r="B2590" s="19" t="s">
        <v>3499</v>
      </c>
      <c r="C2590" s="85" t="str">
        <f ca="1">IFERROR(__xludf.DUMMYFUNCTION("GOOGLETRANSLATE(B2590:B2605,""RU"",""UK"")"),"Циркур пропорційний ЦП-1 Калібр")</f>
        <v>Циркур пропорційний ЦП-1 Калібр</v>
      </c>
      <c r="D2590" s="26" t="s">
        <v>6</v>
      </c>
      <c r="E2590" s="26">
        <v>0</v>
      </c>
      <c r="F2590" s="105" t="s">
        <v>624</v>
      </c>
      <c r="G2590" s="4"/>
      <c r="H2590" s="4"/>
      <c r="I2590" s="4"/>
    </row>
    <row r="2591" spans="1:9" ht="15">
      <c r="A2591" s="21">
        <f t="shared" si="46"/>
        <v>61</v>
      </c>
      <c r="B2591" s="19" t="s">
        <v>3500</v>
      </c>
      <c r="C2591" s="85" t="str">
        <f ca="1">IFERROR(__xludf.DUMMYFUNCTION("GOOGLETRANSLATE(B2591:B2606,""RU"",""UK"")"),"Зубомір індикаторно-мікрометричний ЗІМ 16")</f>
        <v>Зубомір індикаторно-мікрометричний ЗІМ 16</v>
      </c>
      <c r="D2591" s="15" t="s">
        <v>6</v>
      </c>
      <c r="E2591" s="15">
        <v>0</v>
      </c>
      <c r="F2591" s="91" t="s">
        <v>3501</v>
      </c>
      <c r="G2591" s="4"/>
      <c r="H2591" s="4"/>
      <c r="I2591" s="4"/>
    </row>
    <row r="2592" spans="1:9" ht="15">
      <c r="A2592" s="21">
        <f t="shared" si="46"/>
        <v>62</v>
      </c>
      <c r="B2592" s="16" t="s">
        <v>3502</v>
      </c>
      <c r="C2592" s="85" t="str">
        <f ca="1">IFERROR(__xludf.DUMMYFUNCTION("GOOGLETRANSLATE(B2592:B2607,""RU"",""UK"")"),"Мікрометрична головка МГ")</f>
        <v>Мікрометрична головка МГ</v>
      </c>
      <c r="D2592" s="15" t="s">
        <v>6</v>
      </c>
      <c r="E2592" s="15">
        <v>4</v>
      </c>
      <c r="F2592" s="91" t="s">
        <v>106</v>
      </c>
      <c r="G2592" s="4"/>
      <c r="H2592" s="4"/>
      <c r="I2592" s="4"/>
    </row>
    <row r="2593" spans="1:9" ht="15">
      <c r="A2593" s="21">
        <f t="shared" si="46"/>
        <v>63</v>
      </c>
      <c r="B2593" s="16" t="s">
        <v>3503</v>
      </c>
      <c r="C2593" s="85" t="str">
        <f ca="1">IFERROR(__xludf.DUMMYFUNCTION("GOOGLETRANSLATE(B2593:B2608,""RU"",""UK"")"),"Мікрометр гладкий МК 0-25 Калібр")</f>
        <v>Мікрометр гладкий МК 0-25 Калібр</v>
      </c>
      <c r="D2593" s="17" t="s">
        <v>6</v>
      </c>
      <c r="E2593" s="17">
        <v>21</v>
      </c>
      <c r="F2593" s="92" t="s">
        <v>80</v>
      </c>
      <c r="G2593" s="4"/>
      <c r="H2593" s="4"/>
      <c r="I2593" s="4"/>
    </row>
    <row r="2594" spans="1:9" ht="15">
      <c r="A2594" s="21">
        <f t="shared" si="46"/>
        <v>64</v>
      </c>
      <c r="B2594" s="14" t="s">
        <v>3504</v>
      </c>
      <c r="C2594" s="85" t="str">
        <f ca="1">IFERROR(__xludf.DUMMYFUNCTION("GOOGLETRANSLATE(B2594:B2609,""RU"",""UK"")"),"Мікрометр гладкий МК 0-25 ГДР")</f>
        <v>Мікрометр гладкий МК 0-25 ГДР</v>
      </c>
      <c r="D2594" s="15" t="s">
        <v>6</v>
      </c>
      <c r="E2594" s="15">
        <v>1</v>
      </c>
      <c r="F2594" s="91" t="s">
        <v>80</v>
      </c>
      <c r="G2594" s="4"/>
      <c r="H2594" s="4"/>
      <c r="I2594" s="4"/>
    </row>
    <row r="2595" spans="1:9" ht="15">
      <c r="A2595" s="21">
        <f t="shared" si="46"/>
        <v>65</v>
      </c>
      <c r="B2595" s="14" t="s">
        <v>3505</v>
      </c>
      <c r="C2595" s="85" t="str">
        <f ca="1">IFERROR(__xludf.DUMMYFUNCTION("GOOGLETRANSLATE(B2595:B2610,""RU"",""UK"")"),"Мікрометр гладкий МК 25-50 Калібр")</f>
        <v>Мікрометр гладкий МК 25-50 Калібр</v>
      </c>
      <c r="D2595" s="15" t="s">
        <v>6</v>
      </c>
      <c r="E2595" s="15">
        <v>9</v>
      </c>
      <c r="F2595" s="91" t="s">
        <v>1091</v>
      </c>
      <c r="G2595" s="4"/>
      <c r="H2595" s="4"/>
      <c r="I2595" s="4"/>
    </row>
    <row r="2596" spans="1:9" ht="15">
      <c r="A2596" s="21">
        <f t="shared" si="46"/>
        <v>66</v>
      </c>
      <c r="B2596" s="14" t="s">
        <v>3506</v>
      </c>
      <c r="C2596" s="85" t="str">
        <f ca="1">IFERROR(__xludf.DUMMYFUNCTION("GOOGLETRANSLATE(B2596:B2611,""RU"",""UK"")"),"Мікрометр гладкий МК 50-75 Калібр/ПНР")</f>
        <v>Мікрометр гладкий МК 50-75 Калібр/ПНР</v>
      </c>
      <c r="D2596" s="15" t="s">
        <v>6</v>
      </c>
      <c r="E2596" s="15" t="s">
        <v>3507</v>
      </c>
      <c r="F2596" s="91" t="s">
        <v>3508</v>
      </c>
      <c r="G2596" s="4"/>
      <c r="H2596" s="4"/>
      <c r="I2596" s="4"/>
    </row>
    <row r="2597" spans="1:9" ht="15">
      <c r="A2597" s="21">
        <f t="shared" ref="A2597:A2660" si="47">A2596+1</f>
        <v>67</v>
      </c>
      <c r="B2597" s="14" t="s">
        <v>3509</v>
      </c>
      <c r="C2597" s="85" t="str">
        <f ca="1">IFERROR(__xludf.DUMMYFUNCTION("GOOGLETRANSLATE(B2597:B2612,""RU"",""UK"")"),"Мікрометр гладкий МК 50-75 Калібр Б/в")</f>
        <v>Мікрометр гладкий МК 50-75 Калібр Б/в</v>
      </c>
      <c r="D2597" s="15" t="s">
        <v>6</v>
      </c>
      <c r="E2597" s="15">
        <v>2</v>
      </c>
      <c r="F2597" s="91" t="s">
        <v>272</v>
      </c>
      <c r="G2597" s="4"/>
      <c r="H2597" s="4"/>
      <c r="I2597" s="4"/>
    </row>
    <row r="2598" spans="1:9" ht="15">
      <c r="A2598" s="21">
        <f t="shared" si="47"/>
        <v>68</v>
      </c>
      <c r="B2598" s="14" t="s">
        <v>3510</v>
      </c>
      <c r="C2598" s="85" t="str">
        <f ca="1">IFERROR(__xludf.DUMMYFUNCTION("GOOGLETRANSLATE(B2598:B2613,""RU"",""UK"")"),"Мікрометр гладкий МК 75-100 Калібр")</f>
        <v>Мікрометр гладкий МК 75-100 Калібр</v>
      </c>
      <c r="D2598" s="15" t="s">
        <v>6</v>
      </c>
      <c r="E2598" s="15">
        <v>16</v>
      </c>
      <c r="F2598" s="91" t="s">
        <v>1901</v>
      </c>
      <c r="G2598" s="4"/>
      <c r="H2598" s="4"/>
      <c r="I2598" s="4"/>
    </row>
    <row r="2599" spans="1:9" ht="15">
      <c r="A2599" s="21">
        <f t="shared" si="47"/>
        <v>69</v>
      </c>
      <c r="B2599" s="14" t="s">
        <v>3511</v>
      </c>
      <c r="C2599" s="85" t="str">
        <f ca="1">IFERROR(__xludf.DUMMYFUNCTION("GOOGLETRANSLATE(B2599:B2614,""RU"",""UK"")"),"Мікрометр гладкий МК 100-125/МК 125-150 Калібр")</f>
        <v>Мікрометр гладкий МК 100-125/МК 125-150 Калібр</v>
      </c>
      <c r="D2599" s="15" t="s">
        <v>6</v>
      </c>
      <c r="E2599" s="15" t="s">
        <v>3266</v>
      </c>
      <c r="F2599" s="91" t="s">
        <v>75</v>
      </c>
      <c r="G2599" s="4"/>
      <c r="H2599" s="4"/>
      <c r="I2599" s="4"/>
    </row>
    <row r="2600" spans="1:9" ht="15">
      <c r="A2600" s="21">
        <f t="shared" si="47"/>
        <v>70</v>
      </c>
      <c r="B2600" s="14" t="s">
        <v>3512</v>
      </c>
      <c r="C2600" s="85" t="str">
        <f ca="1">IFERROR(__xludf.DUMMYFUNCTION("GOOGLETRANSLATE(B2600:B2615,""RU"",""UK"")"),"Мікрометр гладкий МК 150-175/МК 175-200 Калібр")</f>
        <v>Мікрометр гладкий МК 150-175/МК 175-200 Калібр</v>
      </c>
      <c r="D2600" s="15" t="s">
        <v>6</v>
      </c>
      <c r="E2600" s="15" t="s">
        <v>942</v>
      </c>
      <c r="F2600" s="91" t="s">
        <v>948</v>
      </c>
      <c r="G2600" s="4"/>
      <c r="H2600" s="4"/>
      <c r="I2600" s="4"/>
    </row>
    <row r="2601" spans="1:9" ht="15">
      <c r="A2601" s="21">
        <f t="shared" si="47"/>
        <v>71</v>
      </c>
      <c r="B2601" s="16" t="s">
        <v>3513</v>
      </c>
      <c r="C2601" s="85" t="str">
        <f ca="1">IFERROR(__xludf.DUMMYFUNCTION("GOOGLETRANSLATE(B2601:B2616,""RU"",""UK"")"),"Мікрометр гладкий МК 200-225/МК 225-250 Калібр")</f>
        <v>Мікрометр гладкий МК 200-225/МК 225-250 Калібр</v>
      </c>
      <c r="D2601" s="15" t="s">
        <v>6</v>
      </c>
      <c r="E2601" s="15" t="s">
        <v>1198</v>
      </c>
      <c r="F2601" s="91" t="s">
        <v>3514</v>
      </c>
      <c r="G2601" s="4"/>
      <c r="H2601" s="4"/>
      <c r="I2601" s="4"/>
    </row>
    <row r="2602" spans="1:9" ht="15">
      <c r="A2602" s="21">
        <f t="shared" si="47"/>
        <v>72</v>
      </c>
      <c r="B2602" s="16" t="s">
        <v>3515</v>
      </c>
      <c r="C2602" s="85" t="str">
        <f ca="1">IFERROR(__xludf.DUMMYFUNCTION("GOOGLETRANSLATE(B2602:B2617,""RU"",""UK"")"),"Мікрометр гладкий МК 250-275/МК 275-300 Калібр")</f>
        <v>Мікрометр гладкий МК 250-275/МК 275-300 Калібр</v>
      </c>
      <c r="D2602" s="15" t="s">
        <v>6</v>
      </c>
      <c r="E2602" s="15" t="s">
        <v>774</v>
      </c>
      <c r="F2602" s="91" t="s">
        <v>10</v>
      </c>
      <c r="G2602" s="4"/>
      <c r="H2602" s="4"/>
      <c r="I2602" s="4"/>
    </row>
    <row r="2603" spans="1:9" ht="15">
      <c r="A2603" s="21">
        <f t="shared" si="47"/>
        <v>73</v>
      </c>
      <c r="B2603" s="14" t="s">
        <v>3516</v>
      </c>
      <c r="C2603" s="85" t="str">
        <f ca="1">IFERROR(__xludf.DUMMYFUNCTION("GOOGLETRANSLATE(B2603:B2618,""RU"",""UK"")"),"Мікрометр гладкий МК 300-400/МК 400-500 Калібр")</f>
        <v>Мікрометр гладкий МК 300-400/МК 400-500 Калібр</v>
      </c>
      <c r="D2603" s="15" t="s">
        <v>6</v>
      </c>
      <c r="E2603" s="15" t="s">
        <v>2529</v>
      </c>
      <c r="F2603" s="91" t="s">
        <v>73</v>
      </c>
      <c r="G2603" s="4"/>
      <c r="H2603" s="4"/>
      <c r="I2603" s="4"/>
    </row>
    <row r="2604" spans="1:9" ht="15">
      <c r="A2604" s="21">
        <f t="shared" si="47"/>
        <v>74</v>
      </c>
      <c r="B2604" s="14" t="s">
        <v>3517</v>
      </c>
      <c r="C2604" s="85" t="str">
        <f ca="1">IFERROR(__xludf.DUMMYFUNCTION("GOOGLETRANSLATE(B2604:B2619,""RU"",""UK"")"),"Мікрометр гладкий МК 500-600 Калібр")</f>
        <v>Мікрометр гладкий МК 500-600 Калібр</v>
      </c>
      <c r="D2604" s="15" t="s">
        <v>6</v>
      </c>
      <c r="E2604" s="15">
        <v>2</v>
      </c>
      <c r="F2604" s="91" t="s">
        <v>97</v>
      </c>
      <c r="G2604" s="4"/>
      <c r="H2604" s="4"/>
      <c r="I2604" s="4"/>
    </row>
    <row r="2605" spans="1:9" ht="15">
      <c r="A2605" s="21">
        <f t="shared" si="47"/>
        <v>75</v>
      </c>
      <c r="B2605" s="16" t="s">
        <v>3518</v>
      </c>
      <c r="C2605" s="85" t="str">
        <f ca="1">IFERROR(__xludf.DUMMYFUNCTION("GOOGLETRANSLATE(B2605:B2620,""RU"",""UK"")"),"Мікрометр листовий МЛ 0-10 (0,01)")</f>
        <v>Мікрометр листовий МЛ 0-10 (0,01)</v>
      </c>
      <c r="D2605" s="15" t="s">
        <v>6</v>
      </c>
      <c r="E2605" s="15">
        <v>1</v>
      </c>
      <c r="F2605" s="91" t="s">
        <v>237</v>
      </c>
      <c r="G2605" s="4"/>
      <c r="H2605" s="4"/>
      <c r="I2605" s="4"/>
    </row>
    <row r="2606" spans="1:9" ht="15">
      <c r="A2606" s="21">
        <f t="shared" si="47"/>
        <v>76</v>
      </c>
      <c r="B2606" s="16" t="s">
        <v>3519</v>
      </c>
      <c r="C2606" s="85" t="str">
        <f ca="1">IFERROR(__xludf.DUMMYFUNCTION("GOOGLETRANSLATE(B2606:B2621,""RU"",""UK"")"),"Мікрометр листовий МЛ 0-25 (0,01)")</f>
        <v>Мікрометр листовий МЛ 0-25 (0,01)</v>
      </c>
      <c r="D2606" s="15" t="s">
        <v>6</v>
      </c>
      <c r="E2606" s="15">
        <v>4</v>
      </c>
      <c r="F2606" s="91" t="s">
        <v>237</v>
      </c>
      <c r="G2606" s="4"/>
      <c r="H2606" s="4"/>
      <c r="I2606" s="4"/>
    </row>
    <row r="2607" spans="1:9" ht="15">
      <c r="A2607" s="21">
        <f t="shared" si="47"/>
        <v>77</v>
      </c>
      <c r="B2607" s="16" t="s">
        <v>3520</v>
      </c>
      <c r="C2607" s="85" t="str">
        <f ca="1">IFERROR(__xludf.DUMMYFUNCTION("GOOGLETRANSLATE(B2607:B2622,""RU"",""UK"")"),"Мікрометр трубний МТ 0-25 (0,01)")</f>
        <v>Мікрометр трубний МТ 0-25 (0,01)</v>
      </c>
      <c r="D2607" s="15" t="s">
        <v>6</v>
      </c>
      <c r="E2607" s="15">
        <v>3</v>
      </c>
      <c r="F2607" s="91" t="s">
        <v>3521</v>
      </c>
      <c r="G2607" s="4"/>
      <c r="H2607" s="4"/>
      <c r="I2607" s="4"/>
    </row>
    <row r="2608" spans="1:9" ht="15">
      <c r="A2608" s="21">
        <f t="shared" si="47"/>
        <v>78</v>
      </c>
      <c r="B2608" s="14" t="s">
        <v>3522</v>
      </c>
      <c r="C2608" s="85" t="str">
        <f ca="1">IFERROR(__xludf.DUMMYFUNCTION("GOOGLETRANSLATE(B2608:B2623,""RU"",""UK"")"),"Мікрометр МВМ 0-25/МВМ 75-100")</f>
        <v>Мікрометр МВМ 0-25/МВМ 75-100</v>
      </c>
      <c r="D2608" s="15" t="s">
        <v>6</v>
      </c>
      <c r="E2608" s="15" t="s">
        <v>710</v>
      </c>
      <c r="F2608" s="91" t="s">
        <v>1113</v>
      </c>
      <c r="G2608" s="4"/>
      <c r="H2608" s="4"/>
      <c r="I2608" s="4"/>
    </row>
    <row r="2609" spans="1:9" ht="15">
      <c r="A2609" s="21">
        <f t="shared" si="47"/>
        <v>79</v>
      </c>
      <c r="B2609" s="16" t="s">
        <v>3523</v>
      </c>
      <c r="C2609" s="85" t="str">
        <f ca="1">IFERROR(__xludf.DUMMYFUNCTION("GOOGLETRANSLATE(B2609:B2624,""RU"",""UK"")"),"Мікрометр зубомірний МЗ-25 (0-25мм) кл. 2.")</f>
        <v>Мікрометр зубомірний МЗ-25 (0-25мм) кл. 2.</v>
      </c>
      <c r="D2609" s="15" t="s">
        <v>6</v>
      </c>
      <c r="E2609" s="15">
        <v>4</v>
      </c>
      <c r="F2609" s="91" t="s">
        <v>3456</v>
      </c>
      <c r="G2609" s="4"/>
      <c r="H2609" s="4"/>
      <c r="I2609" s="4"/>
    </row>
    <row r="2610" spans="1:9" ht="15">
      <c r="A2610" s="21">
        <f t="shared" si="47"/>
        <v>80</v>
      </c>
      <c r="B2610" s="16" t="s">
        <v>3524</v>
      </c>
      <c r="C2610" s="85" t="str">
        <f ca="1">IFERROR(__xludf.DUMMYFUNCTION("GOOGLETRANSLATE(B2610:B2625,""RU"",""UK"")"),"Мікрометр зубомірний інд-ний 0-25мм 2мкм (0,002мм), НДР, CARL ZEISS")</f>
        <v>Мікрометр зубомірний інд-ний 0-25мм 2мкм (0,002мм), НДР, CARL ZEISS</v>
      </c>
      <c r="D2610" s="15" t="s">
        <v>6</v>
      </c>
      <c r="E2610" s="15">
        <v>1</v>
      </c>
      <c r="F2610" s="91" t="s">
        <v>3525</v>
      </c>
      <c r="G2610" s="4"/>
      <c r="H2610" s="4"/>
      <c r="I2610" s="4"/>
    </row>
    <row r="2611" spans="1:9" ht="15">
      <c r="A2611" s="21">
        <f t="shared" si="47"/>
        <v>81</v>
      </c>
      <c r="B2611" s="16" t="s">
        <v>3526</v>
      </c>
      <c r="C2611" s="85" t="str">
        <f ca="1">IFERROR(__xludf.DUMMYFUNCTION("GOOGLETRANSLATE(B2611:B2626,""RU"",""UK"")"),"Мікрометр зубомірний МЗ-50 (25-50мм) кл. 2.")</f>
        <v>Мікрометр зубомірний МЗ-50 (25-50мм) кл. 2.</v>
      </c>
      <c r="D2611" s="15" t="s">
        <v>6</v>
      </c>
      <c r="E2611" s="15">
        <v>1</v>
      </c>
      <c r="F2611" s="91" t="s">
        <v>3527</v>
      </c>
      <c r="G2611" s="4"/>
      <c r="H2611" s="4"/>
      <c r="I2611" s="4"/>
    </row>
    <row r="2612" spans="1:9" ht="15">
      <c r="A2612" s="21">
        <f t="shared" si="47"/>
        <v>82</v>
      </c>
      <c r="B2612" s="14" t="s">
        <v>3528</v>
      </c>
      <c r="C2612" s="85" t="str">
        <f ca="1">IFERROR(__xludf.DUMMYFUNCTION("GOOGLETRANSLATE(B2612:B2627,""RU"",""UK"")"),"Мікрометр зубомірний МЗ-75 (50-75мм) кл. 2.")</f>
        <v>Мікрометр зубомірний МЗ-75 (50-75мм) кл. 2.</v>
      </c>
      <c r="D2612" s="15" t="s">
        <v>6</v>
      </c>
      <c r="E2612" s="15">
        <v>3</v>
      </c>
      <c r="F2612" s="91" t="s">
        <v>3325</v>
      </c>
      <c r="G2612" s="4"/>
      <c r="H2612" s="4"/>
      <c r="I2612" s="4"/>
    </row>
    <row r="2613" spans="1:9" ht="15">
      <c r="A2613" s="21">
        <f t="shared" si="47"/>
        <v>83</v>
      </c>
      <c r="B2613" s="14" t="s">
        <v>3529</v>
      </c>
      <c r="C2613" s="85" t="str">
        <f ca="1">IFERROR(__xludf.DUMMYFUNCTION("GOOGLETRANSLATE(B2613:B2628,""RU"",""UK"")"),"Мікрометр зубомірний МЗ-75 (75-100мм) кл. 2.")</f>
        <v>Мікрометр зубомірний МЗ-75 (75-100мм) кл. 2.</v>
      </c>
      <c r="D2613" s="15" t="s">
        <v>6</v>
      </c>
      <c r="E2613" s="15">
        <v>2</v>
      </c>
      <c r="F2613" s="91" t="s">
        <v>3530</v>
      </c>
      <c r="G2613" s="4"/>
      <c r="H2613" s="4"/>
      <c r="I2613" s="4"/>
    </row>
    <row r="2614" spans="1:9" ht="15">
      <c r="A2614" s="21">
        <f t="shared" si="47"/>
        <v>84</v>
      </c>
      <c r="B2614" s="16" t="s">
        <v>3531</v>
      </c>
      <c r="C2614" s="85" t="str">
        <f ca="1">IFERROR(__xludf.DUMMYFUNCTION("GOOGLETRANSLATE(B2614:B2629,""RU"",""UK"")"),"Мікрометр важільний МР-25 (0,002) ЛІЗ/МР 0-25 VIS ПНР(0,002)")</f>
        <v>Мікрометр важільний МР-25 (0,002) ЛІЗ/МР 0-25 VIS ПНР(0,002)</v>
      </c>
      <c r="D2614" s="15" t="s">
        <v>6</v>
      </c>
      <c r="E2614" s="15" t="s">
        <v>793</v>
      </c>
      <c r="F2614" s="91" t="s">
        <v>75</v>
      </c>
      <c r="G2614" s="4"/>
      <c r="H2614" s="4"/>
      <c r="I2614" s="4"/>
    </row>
    <row r="2615" spans="1:9" ht="15">
      <c r="A2615" s="21">
        <f t="shared" si="47"/>
        <v>85</v>
      </c>
      <c r="B2615" s="16" t="s">
        <v>3532</v>
      </c>
      <c r="C2615" s="85" t="str">
        <f ca="1">IFERROR(__xludf.DUMMYFUNCTION("GOOGLETRANSLATE(B2615:B2630,""RU"",""UK"")"),"Мікрометр важільний МР 0-25 (0,002) б/у")</f>
        <v>Мікрометр важільний МР 0-25 (0,002) б/у</v>
      </c>
      <c r="D2615" s="17" t="s">
        <v>6</v>
      </c>
      <c r="E2615" s="17">
        <v>2</v>
      </c>
      <c r="F2615" s="92" t="s">
        <v>71</v>
      </c>
      <c r="G2615" s="4"/>
      <c r="H2615" s="4"/>
      <c r="I2615" s="4"/>
    </row>
    <row r="2616" spans="1:9" ht="15">
      <c r="A2616" s="21">
        <f t="shared" si="47"/>
        <v>86</v>
      </c>
      <c r="B2616" s="16" t="s">
        <v>3533</v>
      </c>
      <c r="C2616" s="85" t="str">
        <f ca="1">IFERROR(__xludf.DUMMYFUNCTION("GOOGLETRANSLATE(B2616:B2631,""RU"",""UK"")"),"Мікрометр важільний МР 0-25 VIS ПНР легке б/в (0,002)")</f>
        <v>Мікрометр важільний МР 0-25 VIS ПНР легке б/в (0,002)</v>
      </c>
      <c r="D2616" s="17" t="s">
        <v>6</v>
      </c>
      <c r="E2616" s="17">
        <v>1</v>
      </c>
      <c r="F2616" s="92" t="s">
        <v>75</v>
      </c>
      <c r="G2616" s="4"/>
      <c r="H2616" s="4"/>
      <c r="I2616" s="4"/>
    </row>
    <row r="2617" spans="1:9" ht="15">
      <c r="A2617" s="21">
        <f t="shared" si="47"/>
        <v>87</v>
      </c>
      <c r="B2617" s="16" t="s">
        <v>3534</v>
      </c>
      <c r="C2617" s="85" t="str">
        <f ca="1">IFERROR(__xludf.DUMMYFUNCTION("GOOGLETRANSLATE(B2617:B2632,""RU"",""UK"")"),"Мікрометр важільний МР 25-50 VIS ПНР (0,002)")</f>
        <v>Мікрометр важільний МР 25-50 VIS ПНР (0,002)</v>
      </c>
      <c r="D2617" s="17" t="s">
        <v>6</v>
      </c>
      <c r="E2617" s="17">
        <v>3</v>
      </c>
      <c r="F2617" s="92" t="s">
        <v>10</v>
      </c>
      <c r="G2617" s="4"/>
      <c r="H2617" s="4"/>
      <c r="I2617" s="4"/>
    </row>
    <row r="2618" spans="1:9" ht="15">
      <c r="A2618" s="21">
        <f t="shared" si="47"/>
        <v>88</v>
      </c>
      <c r="B2618" s="16" t="s">
        <v>3535</v>
      </c>
      <c r="C2618" s="85" t="str">
        <f ca="1">IFERROR(__xludf.DUMMYFUNCTION("GOOGLETRANSLATE(B2618:B2633,""RU"",""UK"")"),"Мікрометр важільний МР 25-50 (0,002) легке бу")</f>
        <v>Мікрометр важільний МР 25-50 (0,002) легке бу</v>
      </c>
      <c r="D2618" s="17" t="s">
        <v>6</v>
      </c>
      <c r="E2618" s="17">
        <v>1</v>
      </c>
      <c r="F2618" s="92" t="s">
        <v>3536</v>
      </c>
      <c r="G2618" s="4"/>
      <c r="H2618" s="4"/>
      <c r="I2618" s="4"/>
    </row>
    <row r="2619" spans="1:9" ht="15">
      <c r="A2619" s="21">
        <f t="shared" si="47"/>
        <v>89</v>
      </c>
      <c r="B2619" s="16" t="s">
        <v>3537</v>
      </c>
      <c r="C2619" s="85" t="str">
        <f ca="1">IFERROR(__xludf.DUMMYFUNCTION("GOOGLETRANSLATE(B2619:B2634,""RU"",""UK"")"),"Мікрометр із важелевою головкою МРІ 50-75мм. ЛІЗ (0,005)")</f>
        <v>Мікрометр із важелевою головкою МРІ 50-75мм. ЛІЗ (0,005)</v>
      </c>
      <c r="D2619" s="17" t="s">
        <v>6</v>
      </c>
      <c r="E2619" s="17">
        <v>1</v>
      </c>
      <c r="F2619" s="92" t="s">
        <v>3538</v>
      </c>
      <c r="G2619" s="4"/>
      <c r="H2619" s="4"/>
      <c r="I2619" s="4"/>
    </row>
    <row r="2620" spans="1:9" ht="15">
      <c r="A2620" s="21">
        <f t="shared" si="47"/>
        <v>90</v>
      </c>
      <c r="B2620" s="14" t="s">
        <v>3539</v>
      </c>
      <c r="C2620" s="85" t="str">
        <f ca="1">IFERROR(__xludf.DUMMYFUNCTION("GOOGLETRANSLATE(B2620:B2635,""RU"",""UK"")"),"Мікрометр МРІ 100-125/МРІ 125-150")</f>
        <v>Мікрометр МРІ 100-125/МРІ 125-150</v>
      </c>
      <c r="D2620" s="15" t="s">
        <v>6</v>
      </c>
      <c r="E2620" s="15" t="s">
        <v>1631</v>
      </c>
      <c r="F2620" s="91" t="s">
        <v>948</v>
      </c>
      <c r="G2620" s="4"/>
      <c r="H2620" s="4"/>
      <c r="I2620" s="4"/>
    </row>
    <row r="2621" spans="1:9" ht="15">
      <c r="A2621" s="21">
        <f t="shared" si="47"/>
        <v>91</v>
      </c>
      <c r="B2621" s="16" t="s">
        <v>3540</v>
      </c>
      <c r="C2621" s="85" t="str">
        <f ca="1">IFERROR(__xludf.DUMMYFUNCTION("GOOGLETRANSLATE(B2621:B2636,""RU"",""UK"")"),"Мікрометр МРІ 100-125")</f>
        <v>Мікрометр МРІ 100-125</v>
      </c>
      <c r="D2621" s="15" t="s">
        <v>6</v>
      </c>
      <c r="E2621" s="15">
        <v>1</v>
      </c>
      <c r="F2621" s="91" t="s">
        <v>1086</v>
      </c>
      <c r="G2621" s="4"/>
      <c r="H2621" s="4"/>
      <c r="I2621" s="4"/>
    </row>
    <row r="2622" spans="1:9" ht="15">
      <c r="A2622" s="21">
        <f t="shared" si="47"/>
        <v>92</v>
      </c>
      <c r="B2622" s="14" t="s">
        <v>3541</v>
      </c>
      <c r="C2622" s="85" t="str">
        <f ca="1">IFERROR(__xludf.DUMMYFUNCTION("GOOGLETRANSLATE(B2622:B2637,""RU"",""UK"")"),"Мікрометр МРІ 300-400")</f>
        <v>Мікрометр МРІ 300-400</v>
      </c>
      <c r="D2622" s="15" t="s">
        <v>6</v>
      </c>
      <c r="E2622" s="15">
        <v>1</v>
      </c>
      <c r="F2622" s="91" t="s">
        <v>10</v>
      </c>
      <c r="G2622" s="4"/>
      <c r="H2622" s="4"/>
      <c r="I2622" s="4"/>
    </row>
    <row r="2623" spans="1:9" ht="15">
      <c r="A2623" s="21">
        <f t="shared" si="47"/>
        <v>93</v>
      </c>
      <c r="B2623" s="14" t="s">
        <v>3542</v>
      </c>
      <c r="C2623" s="85" t="str">
        <f ca="1">IFERROR(__xludf.DUMMYFUNCTION("GOOGLETRANSLATE(B2623:B2638,""RU"",""UK"")"),"Мікрометр призматичний МСМ 20-35мм (0.01мм) для контролю валиків")</f>
        <v>Мікрометр призматичний МСМ 20-35мм (0.01мм) для контролю валиків</v>
      </c>
      <c r="D2623" s="15" t="s">
        <v>6</v>
      </c>
      <c r="E2623" s="15">
        <v>1</v>
      </c>
      <c r="F2623" s="91" t="s">
        <v>102</v>
      </c>
      <c r="G2623" s="4"/>
      <c r="H2623" s="4"/>
      <c r="I2623" s="4"/>
    </row>
    <row r="2624" spans="1:9" ht="15">
      <c r="A2624" s="21">
        <f t="shared" si="47"/>
        <v>94</v>
      </c>
      <c r="B2624" s="16" t="s">
        <v>3543</v>
      </c>
      <c r="C2624" s="85" t="str">
        <f ca="1">IFERROR(__xludf.DUMMYFUNCTION("GOOGLETRANSLATE(B2624:B2639,""RU"",""UK"")"),"Стенкомір С10А (0-10мм) / С10Б (0-10мм)")</f>
        <v>Стенкомір С10А (0-10мм) / С10Б (0-10мм)</v>
      </c>
      <c r="D2624" s="17" t="s">
        <v>6</v>
      </c>
      <c r="E2624" s="17" t="s">
        <v>793</v>
      </c>
      <c r="F2624" s="91" t="s">
        <v>10</v>
      </c>
      <c r="G2624" s="4"/>
      <c r="H2624" s="4"/>
      <c r="I2624" s="4"/>
    </row>
    <row r="2625" spans="1:9" ht="15">
      <c r="A2625" s="21">
        <f t="shared" si="47"/>
        <v>95</v>
      </c>
      <c r="B2625" s="16" t="s">
        <v>3544</v>
      </c>
      <c r="C2625" s="85" t="str">
        <f ca="1">IFERROR(__xludf.DUMMYFUNCTION("GOOGLETRANSLATE(B2625:B2640,""RU"",""UK"")"),"Стенкомер С10А (0-10мм) б/у")</f>
        <v>Стенкомер С10А (0-10мм) б/у</v>
      </c>
      <c r="D2625" s="17" t="s">
        <v>6</v>
      </c>
      <c r="E2625" s="17">
        <v>1</v>
      </c>
      <c r="F2625" s="91" t="s">
        <v>3545</v>
      </c>
      <c r="G2625" s="4"/>
      <c r="H2625" s="4"/>
      <c r="I2625" s="4"/>
    </row>
    <row r="2626" spans="1:9" ht="15">
      <c r="A2626" s="21">
        <f t="shared" si="47"/>
        <v>96</v>
      </c>
      <c r="B2626" s="16" t="s">
        <v>3546</v>
      </c>
      <c r="C2626" s="85" t="str">
        <f ca="1">IFERROR(__xludf.DUMMYFUNCTION("GOOGLETRANSLATE(B2626:B2641,""RU"",""UK"")"),"Товщиномір індик. ручний ТР 10-60 (0-10мм)")</f>
        <v>Товщиномір індик. ручний ТР 10-60 (0-10мм)</v>
      </c>
      <c r="D2626" s="15" t="s">
        <v>6</v>
      </c>
      <c r="E2626" s="15">
        <v>5</v>
      </c>
      <c r="F2626" s="91" t="s">
        <v>914</v>
      </c>
      <c r="G2626" s="4"/>
      <c r="H2626" s="4"/>
      <c r="I2626" s="4"/>
    </row>
    <row r="2627" spans="1:9" ht="15">
      <c r="A2627" s="21">
        <f t="shared" si="47"/>
        <v>97</v>
      </c>
      <c r="B2627" s="16" t="s">
        <v>3547</v>
      </c>
      <c r="C2627" s="85" t="str">
        <f ca="1">IFERROR(__xludf.DUMMYFUNCTION("GOOGLETRANSLATE(B2627:B2642,""RU"",""UK"")"),"Товщиномір індик. настільний ТН 10-60М (0-10мм)")</f>
        <v>Товщиномір індик. настільний ТН 10-60М (0-10мм)</v>
      </c>
      <c r="D2627" s="15" t="s">
        <v>6</v>
      </c>
      <c r="E2627" s="15">
        <v>1</v>
      </c>
      <c r="F2627" s="91" t="s">
        <v>914</v>
      </c>
      <c r="G2627" s="4"/>
      <c r="H2627" s="4"/>
      <c r="I2627" s="4"/>
    </row>
    <row r="2628" spans="1:9" ht="15">
      <c r="A2628" s="21">
        <f t="shared" si="47"/>
        <v>98</v>
      </c>
      <c r="B2628" s="19" t="s">
        <v>3548</v>
      </c>
      <c r="C2628" s="85" t="str">
        <f ca="1">IFERROR(__xludf.DUMMYFUNCTION("GOOGLETRANSLATE(B2628:B2643,""RU"",""UK"")"),"Товщиномір індик. ручний ТР 25-60Б (0-25мм)")</f>
        <v>Товщиномір індик. ручний ТР 25-60Б (0-25мм)</v>
      </c>
      <c r="D2628" s="15" t="s">
        <v>6</v>
      </c>
      <c r="E2628" s="15">
        <v>0</v>
      </c>
      <c r="F2628" s="91" t="s">
        <v>914</v>
      </c>
      <c r="G2628" s="4"/>
      <c r="H2628" s="4"/>
      <c r="I2628" s="4"/>
    </row>
    <row r="2629" spans="1:9" ht="15">
      <c r="A2629" s="21">
        <f t="shared" si="47"/>
        <v>99</v>
      </c>
      <c r="B2629" s="16" t="s">
        <v>3549</v>
      </c>
      <c r="C2629" s="85" t="str">
        <f ca="1">IFERROR(__xludf.DUMMYFUNCTION("GOOGLETRANSLATE(B2629:B2644,""RU"",""UK"")"),"Товщиномір індик. ручний ТР 25-100Б (0-25мм)")</f>
        <v>Товщиномір індик. ручний ТР 25-100Б (0-25мм)</v>
      </c>
      <c r="D2629" s="15" t="s">
        <v>6</v>
      </c>
      <c r="E2629" s="15">
        <v>1</v>
      </c>
      <c r="F2629" s="91" t="s">
        <v>910</v>
      </c>
      <c r="G2629" s="4"/>
      <c r="H2629" s="4"/>
      <c r="I2629" s="4"/>
    </row>
    <row r="2630" spans="1:9" ht="15">
      <c r="A2630" s="21">
        <f t="shared" si="47"/>
        <v>100</v>
      </c>
      <c r="B2630" s="16" t="s">
        <v>3550</v>
      </c>
      <c r="C2630" s="85" t="str">
        <f ca="1">IFERROR(__xludf.DUMMYFUNCTION("GOOGLETRANSLATE(B2630:B2645,""RU"",""UK"")"),"Товщиномір індик. ручний ТР 50-90 (0-50мм) з 4-ма вставками 10, 20, 30, 40мм")</f>
        <v>Товщиномір індик. ручний ТР 50-90 (0-50мм) з 4-ма вставками 10, 20, 30, 40мм</v>
      </c>
      <c r="D2630" s="17" t="s">
        <v>6</v>
      </c>
      <c r="E2630" s="17">
        <v>1</v>
      </c>
      <c r="F2630" s="92" t="s">
        <v>10</v>
      </c>
      <c r="G2630" s="4"/>
      <c r="H2630" s="4"/>
      <c r="I2630" s="4"/>
    </row>
    <row r="2631" spans="1:9" ht="15">
      <c r="A2631" s="21">
        <f t="shared" si="47"/>
        <v>101</v>
      </c>
      <c r="B2631" s="16" t="s">
        <v>3551</v>
      </c>
      <c r="C2631" s="85" t="str">
        <f ca="1">IFERROR(__xludf.DUMMYFUNCTION("GOOGLETRANSLATE(B2631:B2646,""RU"",""UK"")"),"Товщиномір індик. ручний ТР 50-160Б (0-50мм)")</f>
        <v>Товщиномір індик. ручний ТР 50-160Б (0-50мм)</v>
      </c>
      <c r="D2631" s="17" t="s">
        <v>6</v>
      </c>
      <c r="E2631" s="17">
        <v>2</v>
      </c>
      <c r="F2631" s="92" t="s">
        <v>12</v>
      </c>
      <c r="G2631" s="4"/>
      <c r="H2631" s="4"/>
      <c r="I2631" s="4"/>
    </row>
    <row r="2632" spans="1:9" ht="15">
      <c r="A2632" s="21">
        <f t="shared" si="47"/>
        <v>102</v>
      </c>
      <c r="B2632" s="16" t="s">
        <v>3552</v>
      </c>
      <c r="C2632" s="85" t="str">
        <f ca="1">IFERROR(__xludf.DUMMYFUNCTION("GOOGLETRANSLATE(B2632:B2647,""RU"",""UK"")"),"Нормалемір БВ 0-120мм (0,002)")</f>
        <v>Нормалемір БВ 0-120мм (0,002)</v>
      </c>
      <c r="D2632" s="17" t="s">
        <v>6</v>
      </c>
      <c r="E2632" s="17">
        <v>1</v>
      </c>
      <c r="F2632" s="92" t="s">
        <v>3553</v>
      </c>
      <c r="G2632" s="4"/>
      <c r="H2632" s="4"/>
      <c r="I2632" s="4"/>
    </row>
    <row r="2633" spans="1:9" ht="15">
      <c r="A2633" s="21">
        <f t="shared" si="47"/>
        <v>103</v>
      </c>
      <c r="B2633" s="14" t="s">
        <v>3554</v>
      </c>
      <c r="C2633" s="85" t="str">
        <f ca="1">IFERROR(__xludf.DUMMYFUNCTION("GOOGLETRANSLATE(B2633:B2648,""RU"",""UK"")"),"Скоба ідикаторна СІ 50-3")</f>
        <v>Скоба ідикаторна СІ 50-3</v>
      </c>
      <c r="D2633" s="15" t="s">
        <v>6</v>
      </c>
      <c r="E2633" s="15">
        <v>4</v>
      </c>
      <c r="F2633" s="91" t="s">
        <v>1113</v>
      </c>
      <c r="G2633" s="4"/>
      <c r="H2633" s="4"/>
      <c r="I2633" s="4"/>
    </row>
    <row r="2634" spans="1:9" ht="15">
      <c r="A2634" s="21">
        <f t="shared" si="47"/>
        <v>104</v>
      </c>
      <c r="B2634" s="14" t="s">
        <v>3555</v>
      </c>
      <c r="C2634" s="85" t="str">
        <f ca="1">IFERROR(__xludf.DUMMYFUNCTION("GOOGLETRANSLATE(B2634:B2649,""RU"",""UK"")"),"Скоба ідикаторна СІ 100-200")</f>
        <v>Скоба ідикаторна СІ 100-200</v>
      </c>
      <c r="D2634" s="15" t="s">
        <v>6</v>
      </c>
      <c r="E2634" s="15">
        <v>2</v>
      </c>
      <c r="F2634" s="91" t="s">
        <v>71</v>
      </c>
      <c r="G2634" s="4"/>
      <c r="H2634" s="4"/>
      <c r="I2634" s="4"/>
    </row>
    <row r="2635" spans="1:9" ht="15">
      <c r="A2635" s="21">
        <f t="shared" si="47"/>
        <v>105</v>
      </c>
      <c r="B2635" s="19" t="s">
        <v>3556</v>
      </c>
      <c r="C2635" s="85" t="str">
        <f ca="1">IFERROR(__xludf.DUMMYFUNCTION("GOOGLETRANSLATE(B2635:B2650,""RU"",""UK"")"),"Скоба важільна з відліковим пристроєм СР-25 (0-25) 0,002 ЛІЗ")</f>
        <v>Скоба важільна з відліковим пристроєм СР-25 (0-25) 0,002 ЛІЗ</v>
      </c>
      <c r="D2635" s="17" t="s">
        <v>6</v>
      </c>
      <c r="E2635" s="17">
        <v>0</v>
      </c>
      <c r="F2635" s="92" t="s">
        <v>38</v>
      </c>
      <c r="G2635" s="4"/>
      <c r="H2635" s="4"/>
      <c r="I2635" s="4"/>
    </row>
    <row r="2636" spans="1:9" ht="15">
      <c r="A2636" s="21">
        <f t="shared" si="47"/>
        <v>106</v>
      </c>
      <c r="B2636" s="16" t="s">
        <v>3557</v>
      </c>
      <c r="C2636" s="85" t="str">
        <f ca="1">IFERROR(__xludf.DUMMYFUNCTION("GOOGLETRANSLATE(B2636:B2651,""RU"",""UK"")"),"Скоба важільна з відліковим пристроєм СР-25 (0-25) 0,002 ЛІЗ Б.у")</f>
        <v>Скоба важільна з відліковим пристроєм СР-25 (0-25) 0,002 ЛІЗ Б.у</v>
      </c>
      <c r="D2636" s="17" t="s">
        <v>6</v>
      </c>
      <c r="E2636" s="17">
        <v>1</v>
      </c>
      <c r="F2636" s="92" t="s">
        <v>80</v>
      </c>
      <c r="G2636" s="4"/>
      <c r="H2636" s="4"/>
      <c r="I2636" s="4"/>
    </row>
    <row r="2637" spans="1:9" ht="15">
      <c r="A2637" s="21">
        <f t="shared" si="47"/>
        <v>107</v>
      </c>
      <c r="B2637" s="16" t="s">
        <v>3558</v>
      </c>
      <c r="C2637" s="85" t="str">
        <f ca="1">IFERROR(__xludf.DUMMYFUNCTION("GOOGLETRANSLATE(B2637:B2652,""RU"",""UK"")"),"Скоба важільна з відліковим пристроєм СР-50 (25-50) 0,002 ЛІЗ")</f>
        <v>Скоба важільна з відліковим пристроєм СР-50 (25-50) 0,002 ЛІЗ</v>
      </c>
      <c r="D2637" s="17" t="s">
        <v>6</v>
      </c>
      <c r="E2637" s="17">
        <v>2</v>
      </c>
      <c r="F2637" s="92" t="s">
        <v>3559</v>
      </c>
      <c r="G2637" s="4"/>
      <c r="H2637" s="4"/>
      <c r="I2637" s="4"/>
    </row>
    <row r="2638" spans="1:9" ht="15">
      <c r="A2638" s="21">
        <f t="shared" si="47"/>
        <v>108</v>
      </c>
      <c r="B2638" s="16" t="s">
        <v>3560</v>
      </c>
      <c r="C2638" s="85" t="str">
        <f ca="1">IFERROR(__xludf.DUMMYFUNCTION("GOOGLETRANSLATE(B2638:B2653,""RU"",""UK"")"),"Скоба важільна з відліковим пристроєм СР-50 (25-50) 0,002 ЛІЗ легке бу")</f>
        <v>Скоба важільна з відліковим пристроєм СР-50 (25-50) 0,002 ЛІЗ легке бу</v>
      </c>
      <c r="D2638" s="17" t="s">
        <v>6</v>
      </c>
      <c r="E2638" s="17">
        <v>1</v>
      </c>
      <c r="F2638" s="92" t="s">
        <v>3371</v>
      </c>
      <c r="G2638" s="4"/>
      <c r="H2638" s="4"/>
      <c r="I2638" s="4"/>
    </row>
    <row r="2639" spans="1:9" ht="15">
      <c r="A2639" s="21">
        <f t="shared" si="47"/>
        <v>109</v>
      </c>
      <c r="B2639" s="16" t="s">
        <v>3561</v>
      </c>
      <c r="C2639" s="85" t="str">
        <f ca="1">IFERROR(__xludf.DUMMYFUNCTION("GOOGLETRANSLATE(B2639:B2654,""RU"",""UK"")"),"Скоба важільна з відліковим пристроєм СР-50 (25-50) 0,002 ЛІЗ шлюб шкали")</f>
        <v>Скоба важільна з відліковим пристроєм СР-50 (25-50) 0,002 ЛІЗ шлюб шкали</v>
      </c>
      <c r="D2639" s="17" t="s">
        <v>6</v>
      </c>
      <c r="E2639" s="17">
        <v>1</v>
      </c>
      <c r="F2639" s="92" t="s">
        <v>1189</v>
      </c>
      <c r="G2639" s="4"/>
      <c r="H2639" s="4"/>
      <c r="I2639" s="4"/>
    </row>
    <row r="2640" spans="1:9" ht="15">
      <c r="A2640" s="21">
        <f t="shared" si="47"/>
        <v>110</v>
      </c>
      <c r="B2640" s="16" t="s">
        <v>3562</v>
      </c>
      <c r="C2640" s="85" t="str">
        <f ca="1">IFERROR(__xludf.DUMMYFUNCTION("GOOGLETRANSLATE(B2640:B2655,""RU"",""UK"")"),"Скоба важільна з відліковим пристроєм СР-50 (25-50) 0,002 VIS ПНР леге")</f>
        <v>Скоба важільна з відліковим пристроєм СР-50 (25-50) 0,002 VIS ПНР леге</v>
      </c>
      <c r="D2640" s="17" t="s">
        <v>6</v>
      </c>
      <c r="E2640" s="17">
        <v>1</v>
      </c>
      <c r="F2640" s="92" t="s">
        <v>3563</v>
      </c>
      <c r="G2640" s="4"/>
      <c r="H2640" s="4"/>
      <c r="I2640" s="4"/>
    </row>
    <row r="2641" spans="1:9" ht="15">
      <c r="A2641" s="21">
        <f t="shared" si="47"/>
        <v>111</v>
      </c>
      <c r="B2641" s="16" t="s">
        <v>3564</v>
      </c>
      <c r="C2641" s="85" t="str">
        <f ca="1">IFERROR(__xludf.DUMMYFUNCTION("GOOGLETRANSLATE(B2641:B2656,""RU"",""UK"")"),"Скоба важільна з відліковим устр. підвищення. точності УРП-50 (25-50) 0,001 ЛІЗ")</f>
        <v>Скоба важільна з відліковим устр. підвищення. точності УРП-50 (25-50) 0,001 ЛІЗ</v>
      </c>
      <c r="D2641" s="17" t="s">
        <v>6</v>
      </c>
      <c r="E2641" s="17">
        <v>1</v>
      </c>
      <c r="F2641" s="92" t="s">
        <v>3565</v>
      </c>
      <c r="G2641" s="4"/>
      <c r="H2641" s="4"/>
      <c r="I2641" s="4"/>
    </row>
    <row r="2642" spans="1:9" ht="15">
      <c r="A2642" s="21">
        <f t="shared" si="47"/>
        <v>112</v>
      </c>
      <c r="B2642" s="16" t="s">
        <v>3566</v>
      </c>
      <c r="C2642" s="85" t="str">
        <f ca="1">IFERROR(__xludf.DUMMYFUNCTION("GOOGLETRANSLATE(B2642:B2657,""RU"",""UK"")"),"Скоба важільна з відліковим устр. підвищення. точності УРП-50 (25-50) 0,001 ЛІЗ Б.у.")</f>
        <v>Скоба важільна з відліковим устр. підвищення. точності УРП-50 (25-50) 0,001 ЛІЗ Б.у.</v>
      </c>
      <c r="D2642" s="17" t="s">
        <v>6</v>
      </c>
      <c r="E2642" s="17">
        <v>1</v>
      </c>
      <c r="F2642" s="92" t="s">
        <v>3366</v>
      </c>
      <c r="G2642" s="4"/>
      <c r="H2642" s="4"/>
      <c r="I2642" s="4"/>
    </row>
    <row r="2643" spans="1:9" ht="15">
      <c r="A2643" s="21">
        <f t="shared" si="47"/>
        <v>113</v>
      </c>
      <c r="B2643" s="16" t="s">
        <v>3567</v>
      </c>
      <c r="C2643" s="85" t="str">
        <f ca="1">IFERROR(__xludf.DUMMYFUNCTION("GOOGLETRANSLATE(B2643:B2658,""RU"",""UK"")"),"Скоба важільна з відліковим пристроєм СР-75 (50-75) 0,002")</f>
        <v>Скоба важільна з відліковим пристроєм СР-75 (50-75) 0,002</v>
      </c>
      <c r="D2643" s="17" t="s">
        <v>6</v>
      </c>
      <c r="E2643" s="17">
        <v>1</v>
      </c>
      <c r="F2643" s="92" t="s">
        <v>38</v>
      </c>
      <c r="G2643" s="4"/>
      <c r="H2643" s="4"/>
      <c r="I2643" s="4"/>
    </row>
    <row r="2644" spans="1:9" ht="15">
      <c r="A2644" s="21">
        <f t="shared" si="47"/>
        <v>114</v>
      </c>
      <c r="B2644" s="16" t="s">
        <v>3568</v>
      </c>
      <c r="C2644" s="85" t="str">
        <f ca="1">IFERROR(__xludf.DUMMYFUNCTION("GOOGLETRANSLATE(B2644:B2659,""RU"",""UK"")"),"Скоба важільна з відліковим устр. підвищення. точності УРП-75 (50-75) 0,001 ЛІЗ")</f>
        <v>Скоба важільна з відліковим устр. підвищення. точності УРП-75 (50-75) 0,001 ЛІЗ</v>
      </c>
      <c r="D2644" s="17" t="s">
        <v>6</v>
      </c>
      <c r="E2644" s="17">
        <v>1</v>
      </c>
      <c r="F2644" s="92" t="s">
        <v>10</v>
      </c>
      <c r="G2644" s="4"/>
      <c r="H2644" s="4"/>
      <c r="I2644" s="4"/>
    </row>
    <row r="2645" spans="1:9" ht="15">
      <c r="A2645" s="21">
        <f t="shared" si="47"/>
        <v>115</v>
      </c>
      <c r="B2645" s="16" t="s">
        <v>3569</v>
      </c>
      <c r="C2645" s="85" t="str">
        <f ca="1">IFERROR(__xludf.DUMMYFUNCTION("GOOGLETRANSLATE(B2645:B2660,""RU"",""UK"")"),"Скоба важільна з відліковим пристроєм СР-100 (100-125) 0,005 ЛІЗ Легке бу")</f>
        <v>Скоба важільна з відліковим пристроєм СР-100 (100-125) 0,005 ЛІЗ Легке бу</v>
      </c>
      <c r="D2645" s="17" t="s">
        <v>6</v>
      </c>
      <c r="E2645" s="17">
        <v>1</v>
      </c>
      <c r="F2645" s="92" t="s">
        <v>3366</v>
      </c>
      <c r="G2645" s="4"/>
      <c r="H2645" s="4"/>
      <c r="I2645" s="4"/>
    </row>
    <row r="2646" spans="1:9" ht="15">
      <c r="A2646" s="21">
        <f t="shared" si="47"/>
        <v>116</v>
      </c>
      <c r="B2646" s="14" t="s">
        <v>3570</v>
      </c>
      <c r="C2646" s="85" t="str">
        <f ca="1">IFERROR(__xludf.DUMMYFUNCTION("GOOGLETRANSLATE(B2646:B2661,""RU"",""UK"")"),"Скоба регульована 5-10, 10-15, 12-19, 15-20, 50-58")</f>
        <v>Скоба регульована 5-10, 10-15, 12-19, 15-20, 50-58</v>
      </c>
      <c r="D2646" s="15" t="s">
        <v>6</v>
      </c>
      <c r="E2646" s="15" t="s">
        <v>3571</v>
      </c>
      <c r="F2646" s="91" t="s">
        <v>136</v>
      </c>
      <c r="G2646" s="4"/>
      <c r="H2646" s="4"/>
      <c r="I2646" s="4"/>
    </row>
    <row r="2647" spans="1:9" ht="15">
      <c r="A2647" s="21">
        <f t="shared" si="47"/>
        <v>117</v>
      </c>
      <c r="B2647" s="14" t="s">
        <v>3572</v>
      </c>
      <c r="C2647" s="85" t="str">
        <f ca="1">IFERROR(__xludf.DUMMYFUNCTION("GOOGLETRANSLATE(B2647:B2662,""RU"",""UK"")"),"Стійка-штатив L-200мм/L-300мм")</f>
        <v>Стійка-штатив L-200мм/L-300мм</v>
      </c>
      <c r="D2647" s="15" t="s">
        <v>6</v>
      </c>
      <c r="E2647" s="15" t="s">
        <v>2589</v>
      </c>
      <c r="F2647" s="91" t="s">
        <v>10</v>
      </c>
      <c r="G2647" s="4"/>
      <c r="H2647" s="4"/>
      <c r="I2647" s="4"/>
    </row>
    <row r="2648" spans="1:9" ht="15">
      <c r="A2648" s="21">
        <f t="shared" si="47"/>
        <v>118</v>
      </c>
      <c r="B2648" s="14" t="s">
        <v>3573</v>
      </c>
      <c r="C2648" s="85" t="str">
        <f ca="1">IFERROR(__xludf.DUMMYFUNCTION("GOOGLETRANSLATE(B2648:B2663,""RU"",""UK"")"),"Стійка-штатив індик. С-III М8-50-1 з гол. ИЧ10/С4-М-8-160х100")</f>
        <v>Стійка-штатив індик. С-III М8-50-1 з гол. ИЧ10/С4-М-8-160х100</v>
      </c>
      <c r="D2648" s="15" t="s">
        <v>6</v>
      </c>
      <c r="E2648" s="15" t="s">
        <v>1267</v>
      </c>
      <c r="F2648" s="91" t="s">
        <v>84</v>
      </c>
      <c r="G2648" s="4"/>
      <c r="H2648" s="4"/>
      <c r="I2648" s="4"/>
    </row>
    <row r="2649" spans="1:9" ht="15">
      <c r="A2649" s="21">
        <f t="shared" si="47"/>
        <v>119</v>
      </c>
      <c r="B2649" s="14" t="s">
        <v>3574</v>
      </c>
      <c r="C2649" s="85" t="str">
        <f ca="1">IFERROR(__xludf.DUMMYFUNCTION("GOOGLETRANSLATE(B2649:B2664,""RU"",""UK"")"),"Стійка для вимірювальних голівок. Тип С-I")</f>
        <v>Стійка для вимірювальних голівок. Тип С-I</v>
      </c>
      <c r="D2649" s="15" t="s">
        <v>6</v>
      </c>
      <c r="E2649" s="15">
        <v>2</v>
      </c>
      <c r="F2649" s="91" t="s">
        <v>3575</v>
      </c>
      <c r="G2649" s="4"/>
      <c r="H2649" s="4"/>
      <c r="I2649" s="4"/>
    </row>
    <row r="2650" spans="1:9" ht="15">
      <c r="A2650" s="21">
        <f t="shared" si="47"/>
        <v>120</v>
      </c>
      <c r="B2650" s="14" t="s">
        <v>3576</v>
      </c>
      <c r="C2650" s="85" t="str">
        <f ca="1">IFERROR(__xludf.DUMMYFUNCTION("GOOGLETRANSLATE(B2650:B2665,""RU"",""UK"")"),"Стійка для вимірювальних голівок. Тип С-2")</f>
        <v>Стійка для вимірювальних голівок. Тип С-2</v>
      </c>
      <c r="D2650" s="15" t="s">
        <v>6</v>
      </c>
      <c r="E2650" s="15">
        <v>3</v>
      </c>
      <c r="F2650" s="91" t="s">
        <v>84</v>
      </c>
      <c r="G2650" s="4"/>
      <c r="H2650" s="4"/>
      <c r="I2650" s="4"/>
    </row>
    <row r="2651" spans="1:9" ht="15">
      <c r="A2651" s="21">
        <f t="shared" si="47"/>
        <v>121</v>
      </c>
      <c r="B2651" s="14" t="s">
        <v>3577</v>
      </c>
      <c r="C2651" s="85" t="str">
        <f ca="1">IFERROR(__xludf.DUMMYFUNCTION("GOOGLETRANSLATE(B2651:B2666,""RU"",""UK"")"),"Стійка-штатив індик. Тип С-4 (0-250)")</f>
        <v>Стійка-штатив індик. Тип С-4 (0-250)</v>
      </c>
      <c r="D2651" s="15" t="s">
        <v>6</v>
      </c>
      <c r="E2651" s="15">
        <v>2</v>
      </c>
      <c r="F2651" s="91" t="s">
        <v>910</v>
      </c>
      <c r="G2651" s="4"/>
      <c r="H2651" s="4"/>
      <c r="I2651" s="4"/>
    </row>
    <row r="2652" spans="1:9" ht="15">
      <c r="A2652" s="21">
        <f t="shared" si="47"/>
        <v>122</v>
      </c>
      <c r="B2652" s="14" t="s">
        <v>3578</v>
      </c>
      <c r="C2652" s="85" t="str">
        <f ca="1">IFERROR(__xludf.DUMMYFUNCTION("GOOGLETRANSLATE(B2652:B2667,""RU"",""UK"")"),"Штатив Ш-ІН-М-200мм")</f>
        <v>Штатив Ш-ІН-М-200мм</v>
      </c>
      <c r="D2652" s="15" t="s">
        <v>6</v>
      </c>
      <c r="E2652" s="15">
        <v>5</v>
      </c>
      <c r="F2652" s="91" t="s">
        <v>10</v>
      </c>
      <c r="G2652" s="4"/>
      <c r="H2652" s="4"/>
      <c r="I2652" s="4"/>
    </row>
    <row r="2653" spans="1:9" ht="15">
      <c r="A2653" s="21">
        <f t="shared" si="47"/>
        <v>123</v>
      </c>
      <c r="B2653" s="16" t="s">
        <v>3579</v>
      </c>
      <c r="C2653" s="85" t="str">
        <f ca="1">IFERROR(__xludf.DUMMYFUNCTION("GOOGLETRANSLATE(B2653:B2668,""RU"",""UK"")"),"Штатив індик. магнітна ШМ-III (200мм) з індикатором")</f>
        <v>Штатив індик. магнітна ШМ-III (200мм) з індикатором</v>
      </c>
      <c r="D2653" s="15" t="s">
        <v>6</v>
      </c>
      <c r="E2653" s="15">
        <v>1</v>
      </c>
      <c r="F2653" s="91" t="s">
        <v>3580</v>
      </c>
      <c r="G2653" s="4"/>
      <c r="H2653" s="4"/>
      <c r="I2653" s="4"/>
    </row>
    <row r="2654" spans="1:9" ht="15">
      <c r="A2654" s="21">
        <f t="shared" si="47"/>
        <v>124</v>
      </c>
      <c r="B2654" s="16" t="s">
        <v>3581</v>
      </c>
      <c r="C2654" s="85" t="str">
        <f ca="1">IFERROR(__xludf.DUMMYFUNCTION("GOOGLETRANSLATE(B2654:B2669,""RU"",""UK"")"),"Штатив індик. магнітна ШМ-IIН (250мм) з індикатором")</f>
        <v>Штатив індик. магнітна ШМ-IIН (250мм) з індикатором</v>
      </c>
      <c r="D2654" s="17" t="s">
        <v>6</v>
      </c>
      <c r="E2654" s="17">
        <v>2</v>
      </c>
      <c r="F2654" s="92" t="s">
        <v>14</v>
      </c>
      <c r="G2654" s="4"/>
      <c r="H2654" s="4"/>
      <c r="I2654" s="4"/>
    </row>
    <row r="2655" spans="1:9" ht="15">
      <c r="A2655" s="21">
        <f t="shared" si="47"/>
        <v>125</v>
      </c>
      <c r="B2655" s="14" t="s">
        <v>3582</v>
      </c>
      <c r="C2655" s="85" t="str">
        <f ca="1">IFERROR(__xludf.DUMMYFUNCTION("GOOGLETRANSLATE(B2655:B2670,""RU"",""UK"")"),"Штатив Ш-1-8 250мм")</f>
        <v>Штатив Ш-1-8 250мм</v>
      </c>
      <c r="D2655" s="15" t="s">
        <v>6</v>
      </c>
      <c r="E2655" s="15">
        <v>1</v>
      </c>
      <c r="F2655" s="91" t="s">
        <v>38</v>
      </c>
      <c r="G2655" s="4"/>
      <c r="H2655" s="4"/>
      <c r="I2655" s="4"/>
    </row>
    <row r="2656" spans="1:9" ht="15">
      <c r="A2656" s="21">
        <f t="shared" si="47"/>
        <v>126</v>
      </c>
      <c r="B2656" s="14" t="s">
        <v>3583</v>
      </c>
      <c r="C2656" s="85" t="str">
        <f ca="1">IFERROR(__xludf.DUMMYFUNCTION("GOOGLETRANSLATE(B2656:B2671,""RU"",""UK"")"),"Стійка індик. магнітна гнучка МС-29 (без індикатора)")</f>
        <v>Стійка індик. магнітна гнучка МС-29 (без індикатора)</v>
      </c>
      <c r="D2656" s="15" t="s">
        <v>6</v>
      </c>
      <c r="E2656" s="15">
        <v>5</v>
      </c>
      <c r="F2656" s="91" t="s">
        <v>12</v>
      </c>
      <c r="G2656" s="4"/>
      <c r="H2656" s="4"/>
      <c r="I2656" s="4"/>
    </row>
    <row r="2657" spans="1:9" ht="15">
      <c r="A2657" s="21">
        <f t="shared" si="47"/>
        <v>127</v>
      </c>
      <c r="B2657" s="16" t="s">
        <v>3584</v>
      </c>
      <c r="C2657" s="85" t="str">
        <f ca="1">IFERROR(__xludf.DUMMYFUNCTION("GOOGLETRANSLATE(B2657:B2672,""RU"",""UK"")"),"Стійка універсальна мод. 15СТ (для мікрометра і тп)")</f>
        <v>Стійка універсальна мод. 15СТ (для мікрометра і тп)</v>
      </c>
      <c r="D2657" s="15" t="s">
        <v>6</v>
      </c>
      <c r="E2657" s="15">
        <v>2</v>
      </c>
      <c r="F2657" s="91" t="s">
        <v>88</v>
      </c>
      <c r="G2657" s="4"/>
      <c r="H2657" s="4"/>
      <c r="I2657" s="4"/>
    </row>
    <row r="2658" spans="1:9" ht="15">
      <c r="A2658" s="21">
        <f t="shared" si="47"/>
        <v>128</v>
      </c>
      <c r="B2658" s="14" t="s">
        <v>3585</v>
      </c>
      <c r="C2658" s="85" t="str">
        <f ca="1">IFERROR(__xludf.DUMMYFUNCTION("GOOGLETRANSLATE(B2658:B2673,""RU"",""UK"")"),"Прилад для контролю кутів різців, тип ПКР (0-90*)")</f>
        <v>Прилад для контролю кутів різців, тип ПКР (0-90*)</v>
      </c>
      <c r="D2658" s="15" t="s">
        <v>6</v>
      </c>
      <c r="E2658" s="15">
        <v>1</v>
      </c>
      <c r="F2658" s="91" t="s">
        <v>1901</v>
      </c>
      <c r="G2658" s="4"/>
      <c r="H2658" s="4"/>
      <c r="I2658" s="4"/>
    </row>
    <row r="2659" spans="1:9" ht="15">
      <c r="A2659" s="21">
        <f t="shared" si="47"/>
        <v>129</v>
      </c>
      <c r="B2659" s="72" t="s">
        <v>3586</v>
      </c>
      <c r="C2659" s="85" t="str">
        <f ca="1">IFERROR(__xludf.DUMMYFUNCTION("GOOGLETRANSLATE(B2659:B2674,""RU"",""UK"")"),"Прилад для контролю середнього діаметра 3х та 5ти канавоч. мітчиків тип РМ0,4-5 НДР")</f>
        <v>Прилад для контролю середнього діаметра 3х та 5ти канавоч. мітчиків тип РМ0,4-5 НДР</v>
      </c>
      <c r="D2659" s="15" t="s">
        <v>6</v>
      </c>
      <c r="E2659" s="15">
        <v>1</v>
      </c>
      <c r="F2659" s="91" t="s">
        <v>94</v>
      </c>
      <c r="G2659" s="4"/>
      <c r="H2659" s="4"/>
      <c r="I2659" s="4"/>
    </row>
    <row r="2660" spans="1:9" ht="15">
      <c r="A2660" s="21">
        <f t="shared" si="47"/>
        <v>130</v>
      </c>
      <c r="B2660" s="72" t="s">
        <v>3587</v>
      </c>
      <c r="C2660" s="85" t="str">
        <f ca="1">IFERROR(__xludf.DUMMYFUNCTION("GOOGLETRANSLATE(B2660:B2675,""RU"",""UK"")"),"Прилад для контролю середнього діаметра 3х та 5ти канавоч. мітчиків 3-33мм тип РМ")</f>
        <v>Прилад для контролю середнього діаметра 3х та 5ти канавоч. мітчиків 3-33мм тип РМ</v>
      </c>
      <c r="D2660" s="15" t="s">
        <v>6</v>
      </c>
      <c r="E2660" s="15">
        <v>1</v>
      </c>
      <c r="F2660" s="91" t="s">
        <v>14</v>
      </c>
      <c r="G2660" s="4"/>
      <c r="H2660" s="4"/>
      <c r="I2660" s="4"/>
    </row>
    <row r="2661" spans="1:9" ht="15">
      <c r="A2661" s="21">
        <f t="shared" ref="A2661:A2724" si="48">A2660+1</f>
        <v>131</v>
      </c>
      <c r="B2661" s="73" t="s">
        <v>3588</v>
      </c>
      <c r="C2661" s="85" t="str">
        <f ca="1">IFERROR(__xludf.DUMMYFUNCTION("GOOGLETRANSLATE(B2661:B2676,""RU"",""UK"")"),"Прилад для перевірки виробу на биття ПБМ-200мм ЧІЗ")</f>
        <v>Прилад для перевірки виробу на биття ПБМ-200мм ЧІЗ</v>
      </c>
      <c r="D2661" s="15" t="s">
        <v>6</v>
      </c>
      <c r="E2661" s="15">
        <v>1</v>
      </c>
      <c r="F2661" s="91" t="s">
        <v>12</v>
      </c>
      <c r="G2661" s="4"/>
      <c r="H2661" s="4"/>
      <c r="I2661" s="4"/>
    </row>
    <row r="2662" spans="1:9" ht="15">
      <c r="A2662" s="21">
        <f t="shared" si="48"/>
        <v>132</v>
      </c>
      <c r="B2662" s="73" t="s">
        <v>3589</v>
      </c>
      <c r="C2662" s="85" t="str">
        <f ca="1">IFERROR(__xludf.DUMMYFUNCTION("GOOGLETRANSLATE(B2662:B2677,""RU"",""UK"")"),"Центрошукач ""Калібр"" конус КМ5 з індикатором ИЧ10 (легкий б/в)")</f>
        <v>Центрошукач "Калібр" конус КМ5 з індикатором ИЧ10 (легкий б/в)</v>
      </c>
      <c r="D2662" s="15" t="s">
        <v>6</v>
      </c>
      <c r="E2662" s="15">
        <v>1</v>
      </c>
      <c r="F2662" s="91" t="s">
        <v>50</v>
      </c>
      <c r="G2662" s="4"/>
      <c r="H2662" s="4"/>
      <c r="I2662" s="4"/>
    </row>
    <row r="2663" spans="1:9" ht="15">
      <c r="A2663" s="21">
        <f t="shared" si="48"/>
        <v>133</v>
      </c>
      <c r="B2663" s="73" t="s">
        <v>3590</v>
      </c>
      <c r="C2663" s="85" t="str">
        <f ca="1">IFERROR(__xludf.DUMMYFUNCTION("GOOGLETRANSLATE(B2663:B2678,""RU"",""UK"")"),"Центрошукач ЦМ-1 конус ІСО 40 з індикатором ИЧ10 (легкий б/в)")</f>
        <v>Центрошукач ЦМ-1 конус ІСО 40 з індикатором ИЧ10 (легкий б/в)</v>
      </c>
      <c r="D2663" s="15" t="s">
        <v>6</v>
      </c>
      <c r="E2663" s="15">
        <v>1</v>
      </c>
      <c r="F2663" s="91" t="s">
        <v>12</v>
      </c>
      <c r="G2663" s="4"/>
      <c r="H2663" s="4"/>
      <c r="I2663" s="4"/>
    </row>
    <row r="2664" spans="1:9" ht="15">
      <c r="A2664" s="21">
        <f t="shared" si="48"/>
        <v>134</v>
      </c>
      <c r="B2664" s="73" t="s">
        <v>3591</v>
      </c>
      <c r="C2664" s="85" t="str">
        <f ca="1">IFERROR(__xludf.DUMMYFUNCTION("GOOGLETRANSLATE(B2664:B2679,""RU"",""UK"")"),"Центрошукач оптичний ЦО-2")</f>
        <v>Центрошукач оптичний ЦО-2</v>
      </c>
      <c r="D2664" s="15" t="s">
        <v>6</v>
      </c>
      <c r="E2664" s="15">
        <v>1</v>
      </c>
      <c r="F2664" s="91" t="s">
        <v>59</v>
      </c>
      <c r="G2664" s="4"/>
      <c r="H2664" s="4"/>
      <c r="I2664" s="4"/>
    </row>
    <row r="2665" spans="1:9" ht="15">
      <c r="A2665" s="21">
        <f t="shared" si="48"/>
        <v>135</v>
      </c>
      <c r="B2665" s="14" t="s">
        <v>3592</v>
      </c>
      <c r="C2665" s="85" t="str">
        <f ca="1">IFERROR(__xludf.DUMMYFUNCTION("GOOGLETRANSLATE(B2665:B2680,""RU"",""UK"")"),"Індикатор ІЧ 0-2мм")</f>
        <v>Індикатор ІЧ 0-2мм</v>
      </c>
      <c r="D2665" s="15" t="s">
        <v>6</v>
      </c>
      <c r="E2665" s="15">
        <v>23</v>
      </c>
      <c r="F2665" s="91" t="s">
        <v>27</v>
      </c>
      <c r="G2665" s="4"/>
      <c r="H2665" s="4"/>
      <c r="I2665" s="4"/>
    </row>
    <row r="2666" spans="1:9" ht="15">
      <c r="A2666" s="21">
        <f t="shared" si="48"/>
        <v>136</v>
      </c>
      <c r="B2666" s="14" t="s">
        <v>3593</v>
      </c>
      <c r="C2666" s="85" t="str">
        <f ca="1">IFERROR(__xludf.DUMMYFUNCTION("GOOGLETRANSLATE(B2666:B2681,""RU"",""UK"")"),"Індикатор ІЧ 0-5мм")</f>
        <v>Індикатор ІЧ 0-5мм</v>
      </c>
      <c r="D2666" s="15" t="s">
        <v>6</v>
      </c>
      <c r="E2666" s="15">
        <v>1</v>
      </c>
      <c r="F2666" s="91" t="s">
        <v>33</v>
      </c>
      <c r="G2666" s="4"/>
      <c r="H2666" s="4"/>
      <c r="I2666" s="4"/>
    </row>
    <row r="2667" spans="1:9" ht="15">
      <c r="A2667" s="21">
        <f t="shared" si="48"/>
        <v>137</v>
      </c>
      <c r="B2667" s="14" t="s">
        <v>3594</v>
      </c>
      <c r="C2667" s="85" t="str">
        <f ca="1">IFERROR(__xludf.DUMMYFUNCTION("GOOGLETRANSLATE(B2667:B2682,""RU"",""UK"")"),"Індикатор ІЧ 0-10мм (0,01)/ІЧ 0-10мм з вушком (0,01)")</f>
        <v>Індикатор ІЧ 0-10мм (0,01)/ІЧ 0-10мм з вушком (0,01)</v>
      </c>
      <c r="D2667" s="15" t="s">
        <v>6</v>
      </c>
      <c r="E2667" s="15" t="s">
        <v>3595</v>
      </c>
      <c r="F2667" s="91" t="s">
        <v>111</v>
      </c>
      <c r="G2667" s="4"/>
      <c r="H2667" s="4"/>
      <c r="I2667" s="4"/>
    </row>
    <row r="2668" spans="1:9" ht="15">
      <c r="A2668" s="21">
        <f t="shared" si="48"/>
        <v>138</v>
      </c>
      <c r="B2668" s="14" t="s">
        <v>3596</v>
      </c>
      <c r="C2668" s="85" t="str">
        <f ca="1">IFERROR(__xludf.DUMMYFUNCTION("GOOGLETRANSLATE(B2668:B2683,""RU"",""UK"")"),"Індикатор ІЧ 0-10мм НДР (0,01)")</f>
        <v>Індикатор ІЧ 0-10мм НДР (0,01)</v>
      </c>
      <c r="D2668" s="15" t="s">
        <v>6</v>
      </c>
      <c r="E2668" s="15">
        <v>10</v>
      </c>
      <c r="F2668" s="91" t="s">
        <v>80</v>
      </c>
      <c r="G2668" s="4"/>
      <c r="H2668" s="4"/>
      <c r="I2668" s="4"/>
    </row>
    <row r="2669" spans="1:9" ht="15">
      <c r="A2669" s="21">
        <f t="shared" si="48"/>
        <v>139</v>
      </c>
      <c r="B2669" s="14" t="s">
        <v>3597</v>
      </c>
      <c r="C2669" s="85" t="str">
        <f ca="1">IFERROR(__xludf.DUMMYFUNCTION("GOOGLETRANSLATE(B2669:B2684,""RU"",""UK"")"),"Індикатор ІЧ 0-10мм НДР (0,01) б/у")</f>
        <v>Індикатор ІЧ 0-10мм НДР (0,01) б/у</v>
      </c>
      <c r="D2669" s="15" t="s">
        <v>6</v>
      </c>
      <c r="E2669" s="15">
        <v>1</v>
      </c>
      <c r="F2669" s="91" t="s">
        <v>27</v>
      </c>
      <c r="G2669" s="4"/>
      <c r="H2669" s="4"/>
      <c r="I2669" s="4"/>
    </row>
    <row r="2670" spans="1:9" ht="15">
      <c r="A2670" s="21">
        <f t="shared" si="48"/>
        <v>140</v>
      </c>
      <c r="B2670" s="14" t="s">
        <v>3598</v>
      </c>
      <c r="C2670" s="85" t="str">
        <f ca="1">IFERROR(__xludf.DUMMYFUNCTION("GOOGLETRANSLATE(B2670:B2685,""RU"",""UK"")"),"Індикатор ІЧ 0-10мм Швейцарія (0,01) d100mm")</f>
        <v>Індикатор ІЧ 0-10мм Швейцарія (0,01) d100mm</v>
      </c>
      <c r="D2670" s="15" t="s">
        <v>6</v>
      </c>
      <c r="E2670" s="15">
        <v>1</v>
      </c>
      <c r="F2670" s="91" t="s">
        <v>71</v>
      </c>
      <c r="G2670" s="4"/>
      <c r="H2670" s="4"/>
      <c r="I2670" s="4"/>
    </row>
    <row r="2671" spans="1:9" ht="15">
      <c r="A2671" s="21">
        <f t="shared" si="48"/>
        <v>141</v>
      </c>
      <c r="B2671" s="16" t="s">
        <v>3599</v>
      </c>
      <c r="C2671" s="85" t="str">
        <f ca="1">IFERROR(__xludf.DUMMYFUNCTION("GOOGLETRANSLATE(B2671:B2686,""RU"",""UK"")"),"Індикатор ІЧ 0-25мм Кл.")</f>
        <v>Індикатор ІЧ 0-25мм Кл.</v>
      </c>
      <c r="D2671" s="15" t="s">
        <v>6</v>
      </c>
      <c r="E2671" s="15">
        <v>2</v>
      </c>
      <c r="F2671" s="91" t="s">
        <v>3600</v>
      </c>
      <c r="G2671" s="4"/>
      <c r="H2671" s="4"/>
      <c r="I2671" s="4"/>
    </row>
    <row r="2672" spans="1:9" ht="15">
      <c r="A2672" s="21">
        <f t="shared" si="48"/>
        <v>142</v>
      </c>
      <c r="B2672" s="16" t="s">
        <v>3601</v>
      </c>
      <c r="C2672" s="85" t="str">
        <f ca="1">IFERROR(__xludf.DUMMYFUNCTION("GOOGLETRANSLATE(B2672:B2687,""RU"",""UK"")"),"Індикатор ІЛ 0-25мм Кл.1")</f>
        <v>Індикатор ІЛ 0-25мм Кл.1</v>
      </c>
      <c r="D2672" s="15" t="s">
        <v>6</v>
      </c>
      <c r="E2672" s="15">
        <v>1</v>
      </c>
      <c r="F2672" s="91" t="s">
        <v>3563</v>
      </c>
      <c r="G2672" s="4"/>
      <c r="H2672" s="4"/>
      <c r="I2672" s="4"/>
    </row>
    <row r="2673" spans="1:9" ht="15">
      <c r="A2673" s="21">
        <f t="shared" si="48"/>
        <v>143</v>
      </c>
      <c r="B2673" s="14" t="s">
        <v>3602</v>
      </c>
      <c r="C2673" s="85" t="str">
        <f ca="1">IFERROR(__xludf.DUMMYFUNCTION("GOOGLETRANSLATE(B2673:B2688,""RU"",""UK"")"),"Індикатор 1ІЧС 0-5мм (0,1)")</f>
        <v>Індикатор 1ІЧС 0-5мм (0,1)</v>
      </c>
      <c r="D2673" s="15" t="s">
        <v>6</v>
      </c>
      <c r="E2673" s="15">
        <v>1</v>
      </c>
      <c r="F2673" s="91" t="s">
        <v>157</v>
      </c>
      <c r="G2673" s="4"/>
      <c r="H2673" s="4"/>
      <c r="I2673" s="4"/>
    </row>
    <row r="2674" spans="1:9" ht="15">
      <c r="A2674" s="21">
        <f t="shared" si="48"/>
        <v>144</v>
      </c>
      <c r="B2674" s="14" t="s">
        <v>3603</v>
      </c>
      <c r="C2674" s="85" t="str">
        <f ca="1">IFERROR(__xludf.DUMMYFUNCTION("GOOGLETRANSLATE(B2674:B2689,""RU"",""UK"")"),"Індикатор 2ІЧТ / 1ІЧТ")</f>
        <v>Індикатор 2ІЧТ / 1ІЧТ</v>
      </c>
      <c r="D2674" s="15" t="s">
        <v>6</v>
      </c>
      <c r="E2674" s="15" t="s">
        <v>2581</v>
      </c>
      <c r="F2674" s="91" t="s">
        <v>157</v>
      </c>
      <c r="G2674" s="4"/>
      <c r="H2674" s="4"/>
      <c r="I2674" s="4"/>
    </row>
    <row r="2675" spans="1:9" ht="15">
      <c r="A2675" s="21">
        <f t="shared" si="48"/>
        <v>145</v>
      </c>
      <c r="B2675" s="14" t="s">
        <v>3604</v>
      </c>
      <c r="C2675" s="85" t="str">
        <f ca="1">IFERROR(__xludf.DUMMYFUNCTION("GOOGLETRANSLATE(B2675:B2690,""RU"",""UK"")"),"Індикатор 1ІГ (0,05) / 2ІГ (0,02)")</f>
        <v>Індикатор 1ІГ (0,05) / 2ІГ (0,02)</v>
      </c>
      <c r="D2675" s="15" t="s">
        <v>6</v>
      </c>
      <c r="E2675" s="15" t="s">
        <v>899</v>
      </c>
      <c r="F2675" s="91" t="s">
        <v>3605</v>
      </c>
      <c r="G2675" s="4"/>
      <c r="H2675" s="4"/>
      <c r="I2675" s="4"/>
    </row>
    <row r="2676" spans="1:9" ht="15">
      <c r="A2676" s="21">
        <f t="shared" si="48"/>
        <v>146</v>
      </c>
      <c r="B2676" s="16" t="s">
        <v>3606</v>
      </c>
      <c r="C2676" s="85" t="str">
        <f ca="1">IFERROR(__xludf.DUMMYFUNCTION("GOOGLETRANSLATE(B2676:B2691,""RU"",""UK"")"),"Індикатор ІРЛ 0,8 (0,01) / ІРТ 0,8 (0,01)")</f>
        <v>Індикатор ІРЛ 0,8 (0,01) / ІРТ 0,8 (0,01)</v>
      </c>
      <c r="D2676" s="15" t="s">
        <v>6</v>
      </c>
      <c r="E2676" s="17" t="s">
        <v>3607</v>
      </c>
      <c r="F2676" s="91" t="s">
        <v>235</v>
      </c>
      <c r="G2676" s="4"/>
      <c r="H2676" s="4"/>
      <c r="I2676" s="4"/>
    </row>
    <row r="2677" spans="1:9" ht="15">
      <c r="A2677" s="21">
        <f t="shared" si="48"/>
        <v>147</v>
      </c>
      <c r="B2677" s="16" t="s">
        <v>3608</v>
      </c>
      <c r="C2677" s="85" t="str">
        <f ca="1">IFERROR(__xludf.DUMMYFUNCTION("GOOGLETRANSLATE(B2677:B2692,""RU"",""UK"")"),"Індикатор багатооборотний 1МІГ (1ІГМ)-(0,001)")</f>
        <v>Індикатор багатооборотний 1МІГ (1ІГМ)-(0,001)</v>
      </c>
      <c r="D2677" s="15" t="s">
        <v>6</v>
      </c>
      <c r="E2677" s="17">
        <v>4</v>
      </c>
      <c r="F2677" s="91" t="s">
        <v>71</v>
      </c>
      <c r="G2677" s="4"/>
      <c r="H2677" s="4"/>
      <c r="I2677" s="4"/>
    </row>
    <row r="2678" spans="1:9" ht="15">
      <c r="A2678" s="21">
        <f t="shared" si="48"/>
        <v>148</v>
      </c>
      <c r="B2678" s="16" t="s">
        <v>3609</v>
      </c>
      <c r="C2678" s="85" t="str">
        <f ca="1">IFERROR(__xludf.DUMMYFUNCTION("GOOGLETRANSLATE(B2678:B2693,""RU"",""UK"")"),"Індикатор багатооборотний 2МІГ - (0,002)")</f>
        <v>Індикатор багатооборотний 2МІГ - (0,002)</v>
      </c>
      <c r="D2678" s="15" t="s">
        <v>6</v>
      </c>
      <c r="E2678" s="17">
        <v>1</v>
      </c>
      <c r="F2678" s="91" t="s">
        <v>3610</v>
      </c>
      <c r="G2678" s="4"/>
      <c r="H2678" s="4"/>
      <c r="I2678" s="4"/>
    </row>
    <row r="2679" spans="1:9" ht="15">
      <c r="A2679" s="21">
        <f t="shared" si="48"/>
        <v>149</v>
      </c>
      <c r="B2679" s="19" t="s">
        <v>3611</v>
      </c>
      <c r="C2679" s="85" t="str">
        <f ca="1">IFERROR(__xludf.DUMMYFUNCTION("GOOGLETRANSLATE(B2679:B2694,""RU"",""UK"")"),"Мінікатор")</f>
        <v>Мінікатор</v>
      </c>
      <c r="D2679" s="15" t="s">
        <v>6</v>
      </c>
      <c r="E2679" s="15">
        <v>1</v>
      </c>
      <c r="F2679" s="91" t="s">
        <v>63</v>
      </c>
      <c r="G2679" s="4"/>
      <c r="H2679" s="4"/>
      <c r="I2679" s="4"/>
    </row>
    <row r="2680" spans="1:9" ht="15">
      <c r="A2680" s="21">
        <f t="shared" si="48"/>
        <v>150</v>
      </c>
      <c r="B2680" s="19" t="s">
        <v>3612</v>
      </c>
      <c r="C2680" s="85" t="str">
        <f ca="1">IFERROR(__xludf.DUMMYFUNCTION("GOOGLETRANSLATE(B2680:B2695,""RU"",""UK"")"),"Мікатор 0,5 ІПМ +-25мкм (0,5мкм) ЛІЗ")</f>
        <v>Мікатор 0,5 ІПМ +-25мкм (0,5мкм) ЛІЗ</v>
      </c>
      <c r="D2680" s="15" t="s">
        <v>6</v>
      </c>
      <c r="E2680" s="15">
        <v>1</v>
      </c>
      <c r="F2680" s="91" t="s">
        <v>102</v>
      </c>
      <c r="G2680" s="4"/>
      <c r="H2680" s="4"/>
      <c r="I2680" s="4"/>
    </row>
    <row r="2681" spans="1:9" ht="15">
      <c r="A2681" s="21">
        <f t="shared" si="48"/>
        <v>151</v>
      </c>
      <c r="B2681" s="16" t="s">
        <v>3613</v>
      </c>
      <c r="C2681" s="85" t="str">
        <f ca="1">IFERROR(__xludf.DUMMYFUNCTION("GOOGLETRANSLATE(B2681:B2696,""RU"",""UK"")"),"Мікрокатор ГОЛОВКА ВИМІРЮВАЛЬНА 1ІГП-1мкм (-+30)")</f>
        <v>Мікрокатор ГОЛОВКА ВИМІРЮВАЛЬНА 1ІГП-1мкм (-+30)</v>
      </c>
      <c r="D2681" s="15" t="s">
        <v>6</v>
      </c>
      <c r="E2681" s="15">
        <v>2</v>
      </c>
      <c r="F2681" s="91" t="s">
        <v>73</v>
      </c>
      <c r="G2681" s="4"/>
      <c r="H2681" s="4"/>
      <c r="I2681" s="4"/>
    </row>
    <row r="2682" spans="1:9" ht="15">
      <c r="A2682" s="21">
        <f t="shared" si="48"/>
        <v>152</v>
      </c>
      <c r="B2682" s="16" t="s">
        <v>3614</v>
      </c>
      <c r="C2682" s="85" t="str">
        <f ca="1">IFERROR(__xludf.DUMMYFUNCTION("GOOGLETRANSLATE(B2682:B2697,""RU"",""UK"")"),"Мікрокатор ГОЛОВКА ВИМІРЮВАЛЬНА 2ІГП-2мкм (-+60)")</f>
        <v>Мікрокатор ГОЛОВКА ВИМІРЮВАЛЬНА 2ІГП-2мкм (-+60)</v>
      </c>
      <c r="D2682" s="15" t="s">
        <v>6</v>
      </c>
      <c r="E2682" s="15">
        <v>1</v>
      </c>
      <c r="F2682" s="91" t="s">
        <v>71</v>
      </c>
      <c r="G2682" s="4"/>
      <c r="H2682" s="4"/>
      <c r="I2682" s="4"/>
    </row>
    <row r="2683" spans="1:9" ht="15">
      <c r="A2683" s="21">
        <f t="shared" si="48"/>
        <v>153</v>
      </c>
      <c r="B2683" s="16" t="s">
        <v>3615</v>
      </c>
      <c r="C2683" s="85" t="str">
        <f ca="1">IFERROR(__xludf.DUMMYFUNCTION("GOOGLETRANSLATE(B2683:B2698,""RU"",""UK"")"),"Мікрокатор ГОЛОВКА ВИМІРЮВАЛЬНА 10ІГПА (-+300)")</f>
        <v>Мікрокатор ГОЛОВКА ВИМІРЮВАЛЬНА 10ІГПА (-+300)</v>
      </c>
      <c r="D2683" s="15" t="s">
        <v>6</v>
      </c>
      <c r="E2683" s="15">
        <v>1</v>
      </c>
      <c r="F2683" s="91" t="s">
        <v>71</v>
      </c>
      <c r="G2683" s="4"/>
      <c r="H2683" s="4"/>
      <c r="I2683" s="4"/>
    </row>
    <row r="2684" spans="1:9" ht="15">
      <c r="A2684" s="21">
        <f t="shared" si="48"/>
        <v>154</v>
      </c>
      <c r="B2684" s="14" t="s">
        <v>3616</v>
      </c>
      <c r="C2684" s="85" t="str">
        <f ca="1">IFERROR(__xludf.DUMMYFUNCTION("GOOGLETRANSLATE(B2684:B2699,""RU"",""UK"")"),"Головка важільно-зубчаста Тип 1ІГ 1мкр до нутроміру")</f>
        <v>Головка важільно-зубчаста Тип 1ІГ 1мкр до нутроміру</v>
      </c>
      <c r="D2684" s="15" t="s">
        <v>6</v>
      </c>
      <c r="E2684" s="15">
        <v>2</v>
      </c>
      <c r="F2684" s="91" t="s">
        <v>71</v>
      </c>
      <c r="G2684" s="4"/>
      <c r="H2684" s="4"/>
      <c r="I2684" s="4"/>
    </row>
    <row r="2685" spans="1:9" ht="15">
      <c r="A2685" s="21">
        <f t="shared" si="48"/>
        <v>155</v>
      </c>
      <c r="B2685" s="14" t="s">
        <v>3617</v>
      </c>
      <c r="C2685" s="85" t="str">
        <f ca="1">IFERROR(__xludf.DUMMYFUNCTION("GOOGLETRANSLATE(B2685:B2700,""RU"",""UK"")"),"Головка важільно-зубчаста Тип 2ІГ 2мкр до нутроміру")</f>
        <v>Головка важільно-зубчаста Тип 2ІГ 2мкр до нутроміру</v>
      </c>
      <c r="D2685" s="15" t="s">
        <v>6</v>
      </c>
      <c r="E2685" s="15">
        <v>6</v>
      </c>
      <c r="F2685" s="91" t="s">
        <v>1113</v>
      </c>
      <c r="G2685" s="4"/>
      <c r="H2685" s="4"/>
      <c r="I2685" s="4"/>
    </row>
    <row r="2686" spans="1:9" ht="15">
      <c r="A2686" s="21">
        <f t="shared" si="48"/>
        <v>156</v>
      </c>
      <c r="B2686" s="16" t="s">
        <v>3618</v>
      </c>
      <c r="C2686" s="85" t="str">
        <f ca="1">IFERROR(__xludf.DUMMYFUNCTION("GOOGLETRANSLATE(B2686:B2701,""RU"",""UK"")"),"Нутромір індикаторний НІ 6-10мм Кл.1 (0,002)")</f>
        <v>Нутромір індикаторний НІ 6-10мм Кл.1 (0,002)</v>
      </c>
      <c r="D2686" s="17" t="s">
        <v>6</v>
      </c>
      <c r="E2686" s="17">
        <v>4</v>
      </c>
      <c r="F2686" s="92" t="s">
        <v>84</v>
      </c>
      <c r="G2686" s="4"/>
      <c r="H2686" s="4"/>
      <c r="I2686" s="4"/>
    </row>
    <row r="2687" spans="1:9" ht="15">
      <c r="A2687" s="21">
        <f t="shared" si="48"/>
        <v>157</v>
      </c>
      <c r="B2687" s="14" t="s">
        <v>3619</v>
      </c>
      <c r="C2687" s="85" t="str">
        <f ca="1">IFERROR(__xludf.DUMMYFUNCTION("GOOGLETRANSLATE(B2687:B2702,""RU"",""UK"")"),"Нутромір індикаторний НІ 10-18мм Кл.2 (0,01)")</f>
        <v>Нутромір індикаторний НІ 10-18мм Кл.2 (0,01)</v>
      </c>
      <c r="D2687" s="15" t="s">
        <v>6</v>
      </c>
      <c r="E2687" s="15">
        <v>2</v>
      </c>
      <c r="F2687" s="91" t="s">
        <v>910</v>
      </c>
      <c r="G2687" s="4"/>
      <c r="H2687" s="4"/>
      <c r="I2687" s="4"/>
    </row>
    <row r="2688" spans="1:9" ht="15">
      <c r="A2688" s="21">
        <f t="shared" si="48"/>
        <v>158</v>
      </c>
      <c r="B2688" s="14" t="s">
        <v>3620</v>
      </c>
      <c r="C2688" s="85" t="str">
        <f ca="1">IFERROR(__xludf.DUMMYFUNCTION("GOOGLETRANSLATE(B2688:B2703,""RU"",""UK"")"),"Нутромір індикаторний НІ 10-18мм Кл.1 (0,002)")</f>
        <v>Нутромір індикаторний НІ 10-18мм Кл.1 (0,002)</v>
      </c>
      <c r="D2688" s="15" t="s">
        <v>6</v>
      </c>
      <c r="E2688" s="15">
        <v>2</v>
      </c>
      <c r="F2688" s="91" t="s">
        <v>84</v>
      </c>
      <c r="G2688" s="4"/>
      <c r="H2688" s="4"/>
      <c r="I2688" s="4"/>
    </row>
    <row r="2689" spans="1:9" ht="15">
      <c r="A2689" s="21">
        <f t="shared" si="48"/>
        <v>159</v>
      </c>
      <c r="B2689" s="14" t="s">
        <v>3621</v>
      </c>
      <c r="C2689" s="85" t="str">
        <f ca="1">IFERROR(__xludf.DUMMYFUNCTION("GOOGLETRANSLATE(B2689:B2704,""RU"",""UK"")"),"Нутромір індикаторний НІ 10-18мм Кл.1 (0,002) продам, без вставки 10-12")</f>
        <v>Нутромір індикаторний НІ 10-18мм Кл.1 (0,002) продам, без вставки 10-12</v>
      </c>
      <c r="D2689" s="15" t="s">
        <v>6</v>
      </c>
      <c r="E2689" s="15">
        <v>1</v>
      </c>
      <c r="F2689" s="91" t="s">
        <v>75</v>
      </c>
      <c r="G2689" s="4"/>
      <c r="H2689" s="4"/>
      <c r="I2689" s="4"/>
    </row>
    <row r="2690" spans="1:9" ht="15">
      <c r="A2690" s="21">
        <f t="shared" si="48"/>
        <v>160</v>
      </c>
      <c r="B2690" s="14" t="s">
        <v>3622</v>
      </c>
      <c r="C2690" s="85" t="str">
        <f ca="1">IFERROR(__xludf.DUMMYFUNCTION("GOOGLETRANSLATE(B2690:B2705,""RU"",""UK"")"),"Нутромір індикаторний НД 10-19мм НДР Кл.1 (0,002)")</f>
        <v>Нутромір індикаторний НД 10-19мм НДР Кл.1 (0,002)</v>
      </c>
      <c r="D2690" s="15" t="s">
        <v>6</v>
      </c>
      <c r="E2690" s="15">
        <v>3</v>
      </c>
      <c r="F2690" s="91" t="s">
        <v>14</v>
      </c>
      <c r="G2690" s="4"/>
      <c r="H2690" s="4"/>
      <c r="I2690" s="4"/>
    </row>
    <row r="2691" spans="1:9" ht="15">
      <c r="A2691" s="21">
        <f t="shared" si="48"/>
        <v>161</v>
      </c>
      <c r="B2691" s="16" t="s">
        <v>3623</v>
      </c>
      <c r="C2691" s="85" t="str">
        <f ca="1">IFERROR(__xludf.DUMMYFUNCTION("GOOGLETRANSLATE(B2691:B2706,""RU"",""UK"")"),"Нутромір індикаторний НІ 18-50мм Кл.2 (0,01)")</f>
        <v>Нутромір індикаторний НІ 18-50мм Кл.2 (0,01)</v>
      </c>
      <c r="D2691" s="15" t="s">
        <v>6</v>
      </c>
      <c r="E2691" s="15">
        <v>2</v>
      </c>
      <c r="F2691" s="91" t="s">
        <v>48</v>
      </c>
      <c r="G2691" s="4"/>
      <c r="H2691" s="4"/>
      <c r="I2691" s="4"/>
    </row>
    <row r="2692" spans="1:9" ht="15">
      <c r="A2692" s="21">
        <f t="shared" si="48"/>
        <v>162</v>
      </c>
      <c r="B2692" s="16" t="s">
        <v>3624</v>
      </c>
      <c r="C2692" s="85" t="str">
        <f ca="1">IFERROR(__xludf.DUMMYFUNCTION("GOOGLETRANSLATE(B2692:B2707,""RU"",""UK"")"),"Нутромір індикаторний НІ 18-50мм Кл.1 (0,002) пов. Точності легке")</f>
        <v>Нутромір індикаторний НІ 18-50мм Кл.1 (0,002) пов. Точності легке</v>
      </c>
      <c r="D2692" s="15" t="s">
        <v>6</v>
      </c>
      <c r="E2692" s="15">
        <v>1</v>
      </c>
      <c r="F2692" s="91" t="s">
        <v>3625</v>
      </c>
      <c r="G2692" s="4"/>
      <c r="H2692" s="4"/>
      <c r="I2692" s="4"/>
    </row>
    <row r="2693" spans="1:9" ht="15">
      <c r="A2693" s="21">
        <f t="shared" si="48"/>
        <v>163</v>
      </c>
      <c r="B2693" s="14" t="s">
        <v>3626</v>
      </c>
      <c r="C2693" s="85" t="str">
        <f ca="1">IFERROR(__xludf.DUMMYFUNCTION("GOOGLETRANSLATE(B2693:B2708,""RU"",""UK"")"),"Нутромір індикаторний НІ 18-50мм Кл.2 б/у Китай")</f>
        <v>Нутромір індикаторний НІ 18-50мм Кл.2 б/у Китай</v>
      </c>
      <c r="D2693" s="15" t="s">
        <v>6</v>
      </c>
      <c r="E2693" s="15">
        <v>1</v>
      </c>
      <c r="F2693" s="91" t="s">
        <v>80</v>
      </c>
      <c r="G2693" s="4"/>
      <c r="H2693" s="4"/>
      <c r="I2693" s="4"/>
    </row>
    <row r="2694" spans="1:9" ht="15">
      <c r="A2694" s="21">
        <f t="shared" si="48"/>
        <v>164</v>
      </c>
      <c r="B2694" s="14" t="s">
        <v>3627</v>
      </c>
      <c r="C2694" s="85" t="str">
        <f ca="1">IFERROR(__xludf.DUMMYFUNCTION("GOOGLETRANSLATE(B2694:B2709,""RU"",""UK"")"),"Нутромір індикаторний НІ 35-50мм Кл.2 (0,01)")</f>
        <v>Нутромір індикаторний НІ 35-50мм Кл.2 (0,01)</v>
      </c>
      <c r="D2694" s="15" t="s">
        <v>6</v>
      </c>
      <c r="E2694" s="15">
        <v>1</v>
      </c>
      <c r="F2694" s="91" t="s">
        <v>12</v>
      </c>
      <c r="G2694" s="4"/>
      <c r="H2694" s="4"/>
      <c r="I2694" s="4"/>
    </row>
    <row r="2695" spans="1:9" ht="15">
      <c r="A2695" s="21">
        <f t="shared" si="48"/>
        <v>165</v>
      </c>
      <c r="B2695" s="14" t="s">
        <v>3628</v>
      </c>
      <c r="C2695" s="85" t="str">
        <f ca="1">IFERROR(__xludf.DUMMYFUNCTION("GOOGLETRANSLATE(B2695:B2710,""RU"",""UK"")"),"Нутромір індикаторний НІ 35-60мм НДР Кл.1 (0,002)")</f>
        <v>Нутромір індикаторний НІ 35-60мм НДР Кл.1 (0,002)</v>
      </c>
      <c r="D2695" s="15" t="s">
        <v>6</v>
      </c>
      <c r="E2695" s="15">
        <v>1</v>
      </c>
      <c r="F2695" s="91" t="s">
        <v>44</v>
      </c>
      <c r="G2695" s="4"/>
      <c r="H2695" s="4"/>
      <c r="I2695" s="4"/>
    </row>
    <row r="2696" spans="1:9" ht="15">
      <c r="A2696" s="21">
        <f t="shared" si="48"/>
        <v>166</v>
      </c>
      <c r="B2696" s="74" t="s">
        <v>3629</v>
      </c>
      <c r="C2696" s="85" t="str">
        <f ca="1">IFERROR(__xludf.DUMMYFUNCTION("GOOGLETRANSLATE(B2696:B2711,""RU"",""UK"")"),"Нутромір індикаторний НІ 50-100мм Кл.2 (0,01) б/в(без 50-60, 60-70)")</f>
        <v>Нутромір індикаторний НІ 50-100мм Кл.2 (0,01) б/в(без 50-60, 60-70)</v>
      </c>
      <c r="D2696" s="17" t="s">
        <v>6</v>
      </c>
      <c r="E2696" s="17">
        <v>1</v>
      </c>
      <c r="F2696" s="92" t="s">
        <v>50</v>
      </c>
      <c r="G2696" s="4"/>
      <c r="H2696" s="4"/>
      <c r="I2696" s="4"/>
    </row>
    <row r="2697" spans="1:9" ht="15">
      <c r="A2697" s="21">
        <f t="shared" si="48"/>
        <v>167</v>
      </c>
      <c r="B2697" s="16" t="s">
        <v>3630</v>
      </c>
      <c r="C2697" s="85" t="str">
        <f ca="1">IFERROR(__xludf.DUMMYFUNCTION("GOOGLETRANSLATE(B2697:B2712,""RU"",""UK"")"),"Нутромір індикаторний НІ 50-100мм Кл.2 (0,01)")</f>
        <v>Нутромір індикаторний НІ 50-100мм Кл.2 (0,01)</v>
      </c>
      <c r="D2697" s="17" t="s">
        <v>6</v>
      </c>
      <c r="E2697" s="17">
        <v>1</v>
      </c>
      <c r="F2697" s="92" t="s">
        <v>1000</v>
      </c>
      <c r="G2697" s="4"/>
      <c r="H2697" s="4"/>
      <c r="I2697" s="4"/>
    </row>
    <row r="2698" spans="1:9" ht="15">
      <c r="A2698" s="21">
        <f t="shared" si="48"/>
        <v>168</v>
      </c>
      <c r="B2698" s="16" t="s">
        <v>3631</v>
      </c>
      <c r="C2698" s="85" t="str">
        <f ca="1">IFERROR(__xludf.DUMMYFUNCTION("GOOGLETRANSLATE(B2698:B2713,""RU"",""UK"")"),"Нутромір індикаторний НІ 100-160мм Кл.2 (0,01)")</f>
        <v>Нутромір індикаторний НІ 100-160мм Кл.2 (0,01)</v>
      </c>
      <c r="D2698" s="15" t="s">
        <v>6</v>
      </c>
      <c r="E2698" s="15">
        <v>3</v>
      </c>
      <c r="F2698" s="91" t="s">
        <v>3632</v>
      </c>
      <c r="G2698" s="4"/>
      <c r="H2698" s="4"/>
      <c r="I2698" s="4"/>
    </row>
    <row r="2699" spans="1:9" ht="15">
      <c r="A2699" s="21">
        <f t="shared" si="48"/>
        <v>169</v>
      </c>
      <c r="B2699" s="14" t="s">
        <v>3633</v>
      </c>
      <c r="C2699" s="85" t="str">
        <f ca="1">IFERROR(__xludf.DUMMYFUNCTION("GOOGLETRANSLATE(B2699:B2714,""RU"",""UK"")"),"Нутромір індикаторний НІ 100-160мм Кл.1 (0,002)")</f>
        <v>Нутромір індикаторний НІ 100-160мм Кл.1 (0,002)</v>
      </c>
      <c r="D2699" s="15" t="s">
        <v>6</v>
      </c>
      <c r="E2699" s="15">
        <v>1</v>
      </c>
      <c r="F2699" s="91" t="s">
        <v>1000</v>
      </c>
      <c r="G2699" s="4"/>
      <c r="H2699" s="4"/>
      <c r="I2699" s="4"/>
    </row>
    <row r="2700" spans="1:9" ht="15">
      <c r="A2700" s="21">
        <f t="shared" si="48"/>
        <v>170</v>
      </c>
      <c r="B2700" s="16" t="s">
        <v>3634</v>
      </c>
      <c r="C2700" s="85" t="str">
        <f ca="1">IFERROR(__xludf.DUMMYFUNCTION("GOOGLETRANSLATE(B2700:B2715,""RU"",""UK"")"),"Нутромір індикаторний НІ 160-250мм Кл.2 (0,01)")</f>
        <v>Нутромір індикаторний НІ 160-250мм Кл.2 (0,01)</v>
      </c>
      <c r="D2700" s="15" t="s">
        <v>6</v>
      </c>
      <c r="E2700" s="15">
        <v>3</v>
      </c>
      <c r="F2700" s="91" t="s">
        <v>3632</v>
      </c>
      <c r="G2700" s="4"/>
      <c r="H2700" s="4"/>
      <c r="I2700" s="4"/>
    </row>
    <row r="2701" spans="1:9" ht="15">
      <c r="A2701" s="21">
        <f t="shared" si="48"/>
        <v>171</v>
      </c>
      <c r="B2701" s="16" t="s">
        <v>3635</v>
      </c>
      <c r="C2701" s="85" t="str">
        <f ca="1">IFERROR(__xludf.DUMMYFUNCTION("GOOGLETRANSLATE(B2701:B2716,""RU"",""UK"")"),"Нутромір індикаторний НІ 160-250мм Кл.1 (0,002)")</f>
        <v>Нутромір індикаторний НІ 160-250мм Кл.1 (0,002)</v>
      </c>
      <c r="D2701" s="15" t="s">
        <v>6</v>
      </c>
      <c r="E2701" s="15">
        <v>0</v>
      </c>
      <c r="F2701" s="91" t="s">
        <v>1000</v>
      </c>
      <c r="G2701" s="4"/>
      <c r="H2701" s="4"/>
      <c r="I2701" s="4"/>
    </row>
    <row r="2702" spans="1:9" ht="15">
      <c r="A2702" s="21">
        <f t="shared" si="48"/>
        <v>172</v>
      </c>
      <c r="B2702" s="16" t="s">
        <v>3636</v>
      </c>
      <c r="C2702" s="85" t="str">
        <f ca="1">IFERROR(__xludf.DUMMYFUNCTION("GOOGLETRANSLATE(B2702:B2717,""RU"",""UK"")"),"Нутромір індикаторний НІ 250-450мм Кл.2 (0,01)")</f>
        <v>Нутромір індикаторний НІ 250-450мм Кл.2 (0,01)</v>
      </c>
      <c r="D2702" s="17" t="s">
        <v>6</v>
      </c>
      <c r="E2702" s="17">
        <v>3</v>
      </c>
      <c r="F2702" s="92" t="s">
        <v>1002</v>
      </c>
      <c r="G2702" s="4"/>
      <c r="H2702" s="4"/>
      <c r="I2702" s="4"/>
    </row>
    <row r="2703" spans="1:9" ht="15">
      <c r="A2703" s="21">
        <f t="shared" si="48"/>
        <v>173</v>
      </c>
      <c r="B2703" s="14" t="s">
        <v>3637</v>
      </c>
      <c r="C2703" s="85" t="str">
        <f ca="1">IFERROR(__xludf.DUMMYFUNCTION("GOOGLETRANSLATE(B2703:B2718,""RU"",""UK"")"),"Нутромір індикаторний НІ 450-700мм Кл.2 (0,01)")</f>
        <v>Нутромір індикаторний НІ 450-700мм Кл.2 (0,01)</v>
      </c>
      <c r="D2703" s="15" t="s">
        <v>6</v>
      </c>
      <c r="E2703" s="15">
        <v>3</v>
      </c>
      <c r="F2703" s="91" t="s">
        <v>3638</v>
      </c>
      <c r="G2703" s="4"/>
      <c r="H2703" s="4"/>
      <c r="I2703" s="4"/>
    </row>
    <row r="2704" spans="1:9" ht="15">
      <c r="A2704" s="21">
        <f t="shared" si="48"/>
        <v>174</v>
      </c>
      <c r="B2704" s="14" t="s">
        <v>3639</v>
      </c>
      <c r="C2704" s="85" t="str">
        <f ca="1">IFERROR(__xludf.DUMMYFUNCTION("GOOGLETRANSLATE(B2704:B2719,""RU"",""UK"")"),"Нутромір мікрометріч. НМ 6-10мм")</f>
        <v>Нутромір мікрометріч. НМ 6-10мм</v>
      </c>
      <c r="D2704" s="15" t="s">
        <v>6</v>
      </c>
      <c r="E2704" s="15">
        <v>1</v>
      </c>
      <c r="F2704" s="91" t="s">
        <v>80</v>
      </c>
      <c r="G2704" s="4"/>
      <c r="H2704" s="4"/>
      <c r="I2704" s="4"/>
    </row>
    <row r="2705" spans="1:9" ht="15">
      <c r="A2705" s="21">
        <f t="shared" si="48"/>
        <v>175</v>
      </c>
      <c r="B2705" s="16" t="s">
        <v>3640</v>
      </c>
      <c r="C2705" s="85" t="str">
        <f ca="1">IFERROR(__xludf.DUMMYFUNCTION("GOOGLETRANSLATE(B2705:B2720,""RU"",""UK"")"),"Нутромір мікрометріч. НМ 50-75мм")</f>
        <v>Нутромір мікрометріч. НМ 50-75мм</v>
      </c>
      <c r="D2705" s="15" t="s">
        <v>6</v>
      </c>
      <c r="E2705" s="15">
        <v>2</v>
      </c>
      <c r="F2705" s="91" t="s">
        <v>80</v>
      </c>
      <c r="G2705" s="4"/>
      <c r="H2705" s="4"/>
      <c r="I2705" s="4"/>
    </row>
    <row r="2706" spans="1:9" ht="15">
      <c r="A2706" s="21">
        <f t="shared" si="48"/>
        <v>176</v>
      </c>
      <c r="B2706" s="14" t="s">
        <v>3641</v>
      </c>
      <c r="C2706" s="85" t="str">
        <f ca="1">IFERROR(__xludf.DUMMYFUNCTION("GOOGLETRANSLATE(B2706:B2721,""RU"",""UK"")"),"Нутромір мікрометріч. НМ 175мм")</f>
        <v>Нутромір мікрометріч. НМ 175мм</v>
      </c>
      <c r="D2706" s="15" t="s">
        <v>6</v>
      </c>
      <c r="E2706" s="15">
        <v>5</v>
      </c>
      <c r="F2706" s="91" t="s">
        <v>10</v>
      </c>
      <c r="G2706" s="4"/>
      <c r="H2706" s="4"/>
      <c r="I2706" s="4"/>
    </row>
    <row r="2707" spans="1:9" ht="15">
      <c r="A2707" s="21">
        <f t="shared" si="48"/>
        <v>177</v>
      </c>
      <c r="B2707" s="14" t="s">
        <v>3642</v>
      </c>
      <c r="C2707" s="85" t="str">
        <f ca="1">IFERROR(__xludf.DUMMYFUNCTION("GOOGLETRANSLATE(B2707:B2722,""RU"",""UK"")"),"Нутромір мікрометріч. НМ 75-575мм легке б/у")</f>
        <v>Нутромір мікрометріч. НМ 75-575мм легке б/у</v>
      </c>
      <c r="D2707" s="15" t="s">
        <v>6</v>
      </c>
      <c r="E2707" s="15">
        <v>2</v>
      </c>
      <c r="F2707" s="91" t="s">
        <v>910</v>
      </c>
      <c r="G2707" s="4"/>
      <c r="H2707" s="4"/>
      <c r="I2707" s="4"/>
    </row>
    <row r="2708" spans="1:9" ht="15">
      <c r="A2708" s="21">
        <f t="shared" si="48"/>
        <v>178</v>
      </c>
      <c r="B2708" s="14" t="s">
        <v>3643</v>
      </c>
      <c r="C2708" s="85" t="str">
        <f ca="1">IFERROR(__xludf.DUMMYFUNCTION("GOOGLETRANSLATE(B2708:B2723,""RU"",""UK"")"),"Нутромір мікрометріч. НМ 75-575мм б/у")</f>
        <v>Нутромір мікрометріч. НМ 75-575мм б/у</v>
      </c>
      <c r="D2708" s="15" t="s">
        <v>6</v>
      </c>
      <c r="E2708" s="15">
        <v>1</v>
      </c>
      <c r="F2708" s="91" t="s">
        <v>73</v>
      </c>
      <c r="G2708" s="4"/>
      <c r="H2708" s="4"/>
      <c r="I2708" s="4"/>
    </row>
    <row r="2709" spans="1:9" ht="15">
      <c r="A2709" s="21">
        <f t="shared" si="48"/>
        <v>179</v>
      </c>
      <c r="B2709" s="16" t="s">
        <v>3644</v>
      </c>
      <c r="C2709" s="85" t="str">
        <f ca="1">IFERROR(__xludf.DUMMYFUNCTION("GOOGLETRANSLATE(B2709:B2724,""RU"",""UK"")"),"Нутромір мікрометріч. НМ 75-600мм")</f>
        <v>Нутромір мікрометріч. НМ 75-600мм</v>
      </c>
      <c r="D2709" s="15" t="s">
        <v>6</v>
      </c>
      <c r="E2709" s="15">
        <v>1</v>
      </c>
      <c r="F2709" s="91" t="s">
        <v>94</v>
      </c>
      <c r="G2709" s="4"/>
      <c r="H2709" s="4"/>
      <c r="I2709" s="4"/>
    </row>
    <row r="2710" spans="1:9" ht="15">
      <c r="A2710" s="21">
        <f t="shared" si="48"/>
        <v>180</v>
      </c>
      <c r="B2710" s="16" t="s">
        <v>3645</v>
      </c>
      <c r="C2710" s="85" t="str">
        <f ca="1">IFERROR(__xludf.DUMMYFUNCTION("GOOGLETRANSLATE(B2710:B2725,""RU"",""UK"")"),"Нутромір мікрометріч. НМ 75-600мм легке б/у")</f>
        <v>Нутромір мікрометріч. НМ 75-600мм легке б/у</v>
      </c>
      <c r="D2710" s="15" t="s">
        <v>6</v>
      </c>
      <c r="E2710" s="15">
        <v>2</v>
      </c>
      <c r="F2710" s="91" t="s">
        <v>84</v>
      </c>
      <c r="G2710" s="4"/>
      <c r="H2710" s="4"/>
      <c r="I2710" s="4"/>
    </row>
    <row r="2711" spans="1:9" ht="15">
      <c r="A2711" s="21">
        <f t="shared" si="48"/>
        <v>181</v>
      </c>
      <c r="B2711" s="14" t="s">
        <v>3646</v>
      </c>
      <c r="C2711" s="85" t="str">
        <f ca="1">IFERROR(__xludf.DUMMYFUNCTION("GOOGLETRANSLATE(B2711:B2726,""RU"",""UK"")"),"Нутромір мікрометріч. НМ 150-1200мм")</f>
        <v>Нутромір мікрометріч. НМ 150-1200мм</v>
      </c>
      <c r="D2711" s="15" t="s">
        <v>6</v>
      </c>
      <c r="E2711" s="15">
        <v>1</v>
      </c>
      <c r="F2711" s="91" t="s">
        <v>1008</v>
      </c>
      <c r="G2711" s="4"/>
      <c r="H2711" s="4"/>
      <c r="I2711" s="4"/>
    </row>
    <row r="2712" spans="1:9" ht="15">
      <c r="A2712" s="21">
        <f t="shared" si="48"/>
        <v>182</v>
      </c>
      <c r="B2712" s="14" t="s">
        <v>3647</v>
      </c>
      <c r="C2712" s="85" t="str">
        <f ca="1">IFERROR(__xludf.DUMMYFUNCTION("GOOGLETRANSLATE(B2712:B2727,""RU"",""UK"")"),"Нутромір мікрометріч. НМ 150-1250мм легке б/у")</f>
        <v>Нутромір мікрометріч. НМ 150-1250мм легке б/у</v>
      </c>
      <c r="D2712" s="15" t="s">
        <v>6</v>
      </c>
      <c r="E2712" s="15">
        <v>2</v>
      </c>
      <c r="F2712" s="91" t="s">
        <v>991</v>
      </c>
      <c r="G2712" s="4"/>
      <c r="H2712" s="4"/>
      <c r="I2712" s="4"/>
    </row>
    <row r="2713" spans="1:9" ht="15">
      <c r="A2713" s="21">
        <f t="shared" si="48"/>
        <v>183</v>
      </c>
      <c r="B2713" s="14" t="s">
        <v>3648</v>
      </c>
      <c r="C2713" s="85" t="str">
        <f ca="1">IFERROR(__xludf.DUMMYFUNCTION("GOOGLETRANSLATE(B2713:B2728,""RU"",""UK"")"),"Нутромір мікрометріч. НМ 150-1250мм б/у")</f>
        <v>Нутромір мікрометріч. НМ 150-1250мм б/у</v>
      </c>
      <c r="D2713" s="15" t="s">
        <v>6</v>
      </c>
      <c r="E2713" s="15">
        <v>1</v>
      </c>
      <c r="F2713" s="91" t="s">
        <v>3565</v>
      </c>
      <c r="G2713" s="4"/>
      <c r="H2713" s="4"/>
      <c r="I2713" s="4"/>
    </row>
    <row r="2714" spans="1:9" ht="15">
      <c r="A2714" s="21">
        <f t="shared" si="48"/>
        <v>184</v>
      </c>
      <c r="B2714" s="14" t="s">
        <v>3649</v>
      </c>
      <c r="C2714" s="85" t="str">
        <f ca="1">IFERROR(__xludf.DUMMYFUNCTION("GOOGLETRANSLATE(B2714:B2729,""RU"",""UK"")"),"Глибиномір мікрометричний ГМ 0-25мм (0,01)")</f>
        <v>Глибиномір мікрометричний ГМ 0-25мм (0,01)</v>
      </c>
      <c r="D2714" s="15" t="s">
        <v>6</v>
      </c>
      <c r="E2714" s="15">
        <v>4</v>
      </c>
      <c r="F2714" s="91" t="s">
        <v>231</v>
      </c>
      <c r="G2714" s="4"/>
      <c r="H2714" s="4"/>
      <c r="I2714" s="4"/>
    </row>
    <row r="2715" spans="1:9" ht="15">
      <c r="A2715" s="21">
        <f t="shared" si="48"/>
        <v>185</v>
      </c>
      <c r="B2715" s="14" t="s">
        <v>3650</v>
      </c>
      <c r="C2715" s="85" t="str">
        <f ca="1">IFERROR(__xludf.DUMMYFUNCTION("GOOGLETRANSLATE(B2715:B2730,""RU"",""UK"")"),"Глибиномір мікрометричний ГМ 0-50мм")</f>
        <v>Глибиномір мікрометричний ГМ 0-50мм</v>
      </c>
      <c r="D2715" s="15" t="s">
        <v>6</v>
      </c>
      <c r="E2715" s="15">
        <v>1</v>
      </c>
      <c r="F2715" s="91" t="s">
        <v>3651</v>
      </c>
      <c r="G2715" s="4"/>
      <c r="H2715" s="4"/>
      <c r="I2715" s="4"/>
    </row>
    <row r="2716" spans="1:9" ht="15">
      <c r="A2716" s="21">
        <f t="shared" si="48"/>
        <v>186</v>
      </c>
      <c r="B2716" s="14" t="s">
        <v>3652</v>
      </c>
      <c r="C2716" s="85" t="str">
        <f ca="1">IFERROR(__xludf.DUMMYFUNCTION("GOOGLETRANSLATE(B2716:B2731,""RU"",""UK"")"),"Глибомір мікрометричний ГМ 0-100мм Кл.1")</f>
        <v>Глибомір мікрометричний ГМ 0-100мм Кл.1</v>
      </c>
      <c r="D2716" s="15" t="s">
        <v>6</v>
      </c>
      <c r="E2716" s="15">
        <v>12</v>
      </c>
      <c r="F2716" s="91" t="s">
        <v>157</v>
      </c>
      <c r="G2716" s="4"/>
      <c r="H2716" s="4"/>
      <c r="I2716" s="4"/>
    </row>
    <row r="2717" spans="1:9" ht="15">
      <c r="A2717" s="21">
        <f t="shared" si="48"/>
        <v>187</v>
      </c>
      <c r="B2717" s="14" t="s">
        <v>3653</v>
      </c>
      <c r="C2717" s="85" t="str">
        <f ca="1">IFERROR(__xludf.DUMMYFUNCTION("GOOGLETRANSLATE(B2717:B2732,""RU"",""UK"")"),"Глибиномір індикаторний ГІ 0-100мм")</f>
        <v>Глибиномір індикаторний ГІ 0-100мм</v>
      </c>
      <c r="D2717" s="15" t="s">
        <v>6</v>
      </c>
      <c r="E2717" s="15">
        <v>2</v>
      </c>
      <c r="F2717" s="91" t="s">
        <v>3654</v>
      </c>
      <c r="G2717" s="4"/>
      <c r="H2717" s="4"/>
      <c r="I2717" s="4"/>
    </row>
    <row r="2718" spans="1:9" ht="15">
      <c r="A2718" s="21">
        <f t="shared" si="48"/>
        <v>188</v>
      </c>
      <c r="B2718" s="16" t="s">
        <v>3655</v>
      </c>
      <c r="C2718" s="85" t="str">
        <f ca="1">IFERROR(__xludf.DUMMYFUNCTION("GOOGLETRANSLATE(B2718:B2733,""RU"",""UK"")"),"Кутомір з ноніусом УН-127 - Семенова (0-360*)")</f>
        <v>Кутомір з ноніусом УН-127 - Семенова (0-360*)</v>
      </c>
      <c r="D2718" s="15" t="s">
        <v>6</v>
      </c>
      <c r="E2718" s="17">
        <v>3</v>
      </c>
      <c r="F2718" s="91" t="s">
        <v>14</v>
      </c>
      <c r="G2718" s="4"/>
      <c r="H2718" s="4"/>
      <c r="I2718" s="4"/>
    </row>
    <row r="2719" spans="1:9" ht="15">
      <c r="A2719" s="21">
        <f t="shared" si="48"/>
        <v>189</v>
      </c>
      <c r="B2719" s="14" t="s">
        <v>3656</v>
      </c>
      <c r="C2719" s="85" t="str">
        <f ca="1">IFERROR(__xludf.DUMMYFUNCTION("GOOGLETRANSLATE(B2719:B2734,""RU"",""UK"")"),"Кутомір з ноніусом УН-127 - Семенова (0-360*) легке б/у")</f>
        <v>Кутомір з ноніусом УН-127 - Семенова (0-360*) легке б/у</v>
      </c>
      <c r="D2719" s="15" t="s">
        <v>6</v>
      </c>
      <c r="E2719" s="15">
        <v>3</v>
      </c>
      <c r="F2719" s="91" t="s">
        <v>97</v>
      </c>
      <c r="G2719" s="4"/>
      <c r="H2719" s="4"/>
      <c r="I2719" s="4"/>
    </row>
    <row r="2720" spans="1:9" ht="15">
      <c r="A2720" s="21">
        <f t="shared" si="48"/>
        <v>190</v>
      </c>
      <c r="B2720" s="16" t="s">
        <v>3657</v>
      </c>
      <c r="C2720" s="85" t="str">
        <f ca="1">IFERROR(__xludf.DUMMYFUNCTION("GOOGLETRANSLATE(B2720:B2735,""RU"",""UK"")"),"Кутомір з ноніусом 2-розум (0-180*) 2`")</f>
        <v>Кутомір з ноніусом 2-розум (0-180*) 2`</v>
      </c>
      <c r="D2720" s="17" t="s">
        <v>6</v>
      </c>
      <c r="E2720" s="17">
        <v>4</v>
      </c>
      <c r="F2720" s="92" t="s">
        <v>84</v>
      </c>
      <c r="G2720" s="4"/>
      <c r="H2720" s="4"/>
      <c r="I2720" s="4"/>
    </row>
    <row r="2721" spans="1:9" ht="15">
      <c r="A2721" s="21">
        <f t="shared" si="48"/>
        <v>191</v>
      </c>
      <c r="B2721" s="19" t="s">
        <v>3658</v>
      </c>
      <c r="C2721" s="85" t="str">
        <f ca="1">IFERROR(__xludf.DUMMYFUNCTION("GOOGLETRANSLATE(B2721:B2736,""RU"",""UK"")"),"Кутомір з ноніусом 5-розум (0-180 *) 5`")</f>
        <v>Кутомір з ноніусом 5-розум (0-180 *) 5`</v>
      </c>
      <c r="D2721" s="17" t="s">
        <v>6</v>
      </c>
      <c r="E2721" s="17">
        <v>0</v>
      </c>
      <c r="F2721" s="92" t="s">
        <v>84</v>
      </c>
      <c r="G2721" s="4"/>
      <c r="H2721" s="4"/>
      <c r="I2721" s="4"/>
    </row>
    <row r="2722" spans="1:9" ht="15">
      <c r="A2722" s="21">
        <f t="shared" si="48"/>
        <v>192</v>
      </c>
      <c r="B2722" s="16" t="s">
        <v>3659</v>
      </c>
      <c r="C2722" s="85" t="str">
        <f ca="1">IFERROR(__xludf.DUMMYFUNCTION("GOOGLETRANSLATE(B2722:B2737,""RU"",""UK"")"),"Кутомір універсальний з ноніусом та лупою УН-0.05° (0-360*) VIS ПНР")</f>
        <v>Кутомір універсальний з ноніусом та лупою УН-0.05° (0-360*) VIS ПНР</v>
      </c>
      <c r="D2722" s="15" t="s">
        <v>6</v>
      </c>
      <c r="E2722" s="15">
        <v>1</v>
      </c>
      <c r="F2722" s="91" t="s">
        <v>3660</v>
      </c>
      <c r="G2722" s="4"/>
      <c r="H2722" s="4"/>
      <c r="I2722" s="4"/>
    </row>
    <row r="2723" spans="1:9" ht="15">
      <c r="A2723" s="21">
        <f t="shared" si="48"/>
        <v>193</v>
      </c>
      <c r="B2723" s="14" t="s">
        <v>3661</v>
      </c>
      <c r="C2723" s="85" t="str">
        <f ca="1">IFERROR(__xludf.DUMMYFUNCTION("GOOGLETRANSLATE(B2723:B2738,""RU"",""UK"")"),"Кутомір універсальний 2-УРІ")</f>
        <v>Кутомір універсальний 2-УРІ</v>
      </c>
      <c r="D2723" s="15" t="s">
        <v>6</v>
      </c>
      <c r="E2723" s="15">
        <v>4</v>
      </c>
      <c r="F2723" s="91" t="s">
        <v>38</v>
      </c>
      <c r="G2723" s="4"/>
      <c r="H2723" s="4"/>
      <c r="I2723" s="4"/>
    </row>
    <row r="2724" spans="1:9" ht="15">
      <c r="A2724" s="21">
        <f t="shared" si="48"/>
        <v>194</v>
      </c>
      <c r="B2724" s="16" t="s">
        <v>3662</v>
      </c>
      <c r="C2724" s="85" t="str">
        <f ca="1">IFERROR(__xludf.DUMMYFUNCTION("GOOGLETRANSLATE(B2724:B2739,""RU"",""UK"")"),"Кутомір оптичний УО-2 (0-180*) 5`")</f>
        <v>Кутомір оптичний УО-2 (0-180*) 5`</v>
      </c>
      <c r="D2724" s="15" t="s">
        <v>6</v>
      </c>
      <c r="E2724" s="15">
        <v>1</v>
      </c>
      <c r="F2724" s="91" t="s">
        <v>73</v>
      </c>
      <c r="G2724" s="4"/>
      <c r="H2724" s="4"/>
      <c r="I2724" s="4"/>
    </row>
    <row r="2725" spans="1:9" ht="15">
      <c r="A2725" s="21">
        <f t="shared" ref="A2725:A2788" si="49">A2724+1</f>
        <v>195</v>
      </c>
      <c r="B2725" s="14" t="s">
        <v>3663</v>
      </c>
      <c r="C2725" s="85" t="str">
        <f ca="1">IFERROR(__xludf.DUMMYFUNCTION("GOOGLETRANSLATE(B2725:B2740,""RU"",""UK"")"),"Квадрант з рівнем L300мм б/у")</f>
        <v>Квадрант з рівнем L300мм б/у</v>
      </c>
      <c r="D2725" s="15" t="s">
        <v>6</v>
      </c>
      <c r="E2725" s="15">
        <v>1</v>
      </c>
      <c r="F2725" s="91" t="s">
        <v>3664</v>
      </c>
      <c r="G2725" s="4"/>
      <c r="H2725" s="4"/>
      <c r="I2725" s="4"/>
    </row>
    <row r="2726" spans="1:9" ht="15">
      <c r="A2726" s="21">
        <f t="shared" si="49"/>
        <v>196</v>
      </c>
      <c r="B2726" s="16" t="s">
        <v>3665</v>
      </c>
      <c r="C2726" s="85" t="str">
        <f ca="1">IFERROR(__xludf.DUMMYFUNCTION("GOOGLETRANSLATE(B2726:B2741,""RU"",""UK"")"),"Квадрант оптичний КО-1")</f>
        <v>Квадрант оптичний КО-1</v>
      </c>
      <c r="D2726" s="15" t="s">
        <v>6</v>
      </c>
      <c r="E2726" s="15">
        <v>1</v>
      </c>
      <c r="F2726" s="91" t="s">
        <v>12</v>
      </c>
      <c r="G2726" s="4"/>
      <c r="H2726" s="4"/>
      <c r="I2726" s="4"/>
    </row>
    <row r="2727" spans="1:9" ht="15">
      <c r="A2727" s="21">
        <f t="shared" si="49"/>
        <v>197</v>
      </c>
      <c r="B2727" s="19" t="s">
        <v>3666</v>
      </c>
      <c r="C2727" s="85" t="str">
        <f ca="1">IFERROR(__xludf.DUMMYFUNCTION("GOOGLETRANSLATE(B2727:B2742,""RU"",""UK"")"),"Грамометр вартового типу Г 10-50")</f>
        <v>Грамометр вартового типу Г 10-50</v>
      </c>
      <c r="D2727" s="15" t="s">
        <v>6</v>
      </c>
      <c r="E2727" s="15">
        <v>0</v>
      </c>
      <c r="F2727" s="91" t="s">
        <v>413</v>
      </c>
      <c r="G2727" s="4"/>
      <c r="H2727" s="4"/>
      <c r="I2727" s="4"/>
    </row>
    <row r="2728" spans="1:9" ht="15">
      <c r="A2728" s="21">
        <f t="shared" si="49"/>
        <v>198</v>
      </c>
      <c r="B2728" s="16" t="s">
        <v>3667</v>
      </c>
      <c r="C2728" s="85" t="str">
        <f ca="1">IFERROR(__xludf.DUMMYFUNCTION("GOOGLETRANSLATE(B2728:B2743,""RU"",""UK"")"),"Плоскопар набір. конц. мір довжини №1 (83 мір) Кл.2")</f>
        <v>Плоскопар набір. конц. мір довжини №1 (83 мір) Кл.2</v>
      </c>
      <c r="D2728" s="15" t="s">
        <v>3118</v>
      </c>
      <c r="E2728" s="15">
        <v>1</v>
      </c>
      <c r="F2728" s="91" t="s">
        <v>3565</v>
      </c>
      <c r="G2728" s="4"/>
      <c r="H2728" s="4"/>
      <c r="I2728" s="4"/>
    </row>
    <row r="2729" spans="1:9" ht="15">
      <c r="A2729" s="21">
        <f t="shared" si="49"/>
        <v>199</v>
      </c>
      <c r="B2729" s="19" t="s">
        <v>3668</v>
      </c>
      <c r="C2729" s="85" t="str">
        <f ca="1">IFERROR(__xludf.DUMMYFUNCTION("GOOGLETRANSLATE(B2729:B2744,""RU"",""UK"")"),"Плоскопар набір. конц. мір довжини №1 (83 мір) Кл.1")</f>
        <v>Плоскопар набір. конц. мір довжини №1 (83 мір) Кл.1</v>
      </c>
      <c r="D2729" s="15" t="s">
        <v>3118</v>
      </c>
      <c r="E2729" s="15">
        <v>0</v>
      </c>
      <c r="F2729" s="91" t="s">
        <v>3669</v>
      </c>
      <c r="G2729" s="4"/>
      <c r="H2729" s="4"/>
      <c r="I2729" s="4"/>
    </row>
    <row r="2730" spans="1:9" ht="15">
      <c r="A2730" s="21">
        <f t="shared" si="49"/>
        <v>200</v>
      </c>
      <c r="B2730" s="16" t="s">
        <v>3670</v>
      </c>
      <c r="C2730" s="85" t="str">
        <f ca="1">IFERROR(__xludf.DUMMYFUNCTION("GOOGLETRANSLATE(B2730:B2745,""RU"",""UK"")"),"Плоскопар набір. конц. мір довжини №1 (83 мір) Кл.0")</f>
        <v>Плоскопар набір. конц. мір довжини №1 (83 мір) Кл.0</v>
      </c>
      <c r="D2730" s="15" t="s">
        <v>3118</v>
      </c>
      <c r="E2730" s="15">
        <v>1</v>
      </c>
      <c r="F2730" s="91" t="s">
        <v>991</v>
      </c>
      <c r="G2730" s="4"/>
      <c r="H2730" s="4"/>
      <c r="I2730" s="4"/>
    </row>
    <row r="2731" spans="1:9" ht="15">
      <c r="A2731" s="21">
        <f t="shared" si="49"/>
        <v>201</v>
      </c>
      <c r="B2731" s="14" t="s">
        <v>3671</v>
      </c>
      <c r="C2731" s="85" t="str">
        <f ca="1">IFERROR(__xludf.DUMMYFUNCTION("GOOGLETRANSLATE(B2731:B2746,""RU"",""UK"")"),"Плоскопар набір. конц. мір довжини №2 (38 мір) Кл.1")</f>
        <v>Плоскопар набір. конц. мір довжини №2 (38 мір) Кл.1</v>
      </c>
      <c r="D2731" s="15" t="s">
        <v>3118</v>
      </c>
      <c r="E2731" s="15">
        <v>6</v>
      </c>
      <c r="F2731" s="91" t="s">
        <v>3672</v>
      </c>
      <c r="G2731" s="4"/>
      <c r="H2731" s="4"/>
      <c r="I2731" s="4"/>
    </row>
    <row r="2732" spans="1:9" ht="15">
      <c r="A2732" s="21">
        <f t="shared" si="49"/>
        <v>202</v>
      </c>
      <c r="B2732" s="14" t="s">
        <v>3673</v>
      </c>
      <c r="C2732" s="85" t="str">
        <f ca="1">IFERROR(__xludf.DUMMYFUNCTION("GOOGLETRANSLATE(B2732:B2747,""RU"",""UK"")"),"Плоскопар набір. конц. мір довжини №2 (38 мір) Кл.2")</f>
        <v>Плоскопар набір. конц. мір довжини №2 (38 мір) Кл.2</v>
      </c>
      <c r="D2732" s="15" t="s">
        <v>3118</v>
      </c>
      <c r="E2732" s="15">
        <v>1</v>
      </c>
      <c r="F2732" s="91" t="s">
        <v>3553</v>
      </c>
      <c r="G2732" s="4"/>
      <c r="H2732" s="4"/>
      <c r="I2732" s="4"/>
    </row>
    <row r="2733" spans="1:9" ht="15">
      <c r="A2733" s="21">
        <f t="shared" si="49"/>
        <v>203</v>
      </c>
      <c r="B2733" s="14" t="s">
        <v>3674</v>
      </c>
      <c r="C2733" s="85" t="str">
        <f ca="1">IFERROR(__xludf.DUMMYFUNCTION("GOOGLETRANSLATE(B2733:B2748,""RU"",""UK"")"),"Плоскопар набір. конц. мір довжини №3 (112 мір) Кл.1")</f>
        <v>Плоскопар набір. конц. мір довжини №3 (112 мір) Кл.1</v>
      </c>
      <c r="D2733" s="15" t="s">
        <v>3118</v>
      </c>
      <c r="E2733" s="15">
        <v>2</v>
      </c>
      <c r="F2733" s="91" t="s">
        <v>48</v>
      </c>
      <c r="G2733" s="4"/>
      <c r="H2733" s="4"/>
      <c r="I2733" s="4"/>
    </row>
    <row r="2734" spans="1:9" ht="15">
      <c r="A2734" s="21">
        <f t="shared" si="49"/>
        <v>204</v>
      </c>
      <c r="B2734" s="14" t="s">
        <v>3675</v>
      </c>
      <c r="C2734" s="85" t="str">
        <f ca="1">IFERROR(__xludf.DUMMYFUNCTION("GOOGLETRANSLATE(B2734:B2749,""RU"",""UK"")"),"Плоскопар набір. конц. мір довжини №7 (11 мір) Кл.1")</f>
        <v>Плоскопар набір. конц. мір довжини №7 (11 мір) Кл.1</v>
      </c>
      <c r="D2734" s="15" t="s">
        <v>3118</v>
      </c>
      <c r="E2734" s="15">
        <v>1</v>
      </c>
      <c r="F2734" s="91" t="s">
        <v>71</v>
      </c>
      <c r="G2734" s="4"/>
      <c r="H2734" s="4"/>
      <c r="I2734" s="4"/>
    </row>
    <row r="2735" spans="1:9" ht="15">
      <c r="A2735" s="21">
        <f t="shared" si="49"/>
        <v>205</v>
      </c>
      <c r="B2735" s="14" t="s">
        <v>3676</v>
      </c>
      <c r="C2735" s="85" t="str">
        <f ca="1">IFERROR(__xludf.DUMMYFUNCTION("GOOGLETRANSLATE(B2735:B2750,""RU"",""UK"")"),"Плоскопар набір. конц. мір довжини №9 (12 мір) Кл.1 б/у")</f>
        <v>Плоскопар набір. конц. мір довжини №9 (12 мір) Кл.1 б/у</v>
      </c>
      <c r="D2735" s="15" t="s">
        <v>3118</v>
      </c>
      <c r="E2735" s="15">
        <v>1</v>
      </c>
      <c r="F2735" s="91" t="s">
        <v>3677</v>
      </c>
      <c r="G2735" s="4"/>
      <c r="H2735" s="4"/>
      <c r="I2735" s="4"/>
    </row>
    <row r="2736" spans="1:9" ht="15">
      <c r="A2736" s="21">
        <f t="shared" si="49"/>
        <v>206</v>
      </c>
      <c r="B2736" s="14" t="s">
        <v>3678</v>
      </c>
      <c r="C2736" s="85" t="str">
        <f ca="1">IFERROR(__xludf.DUMMYFUNCTION("GOOGLETRANSLATE(B2736:B2751,""RU"",""UK"")"),"Зразкові плоскопар. заходи 3 розряд (№№ 3, 10, 11, 16, 17, 20, 21 та ПІ60)")</f>
        <v>Зразкові плоскопар. заходи 3 розряд (№№ 3, 10, 11, 16, 17, 20, 21 та ПІ60)</v>
      </c>
      <c r="D2736" s="15" t="s">
        <v>3118</v>
      </c>
      <c r="E2736" s="15">
        <v>1</v>
      </c>
      <c r="F2736" s="91" t="s">
        <v>3679</v>
      </c>
      <c r="G2736" s="4"/>
      <c r="H2736" s="4"/>
      <c r="I2736" s="4"/>
    </row>
    <row r="2737" spans="1:9" ht="15">
      <c r="A2737" s="21">
        <f t="shared" si="49"/>
        <v>207</v>
      </c>
      <c r="B2737" s="14" t="s">
        <v>3680</v>
      </c>
      <c r="C2737" s="85" t="str">
        <f ca="1">IFERROR(__xludf.DUMMYFUNCTION("GOOGLETRANSLATE(B2737:B2752,""RU"",""UK"")"),"Набір зразкових кілець для перевірки нутромірів НІ 18-50 модель 929-4.")</f>
        <v>Набір зразкових кілець для перевірки нутромірів НІ 18-50 модель 929-4.</v>
      </c>
      <c r="D2737" s="15" t="s">
        <v>3118</v>
      </c>
      <c r="E2737" s="15">
        <v>1</v>
      </c>
      <c r="F2737" s="91" t="s">
        <v>3681</v>
      </c>
      <c r="G2737" s="4"/>
      <c r="H2737" s="4"/>
      <c r="I2737" s="4"/>
    </row>
    <row r="2738" spans="1:9" ht="15">
      <c r="A2738" s="21">
        <f t="shared" si="49"/>
        <v>208</v>
      </c>
      <c r="B2738" s="16" t="s">
        <v>3682</v>
      </c>
      <c r="C2738" s="85" t="str">
        <f ca="1">IFERROR(__xludf.DUMMYFUNCTION("GOOGLETRANSLATE(B2738:B2753,""RU"",""UK"")"),"Набір вимірювальний повний (приладдя до мір довжини) ПК1")</f>
        <v>Набір вимірювальний повний (приладдя до мір довжини) ПК1</v>
      </c>
      <c r="D2738" s="15" t="s">
        <v>6</v>
      </c>
      <c r="E2738" s="15">
        <v>3</v>
      </c>
      <c r="F2738" s="91" t="s">
        <v>48</v>
      </c>
      <c r="G2738" s="4"/>
      <c r="H2738" s="4"/>
      <c r="I2738" s="4"/>
    </row>
    <row r="2739" spans="1:9" ht="15">
      <c r="A2739" s="21">
        <f t="shared" si="49"/>
        <v>209</v>
      </c>
      <c r="B2739" s="16" t="s">
        <v>3683</v>
      </c>
      <c r="C2739" s="85" t="str">
        <f ca="1">IFERROR(__xludf.DUMMYFUNCTION("GOOGLETRANSLATE(B2739:B2754,""RU"",""UK"")"),"Набір вимірювальний повний (приладдя до мір довжини) ПК1")</f>
        <v>Набір вимірювальний повний (приладдя до мір довжини) ПК1</v>
      </c>
      <c r="D2739" s="15" t="s">
        <v>6</v>
      </c>
      <c r="E2739" s="15">
        <v>1</v>
      </c>
      <c r="F2739" s="91" t="s">
        <v>84</v>
      </c>
      <c r="G2739" s="4"/>
      <c r="H2739" s="4"/>
      <c r="I2739" s="4"/>
    </row>
    <row r="2740" spans="1:9" ht="15">
      <c r="A2740" s="21">
        <f t="shared" si="49"/>
        <v>210</v>
      </c>
      <c r="B2740" s="16" t="s">
        <v>3684</v>
      </c>
      <c r="C2740" s="85" t="str">
        <f ca="1">IFERROR(__xludf.DUMMYFUNCTION("GOOGLETRANSLATE(B2740:B2755,""RU"",""UK"")"),"Набір приладдя до заходів довжини ПК2")</f>
        <v>Набір приладдя до заходів довжини ПК2</v>
      </c>
      <c r="D2740" s="15" t="s">
        <v>6</v>
      </c>
      <c r="E2740" s="15">
        <v>2</v>
      </c>
      <c r="F2740" s="91" t="s">
        <v>14</v>
      </c>
      <c r="G2740" s="4"/>
      <c r="H2740" s="4"/>
      <c r="I2740" s="4"/>
    </row>
    <row r="2741" spans="1:9" ht="15">
      <c r="A2741" s="21">
        <f t="shared" si="49"/>
        <v>211</v>
      </c>
      <c r="B2741" s="16" t="s">
        <v>3685</v>
      </c>
      <c r="C2741" s="85" t="str">
        <f ca="1">IFERROR(__xludf.DUMMYFUNCTION("GOOGLETRANSLATE(B2741:B2756,""RU"",""UK"")"),"Набір приладдя до заходів довжини ПК2 не комплектний шт")</f>
        <v>Набір приладдя до заходів довжини ПК2 не комплектний шт</v>
      </c>
      <c r="D2741" s="15" t="s">
        <v>6</v>
      </c>
      <c r="E2741" s="15">
        <v>1</v>
      </c>
      <c r="F2741" s="91" t="s">
        <v>80</v>
      </c>
      <c r="G2741" s="4"/>
      <c r="H2741" s="4"/>
      <c r="I2741" s="4"/>
    </row>
    <row r="2742" spans="1:9" ht="15">
      <c r="A2742" s="21">
        <f t="shared" si="49"/>
        <v>212</v>
      </c>
      <c r="B2742" s="16" t="s">
        <v>3686</v>
      </c>
      <c r="C2742" s="85" t="str">
        <f ca="1">IFERROR(__xludf.DUMMYFUNCTION("GOOGLETRANSLATE(B2742:B2757,""RU"",""UK"")"),"Набір мір плоского кута МУ №1 Кл. 1 (93шт).")</f>
        <v>Набір мір плоского кута МУ №1 Кл. 1 (93шт).</v>
      </c>
      <c r="D2742" s="15" t="s">
        <v>6</v>
      </c>
      <c r="E2742" s="15">
        <v>2</v>
      </c>
      <c r="F2742" s="91" t="s">
        <v>991</v>
      </c>
      <c r="G2742" s="4"/>
      <c r="H2742" s="4"/>
      <c r="I2742" s="4"/>
    </row>
    <row r="2743" spans="1:9" ht="15">
      <c r="A2743" s="21">
        <f t="shared" si="49"/>
        <v>213</v>
      </c>
      <c r="B2743" s="16" t="s">
        <v>3687</v>
      </c>
      <c r="C2743" s="85" t="str">
        <f ca="1">IFERROR(__xludf.DUMMYFUNCTION("GOOGLETRANSLATE(B2743:B2758,""RU"",""UK"")"),"Набір мір плоского кута МУ №1 Кл. 2 (93шт).")</f>
        <v>Набір мір плоского кута МУ №1 Кл. 2 (93шт).</v>
      </c>
      <c r="D2743" s="15" t="s">
        <v>6</v>
      </c>
      <c r="E2743" s="15">
        <v>1</v>
      </c>
      <c r="F2743" s="91" t="s">
        <v>59</v>
      </c>
      <c r="G2743" s="4"/>
      <c r="H2743" s="4"/>
      <c r="I2743" s="4"/>
    </row>
    <row r="2744" spans="1:9" ht="15">
      <c r="A2744" s="21">
        <f t="shared" si="49"/>
        <v>214</v>
      </c>
      <c r="B2744" s="14" t="s">
        <v>3688</v>
      </c>
      <c r="C2744" s="85" t="str">
        <f ca="1">IFERROR(__xludf.DUMMYFUNCTION("GOOGLETRANSLATE(B2744:B2759,""RU"",""UK"")"),"Набір мір плоского кута МУ №1 Кл. 2 легке б/в (93шт)")</f>
        <v>Набір мір плоского кута МУ №1 Кл. 2 легке б/в (93шт)</v>
      </c>
      <c r="D2744" s="15" t="s">
        <v>6</v>
      </c>
      <c r="E2744" s="15">
        <v>1</v>
      </c>
      <c r="F2744" s="91" t="s">
        <v>73</v>
      </c>
      <c r="G2744" s="4"/>
      <c r="H2744" s="4"/>
      <c r="I2744" s="4"/>
    </row>
    <row r="2745" spans="1:9" ht="15">
      <c r="A2745" s="21">
        <f t="shared" si="49"/>
        <v>215</v>
      </c>
      <c r="B2745" s="16" t="s">
        <v>3689</v>
      </c>
      <c r="C2745" s="85" t="str">
        <f ca="1">IFERROR(__xludf.DUMMYFUNCTION("GOOGLETRANSLATE(B2745:B2760,""RU"",""UK"")"),"Набір мір кутових призматичні МУ №2 Кл.2 (33шт).")</f>
        <v>Набір мір кутових призматичні МУ №2 Кл.2 (33шт).</v>
      </c>
      <c r="D2745" s="15" t="s">
        <v>6</v>
      </c>
      <c r="E2745" s="15">
        <v>1</v>
      </c>
      <c r="F2745" s="91" t="s">
        <v>914</v>
      </c>
      <c r="G2745" s="4"/>
      <c r="H2745" s="4"/>
      <c r="I2745" s="4"/>
    </row>
    <row r="2746" spans="1:9" ht="15">
      <c r="A2746" s="21">
        <f t="shared" si="49"/>
        <v>216</v>
      </c>
      <c r="B2746" s="19" t="s">
        <v>3690</v>
      </c>
      <c r="C2746" s="85" t="str">
        <f ca="1">IFERROR(__xludf.DUMMYFUNCTION("GOOGLETRANSLATE(B2746:B2761,""RU"",""UK"")"),"Набір заходів кутових призматичних МУ №3 Кл.1")</f>
        <v>Набір заходів кутових призматичних МУ №3 Кл.1</v>
      </c>
      <c r="D2746" s="15" t="s">
        <v>6</v>
      </c>
      <c r="E2746" s="15">
        <v>0</v>
      </c>
      <c r="F2746" s="91" t="s">
        <v>3545</v>
      </c>
      <c r="G2746" s="4"/>
      <c r="H2746" s="4"/>
      <c r="I2746" s="4"/>
    </row>
    <row r="2747" spans="1:9" ht="15">
      <c r="A2747" s="21">
        <f t="shared" si="49"/>
        <v>217</v>
      </c>
      <c r="B2747" s="16" t="s">
        <v>3691</v>
      </c>
      <c r="C2747" s="85" t="str">
        <f ca="1">IFERROR(__xludf.DUMMYFUNCTION("GOOGLETRANSLATE(B2747:B2762,""RU"",""UK"")"),"Зразкові міри твердості МТР-1")</f>
        <v>Зразкові міри твердості МТР-1</v>
      </c>
      <c r="D2747" s="15" t="s">
        <v>1031</v>
      </c>
      <c r="E2747" s="15">
        <v>1</v>
      </c>
      <c r="F2747" s="91" t="s">
        <v>3692</v>
      </c>
      <c r="G2747" s="4"/>
      <c r="H2747" s="4"/>
      <c r="I2747" s="4"/>
    </row>
    <row r="2748" spans="1:9" ht="15">
      <c r="A2748" s="21">
        <f t="shared" si="49"/>
        <v>218</v>
      </c>
      <c r="B2748" s="14" t="s">
        <v>3693</v>
      </c>
      <c r="C2748" s="85" t="str">
        <f ca="1">IFERROR(__xludf.DUMMYFUNCTION("GOOGLETRANSLATE(B2748:B2763,""RU"",""UK"")"),"Зразкові міри твердості МТБ-1 / МТВ-1 / МТСР-1")</f>
        <v>Зразкові міри твердості МТБ-1 / МТВ-1 / МТСР-1</v>
      </c>
      <c r="D2748" s="15" t="s">
        <v>1031</v>
      </c>
      <c r="E2748" s="15" t="s">
        <v>3694</v>
      </c>
      <c r="F2748" s="91" t="s">
        <v>38</v>
      </c>
      <c r="G2748" s="4"/>
      <c r="H2748" s="4"/>
      <c r="I2748" s="4"/>
    </row>
    <row r="2749" spans="1:9" ht="15">
      <c r="A2749" s="21">
        <f t="shared" si="49"/>
        <v>219</v>
      </c>
      <c r="B2749" s="14" t="s">
        <v>3695</v>
      </c>
      <c r="C2749" s="85" t="str">
        <f ca="1">IFERROR(__xludf.DUMMYFUNCTION("GOOGLETRANSLATE(B2749:B2764,""RU"",""UK"")"),"Рулетка землемірна 20м")</f>
        <v>Рулетка землемірна 20м</v>
      </c>
      <c r="D2749" s="15" t="s">
        <v>6</v>
      </c>
      <c r="E2749" s="15">
        <v>13</v>
      </c>
      <c r="F2749" s="91" t="s">
        <v>119</v>
      </c>
      <c r="G2749" s="4"/>
      <c r="H2749" s="4"/>
      <c r="I2749" s="4"/>
    </row>
    <row r="2750" spans="1:9" ht="15">
      <c r="A2750" s="21">
        <f t="shared" si="49"/>
        <v>220</v>
      </c>
      <c r="B2750" s="14" t="s">
        <v>3696</v>
      </c>
      <c r="C2750" s="85" t="str">
        <f ca="1">IFERROR(__xludf.DUMMYFUNCTION("GOOGLETRANSLATE(B2750:B2765,""RU"",""UK"")"),"Рулетка 50м ДЕРЖСТАНДАРТ (надлом ручки)")</f>
        <v>Рулетка 50м ДЕРЖСТАНДАРТ (надлом ручки)</v>
      </c>
      <c r="D2750" s="15" t="s">
        <v>6</v>
      </c>
      <c r="E2750" s="15">
        <v>1</v>
      </c>
      <c r="F2750" s="91" t="s">
        <v>3697</v>
      </c>
      <c r="G2750" s="4"/>
      <c r="H2750" s="4"/>
      <c r="I2750" s="4"/>
    </row>
    <row r="2751" spans="1:9" ht="15">
      <c r="A2751" s="21">
        <f t="shared" si="49"/>
        <v>221</v>
      </c>
      <c r="B2751" s="16" t="s">
        <v>3698</v>
      </c>
      <c r="C2751" s="85" t="str">
        <f ca="1">IFERROR(__xludf.DUMMYFUNCTION("GOOGLETRANSLATE(B2751:B2766,""RU"",""UK"")"),"Рулетка в обгумованому корпусі з фіксатором, 10м/25мм")</f>
        <v>Рулетка в обгумованому корпусі з фіксатором, 10м/25мм</v>
      </c>
      <c r="D2751" s="15" t="s">
        <v>6</v>
      </c>
      <c r="E2751" s="15">
        <v>2</v>
      </c>
      <c r="F2751" s="91" t="s">
        <v>159</v>
      </c>
      <c r="G2751" s="4"/>
      <c r="H2751" s="4"/>
      <c r="I2751" s="4"/>
    </row>
    <row r="2752" spans="1:9" ht="15">
      <c r="A2752" s="21">
        <f t="shared" si="49"/>
        <v>222</v>
      </c>
      <c r="B2752" s="14" t="s">
        <v>3699</v>
      </c>
      <c r="C2752" s="85" t="str">
        <f ca="1">IFERROR(__xludf.DUMMYFUNCTION("GOOGLETRANSLATE(B2752:B2767,""RU"",""UK"")"),"Рулетка в обгумованому корпусі з фіксатором, 8м/25мм")</f>
        <v>Рулетка в обгумованому корпусі з фіксатором, 8м/25мм</v>
      </c>
      <c r="D2752" s="15" t="s">
        <v>6</v>
      </c>
      <c r="E2752" s="15">
        <v>6</v>
      </c>
      <c r="F2752" s="91" t="s">
        <v>140</v>
      </c>
      <c r="G2752" s="4"/>
      <c r="H2752" s="4"/>
      <c r="I2752" s="4"/>
    </row>
    <row r="2753" spans="1:9" ht="15">
      <c r="A2753" s="21">
        <f t="shared" si="49"/>
        <v>223</v>
      </c>
      <c r="B2753" s="16" t="s">
        <v>3700</v>
      </c>
      <c r="C2753" s="85" t="str">
        <f ca="1">IFERROR(__xludf.DUMMYFUNCTION("GOOGLETRANSLATE(B2753:B2768,""RU"",""UK"")"),"Рулетка в обгумованому корпусі з фіксатором, 5м/25мм")</f>
        <v>Рулетка в обгумованому корпусі з фіксатором, 5м/25мм</v>
      </c>
      <c r="D2753" s="17" t="s">
        <v>6</v>
      </c>
      <c r="E2753" s="17">
        <v>4</v>
      </c>
      <c r="F2753" s="92" t="s">
        <v>519</v>
      </c>
      <c r="G2753" s="4"/>
      <c r="H2753" s="4"/>
      <c r="I2753" s="4"/>
    </row>
    <row r="2754" spans="1:9" ht="15">
      <c r="A2754" s="21">
        <f t="shared" si="49"/>
        <v>224</v>
      </c>
      <c r="B2754" s="16" t="s">
        <v>3701</v>
      </c>
      <c r="C2754" s="85" t="str">
        <f ca="1">IFERROR(__xludf.DUMMYFUNCTION("GOOGLETRANSLATE(B2754:B2769,""RU"",""UK"")"),"Рулетка в обгумованому корпусі з фіксатором, 3м/16мм")</f>
        <v>Рулетка в обгумованому корпусі з фіксатором, 3м/16мм</v>
      </c>
      <c r="D2754" s="15" t="s">
        <v>6</v>
      </c>
      <c r="E2754" s="15">
        <v>2</v>
      </c>
      <c r="F2754" s="91" t="s">
        <v>3702</v>
      </c>
      <c r="G2754" s="4"/>
      <c r="H2754" s="4"/>
      <c r="I2754" s="4"/>
    </row>
    <row r="2755" spans="1:9" ht="15">
      <c r="A2755" s="21">
        <f t="shared" si="49"/>
        <v>225</v>
      </c>
      <c r="B2755" s="14" t="s">
        <v>3703</v>
      </c>
      <c r="C2755" s="85" t="str">
        <f ca="1">IFERROR(__xludf.DUMMYFUNCTION("GOOGLETRANSLATE(B2755:B2770,""RU"",""UK"")"),"Лінійка металева 1000мм ГОСТ")</f>
        <v>Лінійка металева 1000мм ГОСТ</v>
      </c>
      <c r="D2755" s="15" t="s">
        <v>6</v>
      </c>
      <c r="E2755" s="15">
        <v>21</v>
      </c>
      <c r="F2755" s="91" t="s">
        <v>162</v>
      </c>
      <c r="G2755" s="4"/>
      <c r="H2755" s="4"/>
      <c r="I2755" s="4"/>
    </row>
    <row r="2756" spans="1:9" ht="15">
      <c r="A2756" s="21">
        <f t="shared" si="49"/>
        <v>226</v>
      </c>
      <c r="B2756" s="16" t="s">
        <v>3704</v>
      </c>
      <c r="C2756" s="85" t="str">
        <f ca="1">IFERROR(__xludf.DUMMYFUNCTION("GOOGLETRANSLATE(B2756:B2771,""RU"",""UK"")"),"Лінійка металева 600мм Японія (міліметровим та дюймовим градуюванням)")</f>
        <v>Лінійка металева 600мм Японія (міліметровим та дюймовим градуюванням)</v>
      </c>
      <c r="D2756" s="15" t="s">
        <v>6</v>
      </c>
      <c r="E2756" s="15">
        <v>10</v>
      </c>
      <c r="F2756" s="91" t="s">
        <v>140</v>
      </c>
      <c r="G2756" s="4"/>
      <c r="H2756" s="4"/>
      <c r="I2756" s="4"/>
    </row>
    <row r="2757" spans="1:9" ht="15">
      <c r="A2757" s="21">
        <f t="shared" si="49"/>
        <v>227</v>
      </c>
      <c r="B2757" s="14" t="s">
        <v>3705</v>
      </c>
      <c r="C2757" s="85" t="str">
        <f ca="1">IFERROR(__xludf.DUMMYFUNCTION("GOOGLETRANSLATE(B2757:B2772,""RU"",""UK"")"),"Лінійка металева 500мм ГОСТ")</f>
        <v>Лінійка металева 500мм ГОСТ</v>
      </c>
      <c r="D2757" s="15" t="s">
        <v>6</v>
      </c>
      <c r="E2757" s="15">
        <v>73</v>
      </c>
      <c r="F2757" s="91" t="s">
        <v>348</v>
      </c>
      <c r="G2757" s="4"/>
      <c r="H2757" s="4"/>
      <c r="I2757" s="4"/>
    </row>
    <row r="2758" spans="1:9" ht="15">
      <c r="A2758" s="21">
        <f t="shared" si="49"/>
        <v>228</v>
      </c>
      <c r="B2758" s="14" t="s">
        <v>3706</v>
      </c>
      <c r="C2758" s="85" t="str">
        <f ca="1">IFERROR(__xludf.DUMMYFUNCTION("GOOGLETRANSLATE(B2758:B2773,""RU"",""UK"")"),"Лінійка металева 300мм ГОСТ")</f>
        <v>Лінійка металева 300мм ГОСТ</v>
      </c>
      <c r="D2758" s="15" t="s">
        <v>6</v>
      </c>
      <c r="E2758" s="15">
        <v>42</v>
      </c>
      <c r="F2758" s="91" t="s">
        <v>104</v>
      </c>
      <c r="G2758" s="4"/>
      <c r="H2758" s="4"/>
      <c r="I2758" s="4"/>
    </row>
    <row r="2759" spans="1:9" ht="15">
      <c r="A2759" s="21">
        <f t="shared" si="49"/>
        <v>229</v>
      </c>
      <c r="B2759" s="16" t="s">
        <v>3707</v>
      </c>
      <c r="C2759" s="85" t="str">
        <f ca="1">IFERROR(__xludf.DUMMYFUNCTION("GOOGLETRANSLATE(B2759:B2774,""RU"",""UK"")"),"Лінійка металева 300мм Японія (міліметровим та дюймовим градуюванням)")</f>
        <v>Лінійка металева 300мм Японія (міліметровим та дюймовим градуюванням)</v>
      </c>
      <c r="D2759" s="15" t="s">
        <v>6</v>
      </c>
      <c r="E2759" s="15">
        <v>9</v>
      </c>
      <c r="F2759" s="91" t="s">
        <v>136</v>
      </c>
      <c r="G2759" s="4"/>
      <c r="H2759" s="4"/>
      <c r="I2759" s="4"/>
    </row>
    <row r="2760" spans="1:9" ht="15">
      <c r="A2760" s="21">
        <f t="shared" si="49"/>
        <v>230</v>
      </c>
      <c r="B2760" s="14" t="s">
        <v>3708</v>
      </c>
      <c r="C2760" s="85" t="str">
        <f ca="1">IFERROR(__xludf.DUMMYFUNCTION("GOOGLETRANSLATE(B2760:B2775,""RU"",""UK"")"),"Лінійка металева 150мм ГОСТ")</f>
        <v>Лінійка металева 150мм ГОСТ</v>
      </c>
      <c r="D2760" s="15" t="s">
        <v>6</v>
      </c>
      <c r="E2760" s="15">
        <v>83</v>
      </c>
      <c r="F2760" s="91" t="s">
        <v>169</v>
      </c>
      <c r="G2760" s="4"/>
      <c r="H2760" s="4"/>
      <c r="I2760" s="4"/>
    </row>
    <row r="2761" spans="1:9" ht="15">
      <c r="A2761" s="21">
        <f t="shared" si="49"/>
        <v>231</v>
      </c>
      <c r="B2761" s="16" t="s">
        <v>3709</v>
      </c>
      <c r="C2761" s="85" t="str">
        <f ca="1">IFERROR(__xludf.DUMMYFUNCTION("GOOGLETRANSLATE(B2761:B2776,""RU"",""UK"")"),"Лінійка повірочна лекальна ЛД-80 Кл. 0")</f>
        <v>Лінійка повірочна лекальна ЛД-80 Кл. 0</v>
      </c>
      <c r="D2761" s="17" t="s">
        <v>6</v>
      </c>
      <c r="E2761" s="17">
        <v>3</v>
      </c>
      <c r="F2761" s="92" t="s">
        <v>140</v>
      </c>
      <c r="G2761" s="4"/>
      <c r="H2761" s="4"/>
      <c r="I2761" s="4"/>
    </row>
    <row r="2762" spans="1:9" ht="15">
      <c r="A2762" s="21">
        <f t="shared" si="49"/>
        <v>232</v>
      </c>
      <c r="B2762" s="16" t="s">
        <v>3710</v>
      </c>
      <c r="C2762" s="85" t="str">
        <f ca="1">IFERROR(__xludf.DUMMYFUNCTION("GOOGLETRANSLATE(B2762:B2777,""RU"",""UK"")"),"Лінійка повірочна лекальна ЛД-125 Кл. 0/Кл.1")</f>
        <v>Лінійка повірочна лекальна ЛД-125 Кл. 0/Кл.1</v>
      </c>
      <c r="D2762" s="17" t="s">
        <v>6</v>
      </c>
      <c r="E2762" s="17" t="s">
        <v>793</v>
      </c>
      <c r="F2762" s="92" t="s">
        <v>3711</v>
      </c>
      <c r="G2762" s="4"/>
      <c r="H2762" s="4"/>
      <c r="I2762" s="4"/>
    </row>
    <row r="2763" spans="1:9" ht="15">
      <c r="A2763" s="21">
        <f t="shared" si="49"/>
        <v>233</v>
      </c>
      <c r="B2763" s="16" t="s">
        <v>3712</v>
      </c>
      <c r="C2763" s="85" t="str">
        <f ca="1">IFERROR(__xludf.DUMMYFUNCTION("GOOGLETRANSLATE(B2763:B2778,""RU"",""UK"")"),"Лінійка повірочна лекальна ЛД-200 Кл. 0")</f>
        <v>Лінійка повірочна лекальна ЛД-200 Кл. 0</v>
      </c>
      <c r="D2763" s="17" t="s">
        <v>6</v>
      </c>
      <c r="E2763" s="17">
        <v>1</v>
      </c>
      <c r="F2763" s="92" t="s">
        <v>842</v>
      </c>
      <c r="G2763" s="4"/>
      <c r="H2763" s="4"/>
      <c r="I2763" s="4"/>
    </row>
    <row r="2764" spans="1:9" ht="15">
      <c r="A2764" s="21">
        <f t="shared" si="49"/>
        <v>234</v>
      </c>
      <c r="B2764" s="16" t="s">
        <v>3713</v>
      </c>
      <c r="C2764" s="85" t="str">
        <f ca="1">IFERROR(__xludf.DUMMYFUNCTION("GOOGLETRANSLATE(B2764:B2779,""RU"",""UK"")"),"Лінійка повірочна лекальна ЛД-320 Кл.0/Кл.1")</f>
        <v>Лінійка повірочна лекальна ЛД-320 Кл.0/Кл.1</v>
      </c>
      <c r="D2764" s="17" t="s">
        <v>6</v>
      </c>
      <c r="E2764" s="17" t="s">
        <v>710</v>
      </c>
      <c r="F2764" s="92" t="s">
        <v>3714</v>
      </c>
      <c r="G2764" s="4"/>
      <c r="H2764" s="4"/>
      <c r="I2764" s="4"/>
    </row>
    <row r="2765" spans="1:9" ht="15">
      <c r="A2765" s="21">
        <f t="shared" si="49"/>
        <v>235</v>
      </c>
      <c r="B2765" s="16" t="s">
        <v>3715</v>
      </c>
      <c r="C2765" s="85" t="str">
        <f ca="1">IFERROR(__xludf.DUMMYFUNCTION("GOOGLETRANSLATE(B2765:B2780,""RU"",""UK"")"),"Лінійка повірочна лекальна ШД-1600 Кл.2 (В180)")</f>
        <v>Лінійка повірочна лекальна ШД-1600 Кл.2 (В180)</v>
      </c>
      <c r="D2765" s="17" t="s">
        <v>6</v>
      </c>
      <c r="E2765" s="17">
        <v>2</v>
      </c>
      <c r="F2765" s="92" t="s">
        <v>3716</v>
      </c>
      <c r="G2765" s="4"/>
      <c r="H2765" s="4"/>
      <c r="I2765" s="4"/>
    </row>
    <row r="2766" spans="1:9" ht="15">
      <c r="A2766" s="21">
        <f t="shared" si="49"/>
        <v>236</v>
      </c>
      <c r="B2766" s="16" t="s">
        <v>3717</v>
      </c>
      <c r="C2766" s="85" t="str">
        <f ca="1">IFERROR(__xludf.DUMMYFUNCTION("GOOGLETRANSLATE(B2766:B2781,""RU"",""UK"")"),"Лінійка повірочна лекальна ЛЧ-200 Кл.1/Кл.0")</f>
        <v>Лінійка повірочна лекальна ЛЧ-200 Кл.1/Кл.0</v>
      </c>
      <c r="D2766" s="17" t="s">
        <v>6</v>
      </c>
      <c r="E2766" s="17" t="s">
        <v>2067</v>
      </c>
      <c r="F2766" s="92" t="s">
        <v>3718</v>
      </c>
      <c r="G2766" s="4"/>
      <c r="H2766" s="4"/>
      <c r="I2766" s="4"/>
    </row>
    <row r="2767" spans="1:9" ht="15">
      <c r="A2767" s="21">
        <f t="shared" si="49"/>
        <v>237</v>
      </c>
      <c r="B2767" s="16" t="s">
        <v>3719</v>
      </c>
      <c r="C2767" s="85" t="str">
        <f ca="1">IFERROR(__xludf.DUMMYFUNCTION("GOOGLETRANSLATE(B2767:B2782,""RU"",""UK"")"),"Лінійка повірочна лекальна ЛЧ-320 Кл.0/Кл.1")</f>
        <v>Лінійка повірочна лекальна ЛЧ-320 Кл.0/Кл.1</v>
      </c>
      <c r="D2767" s="17" t="s">
        <v>6</v>
      </c>
      <c r="E2767" s="17" t="s">
        <v>3720</v>
      </c>
      <c r="F2767" s="92" t="s">
        <v>3721</v>
      </c>
      <c r="G2767" s="4"/>
      <c r="H2767" s="4"/>
      <c r="I2767" s="4"/>
    </row>
    <row r="2768" spans="1:9" ht="15">
      <c r="A2768" s="21">
        <f t="shared" si="49"/>
        <v>238</v>
      </c>
      <c r="B2768" s="16" t="s">
        <v>3722</v>
      </c>
      <c r="C2768" s="85" t="str">
        <f ca="1">IFERROR(__xludf.DUMMYFUNCTION("GOOGLETRANSLATE(B2768:B2783,""RU"",""UK"")"),"Лінійка повірочна лекальна ЛT-175 Кл.")</f>
        <v>Лінійка повірочна лекальна ЛT-175 Кл.</v>
      </c>
      <c r="D2768" s="17" t="s">
        <v>6</v>
      </c>
      <c r="E2768" s="17">
        <v>1</v>
      </c>
      <c r="F2768" s="92" t="s">
        <v>36</v>
      </c>
      <c r="G2768" s="4"/>
      <c r="H2768" s="4"/>
      <c r="I2768" s="4"/>
    </row>
    <row r="2769" spans="1:9" ht="15">
      <c r="A2769" s="21">
        <f t="shared" si="49"/>
        <v>239</v>
      </c>
      <c r="B2769" s="16" t="s">
        <v>3723</v>
      </c>
      <c r="C2769" s="85" t="str">
        <f ca="1">IFERROR(__xludf.DUMMYFUNCTION("GOOGLETRANSLATE(B2769:B2784,""RU"",""UK"")"),"Лінійка повірочна лекальна ЛT-200 Кл.0 / Кл.1")</f>
        <v>Лінійка повірочна лекальна ЛT-200 Кл.0 / Кл.1</v>
      </c>
      <c r="D2769" s="17" t="s">
        <v>6</v>
      </c>
      <c r="E2769" s="17" t="s">
        <v>2352</v>
      </c>
      <c r="F2769" s="92" t="s">
        <v>3724</v>
      </c>
      <c r="G2769" s="4"/>
      <c r="H2769" s="4"/>
      <c r="I2769" s="4"/>
    </row>
    <row r="2770" spans="1:9" ht="15">
      <c r="A2770" s="21">
        <f t="shared" si="49"/>
        <v>240</v>
      </c>
      <c r="B2770" s="16" t="s">
        <v>3725</v>
      </c>
      <c r="C2770" s="85" t="str">
        <f ca="1">IFERROR(__xludf.DUMMYFUNCTION("GOOGLETRANSLATE(B2770:B2785,""RU"",""UK"")"),"Лінійка повірочна лекальна ЛT-320 Кл.0/Кл.1")</f>
        <v>Лінійка повірочна лекальна ЛT-320 Кл.0/Кл.1</v>
      </c>
      <c r="D2770" s="17" t="s">
        <v>6</v>
      </c>
      <c r="E2770" s="17" t="s">
        <v>211</v>
      </c>
      <c r="F2770" s="92" t="s">
        <v>231</v>
      </c>
      <c r="G2770" s="4"/>
      <c r="H2770" s="4"/>
      <c r="I2770" s="4"/>
    </row>
    <row r="2771" spans="1:9" ht="15">
      <c r="A2771" s="21">
        <f t="shared" si="49"/>
        <v>241</v>
      </c>
      <c r="B2771" s="16" t="s">
        <v>3726</v>
      </c>
      <c r="C2771" s="85" t="str">
        <f ca="1">IFERROR(__xludf.DUMMYFUNCTION("GOOGLETRANSLATE(B2771:B2786,""RU"",""UK"")"),"Лінійка повірочна УT-1000-60*Кл. 1 (В70)")</f>
        <v>Лінійка повірочна УT-1000-60*Кл. 1 (В70)</v>
      </c>
      <c r="D2771" s="17" t="s">
        <v>6</v>
      </c>
      <c r="E2771" s="17">
        <v>1</v>
      </c>
      <c r="F2771" s="92" t="s">
        <v>59</v>
      </c>
      <c r="G2771" s="4"/>
      <c r="H2771" s="4"/>
      <c r="I2771" s="4"/>
    </row>
    <row r="2772" spans="1:9" ht="15">
      <c r="A2772" s="21">
        <f t="shared" si="49"/>
        <v>242</v>
      </c>
      <c r="B2772" s="16" t="s">
        <v>3727</v>
      </c>
      <c r="C2772" s="85" t="str">
        <f ca="1">IFERROR(__xludf.DUMMYFUNCTION("GOOGLETRANSLATE(B2772:B2787,""RU"",""UK"")"),"Метр складаний дерев'яний СРСР")</f>
        <v>Метр складаний дерев'яний СРСР</v>
      </c>
      <c r="D2772" s="17" t="s">
        <v>6</v>
      </c>
      <c r="E2772" s="17">
        <v>4</v>
      </c>
      <c r="F2772" s="92" t="s">
        <v>319</v>
      </c>
      <c r="G2772" s="4"/>
      <c r="H2772" s="4"/>
      <c r="I2772" s="4"/>
    </row>
    <row r="2773" spans="1:9" ht="15">
      <c r="A2773" s="21">
        <f t="shared" si="49"/>
        <v>243</v>
      </c>
      <c r="B2773" s="16" t="s">
        <v>3728</v>
      </c>
      <c r="C2773" s="85" t="str">
        <f ca="1">IFERROR(__xludf.DUMMYFUNCTION("GOOGLETRANSLATE(B2773:B2788,""RU"",""UK"")"),"Курвіметр. Дюйми та сантиметр. Без скла")</f>
        <v>Курвіметр. Дюйми та сантиметр. Без скла</v>
      </c>
      <c r="D2773" s="17" t="s">
        <v>6</v>
      </c>
      <c r="E2773" s="17">
        <v>1</v>
      </c>
      <c r="F2773" s="92" t="s">
        <v>24</v>
      </c>
      <c r="G2773" s="4"/>
      <c r="H2773" s="4"/>
      <c r="I2773" s="4"/>
    </row>
    <row r="2774" spans="1:9" ht="15">
      <c r="A2774" s="21">
        <f t="shared" si="49"/>
        <v>244</v>
      </c>
      <c r="B2774" s="14" t="s">
        <v>3729</v>
      </c>
      <c r="C2774" s="85" t="str">
        <f ca="1">IFERROR(__xludf.DUMMYFUNCTION("GOOGLETRANSLATE(B2774:B2789,""RU"",""UK"")"),"Кронциркуль R-125")</f>
        <v>Кронциркуль R-125</v>
      </c>
      <c r="D2774" s="15" t="s">
        <v>6</v>
      </c>
      <c r="E2774" s="15">
        <v>1</v>
      </c>
      <c r="F2774" s="91" t="s">
        <v>564</v>
      </c>
      <c r="G2774" s="4"/>
      <c r="H2774" s="4"/>
      <c r="I2774" s="4"/>
    </row>
    <row r="2775" spans="1:9" ht="15">
      <c r="A2775" s="21">
        <f t="shared" si="49"/>
        <v>245</v>
      </c>
      <c r="B2775" s="45" t="s">
        <v>3730</v>
      </c>
      <c r="C2775" s="85" t="str">
        <f ca="1">IFERROR(__xludf.DUMMYFUNCTION("GOOGLETRANSLATE(B2775:B2790,""RU"",""UK"")"),"Кутник перевірочний слюсарний метал. УП 60х40мм Кл.2")</f>
        <v>Кутник перевірочний слюсарний метал. УП 60х40мм Кл.2</v>
      </c>
      <c r="D2775" s="15" t="s">
        <v>6</v>
      </c>
      <c r="E2775" s="15">
        <v>1</v>
      </c>
      <c r="F2775" s="91" t="s">
        <v>106</v>
      </c>
      <c r="G2775" s="4"/>
      <c r="H2775" s="4"/>
      <c r="I2775" s="4"/>
    </row>
    <row r="2776" spans="1:9" ht="15">
      <c r="A2776" s="21">
        <f t="shared" si="49"/>
        <v>246</v>
      </c>
      <c r="B2776" s="16" t="s">
        <v>3731</v>
      </c>
      <c r="C2776" s="85" t="str">
        <f ca="1">IFERROR(__xludf.DUMMYFUNCTION("GOOGLETRANSLATE(B2776:B2791,""RU"",""UK"")"),"Кутник перевірочний слюсарний метал. УШ 60х40мм Кл.2")</f>
        <v>Кутник перевірочний слюсарний метал. УШ 60х40мм Кл.2</v>
      </c>
      <c r="D2776" s="15" t="s">
        <v>6</v>
      </c>
      <c r="E2776" s="15">
        <v>3</v>
      </c>
      <c r="F2776" s="91" t="s">
        <v>22</v>
      </c>
      <c r="G2776" s="4"/>
      <c r="H2776" s="4"/>
      <c r="I2776" s="4"/>
    </row>
    <row r="2777" spans="1:9" ht="15">
      <c r="A2777" s="21">
        <f t="shared" si="49"/>
        <v>247</v>
      </c>
      <c r="B2777" s="16" t="s">
        <v>3732</v>
      </c>
      <c r="C2777" s="85" t="str">
        <f ca="1">IFERROR(__xludf.DUMMYFUNCTION("GOOGLETRANSLATE(B2777:B2792,""RU"",""UK"")"),"Кутник перевірочний слюсарний метал. УШ 80х50мм Кл.1")</f>
        <v>Кутник перевірочний слюсарний метал. УШ 80х50мм Кл.1</v>
      </c>
      <c r="D2777" s="15" t="s">
        <v>6</v>
      </c>
      <c r="E2777" s="15">
        <v>2</v>
      </c>
      <c r="F2777" s="91" t="s">
        <v>53</v>
      </c>
      <c r="G2777" s="4"/>
      <c r="H2777" s="4"/>
      <c r="I2777" s="4"/>
    </row>
    <row r="2778" spans="1:9" ht="15">
      <c r="A2778" s="21">
        <f t="shared" si="49"/>
        <v>248</v>
      </c>
      <c r="B2778" s="14" t="s">
        <v>3733</v>
      </c>
      <c r="C2778" s="85" t="str">
        <f ca="1">IFERROR(__xludf.DUMMYFUNCTION("GOOGLETRANSLATE(B2778:B2793,""RU"",""UK"")"),"Кутник перевірочний слюсарний метал. УЛП 100х60мм Кл.1")</f>
        <v>Кутник перевірочний слюсарний метал. УЛП 100х60мм Кл.1</v>
      </c>
      <c r="D2778" s="15" t="s">
        <v>6</v>
      </c>
      <c r="E2778" s="15">
        <v>6</v>
      </c>
      <c r="F2778" s="91" t="s">
        <v>283</v>
      </c>
      <c r="G2778" s="4"/>
      <c r="H2778" s="4"/>
      <c r="I2778" s="4"/>
    </row>
    <row r="2779" spans="1:9" ht="15">
      <c r="A2779" s="21">
        <f t="shared" si="49"/>
        <v>249</v>
      </c>
      <c r="B2779" s="16" t="s">
        <v>3734</v>
      </c>
      <c r="C2779" s="85" t="str">
        <f ca="1">IFERROR(__xludf.DUMMYFUNCTION("GOOGLETRANSLATE(B2779:B2794,""RU"",""UK"")"),"Кутник перевірочний слюсарний метал. УШ 100х60мм Кл.2")</f>
        <v>Кутник перевірочний слюсарний метал. УШ 100х60мм Кл.2</v>
      </c>
      <c r="D2779" s="15" t="s">
        <v>6</v>
      </c>
      <c r="E2779" s="15">
        <v>3</v>
      </c>
      <c r="F2779" s="91" t="s">
        <v>663</v>
      </c>
      <c r="G2779" s="4"/>
      <c r="H2779" s="4"/>
      <c r="I2779" s="4"/>
    </row>
    <row r="2780" spans="1:9" ht="15">
      <c r="A2780" s="21">
        <f t="shared" si="49"/>
        <v>250</v>
      </c>
      <c r="B2780" s="16" t="s">
        <v>3735</v>
      </c>
      <c r="C2780" s="85" t="str">
        <f ca="1">IFERROR(__xludf.DUMMYFUNCTION("GOOGLETRANSLATE(B2780:B2795,""RU"",""UK"")"),"Кутник перевірочний слюсарний метал. УШ 100х60мм Кл.2 легке б/у")</f>
        <v>Кутник перевірочний слюсарний метал. УШ 100х60мм Кл.2 легке б/у</v>
      </c>
      <c r="D2780" s="15" t="s">
        <v>6</v>
      </c>
      <c r="E2780" s="15">
        <v>1</v>
      </c>
      <c r="F2780" s="91" t="s">
        <v>16</v>
      </c>
      <c r="G2780" s="4"/>
      <c r="H2780" s="4"/>
      <c r="I2780" s="4"/>
    </row>
    <row r="2781" spans="1:9" ht="15">
      <c r="A2781" s="21">
        <f t="shared" si="49"/>
        <v>251</v>
      </c>
      <c r="B2781" s="16" t="s">
        <v>3736</v>
      </c>
      <c r="C2781" s="85" t="str">
        <f ca="1">IFERROR(__xludf.DUMMYFUNCTION("GOOGLETRANSLATE(B2781:B2796,""RU"",""UK"")"),"Кутник перевірочний слюсарний метал. УШ 160х100мм Кл.2")</f>
        <v>Кутник перевірочний слюсарний метал. УШ 160х100мм Кл.2</v>
      </c>
      <c r="D2781" s="15" t="s">
        <v>6</v>
      </c>
      <c r="E2781" s="15">
        <v>1</v>
      </c>
      <c r="F2781" s="91" t="s">
        <v>3610</v>
      </c>
      <c r="G2781" s="4"/>
      <c r="H2781" s="4"/>
      <c r="I2781" s="4"/>
    </row>
    <row r="2782" spans="1:9" ht="15">
      <c r="A2782" s="21">
        <f t="shared" si="49"/>
        <v>252</v>
      </c>
      <c r="B2782" s="16" t="s">
        <v>3737</v>
      </c>
      <c r="C2782" s="85" t="str">
        <f ca="1">IFERROR(__xludf.DUMMYFUNCTION("GOOGLETRANSLATE(B2782:B2797,""RU"",""UK"")"),"Кутник перевірочний слюсарний метал. УШ 160х100мм Кл.2 б/у")</f>
        <v>Кутник перевірочний слюсарний метал. УШ 160х100мм Кл.2 б/у</v>
      </c>
      <c r="D2782" s="15" t="s">
        <v>6</v>
      </c>
      <c r="E2782" s="15">
        <v>1</v>
      </c>
      <c r="F2782" s="91" t="s">
        <v>3738</v>
      </c>
      <c r="G2782" s="4"/>
      <c r="H2782" s="4"/>
      <c r="I2782" s="4"/>
    </row>
    <row r="2783" spans="1:9" ht="15">
      <c r="A2783" s="21">
        <f t="shared" si="49"/>
        <v>253</v>
      </c>
      <c r="B2783" s="14" t="s">
        <v>3739</v>
      </c>
      <c r="C2783" s="85" t="str">
        <f ca="1">IFERROR(__xludf.DUMMYFUNCTION("GOOGLETRANSLATE(B2783:B2798,""RU"",""UK"")"),"Кутник перевірочний слюсарний метал. УП 160х100мм / Кл.1 легке б/у")</f>
        <v>Кутник перевірочний слюсарний метал. УП 160х100мм / Кл.1 легке б/у</v>
      </c>
      <c r="D2783" s="15" t="s">
        <v>6</v>
      </c>
      <c r="E2783" s="15" t="s">
        <v>737</v>
      </c>
      <c r="F2783" s="91" t="s">
        <v>102</v>
      </c>
      <c r="G2783" s="4"/>
      <c r="H2783" s="4"/>
      <c r="I2783" s="4"/>
    </row>
    <row r="2784" spans="1:9" ht="15">
      <c r="A2784" s="21">
        <f t="shared" si="49"/>
        <v>254</v>
      </c>
      <c r="B2784" s="14" t="s">
        <v>3740</v>
      </c>
      <c r="C2784" s="85" t="str">
        <f ca="1">IFERROR(__xludf.DUMMYFUNCTION("GOOGLETRANSLATE(B2784:B2799,""RU"",""UK"")"),"Кутник перевірочний слюсарний метал. УП 160х100мм Кл.2")</f>
        <v>Кутник перевірочний слюсарний метал. УП 160х100мм Кл.2</v>
      </c>
      <c r="D2784" s="15" t="s">
        <v>6</v>
      </c>
      <c r="E2784" s="15">
        <v>3</v>
      </c>
      <c r="F2784" s="91" t="s">
        <v>80</v>
      </c>
      <c r="G2784" s="4"/>
      <c r="H2784" s="4"/>
      <c r="I2784" s="4"/>
    </row>
    <row r="2785" spans="1:9" ht="15">
      <c r="A2785" s="21">
        <f t="shared" si="49"/>
        <v>255</v>
      </c>
      <c r="B2785" s="14" t="s">
        <v>3741</v>
      </c>
      <c r="C2785" s="85" t="str">
        <f ca="1">IFERROR(__xludf.DUMMYFUNCTION("GOOGLETRANSLATE(B2785:B2800,""RU"",""UK"")"),"Кутник перевірочний лекальний метал. УП 160х100мм Кл.1")</f>
        <v>Кутник перевірочний лекальний метал. УП 160х100мм Кл.1</v>
      </c>
      <c r="D2785" s="15" t="s">
        <v>6</v>
      </c>
      <c r="E2785" s="15">
        <v>6</v>
      </c>
      <c r="F2785" s="91" t="s">
        <v>157</v>
      </c>
      <c r="G2785" s="4"/>
      <c r="H2785" s="4"/>
      <c r="I2785" s="4"/>
    </row>
    <row r="2786" spans="1:9" ht="15">
      <c r="A2786" s="21">
        <f t="shared" si="49"/>
        <v>256</v>
      </c>
      <c r="B2786" s="14" t="s">
        <v>3742</v>
      </c>
      <c r="C2786" s="85" t="str">
        <f ca="1">IFERROR(__xludf.DUMMYFUNCTION("GOOGLETRANSLATE(B2786:B2801,""RU"",""UK"")"),"Кутник перевірочний лекальний метал. УЛП 160х100мм Кл.1")</f>
        <v>Кутник перевірочний лекальний метал. УЛП 160х100мм Кл.1</v>
      </c>
      <c r="D2786" s="15" t="s">
        <v>6</v>
      </c>
      <c r="E2786" s="15">
        <v>4</v>
      </c>
      <c r="F2786" s="91" t="s">
        <v>3610</v>
      </c>
      <c r="G2786" s="4"/>
      <c r="H2786" s="4"/>
      <c r="I2786" s="4"/>
    </row>
    <row r="2787" spans="1:9" ht="15">
      <c r="A2787" s="21">
        <f t="shared" si="49"/>
        <v>257</v>
      </c>
      <c r="B2787" s="14" t="s">
        <v>3743</v>
      </c>
      <c r="C2787" s="85" t="str">
        <f ca="1">IFERROR(__xludf.DUMMYFUNCTION("GOOGLETRANSLATE(B2787:B2802,""RU"",""UK"")"),"Кутник перевірочний лекальний метал. УШ 200х130мм VIS ПНР")</f>
        <v>Кутник перевірочний лекальний метал. УШ 200х130мм VIS ПНР</v>
      </c>
      <c r="D2787" s="15" t="s">
        <v>6</v>
      </c>
      <c r="E2787" s="15">
        <v>1</v>
      </c>
      <c r="F2787" s="91" t="s">
        <v>1091</v>
      </c>
      <c r="G2787" s="4"/>
      <c r="H2787" s="4"/>
      <c r="I2787" s="4"/>
    </row>
    <row r="2788" spans="1:9" ht="15">
      <c r="A2788" s="21">
        <f t="shared" si="49"/>
        <v>258</v>
      </c>
      <c r="B2788" s="16" t="s">
        <v>3744</v>
      </c>
      <c r="C2788" s="85" t="str">
        <f ca="1">IFERROR(__xludf.DUMMYFUNCTION("GOOGLETRANSLATE(B2788:B2803,""RU"",""UK"")"),"Кутник перевірочний лекальний метал. УШ 250х160мм Кл.2")</f>
        <v>Кутник перевірочний лекальний метал. УШ 250х160мм Кл.2</v>
      </c>
      <c r="D2788" s="15" t="s">
        <v>6</v>
      </c>
      <c r="E2788" s="15">
        <v>2</v>
      </c>
      <c r="F2788" s="91" t="s">
        <v>237</v>
      </c>
      <c r="G2788" s="4"/>
      <c r="H2788" s="4"/>
      <c r="I2788" s="4"/>
    </row>
    <row r="2789" spans="1:9" ht="15">
      <c r="A2789" s="21">
        <f t="shared" ref="A2789:A2850" si="50">A2788+1</f>
        <v>259</v>
      </c>
      <c r="B2789" s="14" t="s">
        <v>3745</v>
      </c>
      <c r="C2789" s="85" t="str">
        <f ca="1">IFERROR(__xludf.DUMMYFUNCTION("GOOGLETRANSLATE(B2789:B2804,""RU"",""UK"")"),"Кутник перевірочний лекальний метал. УП 250х160мм Кл.2/Кл.1")</f>
        <v>Кутник перевірочний лекальний метал. УП 250х160мм Кл.2/Кл.1</v>
      </c>
      <c r="D2789" s="15" t="s">
        <v>6</v>
      </c>
      <c r="E2789" s="15" t="s">
        <v>737</v>
      </c>
      <c r="F2789" s="91" t="s">
        <v>237</v>
      </c>
      <c r="G2789" s="4"/>
      <c r="H2789" s="4"/>
      <c r="I2789" s="4"/>
    </row>
    <row r="2790" spans="1:9" ht="15">
      <c r="A2790" s="21">
        <f t="shared" si="50"/>
        <v>260</v>
      </c>
      <c r="B2790" s="14" t="s">
        <v>3746</v>
      </c>
      <c r="C2790" s="85" t="str">
        <f ca="1">IFERROR(__xludf.DUMMYFUNCTION("GOOGLETRANSLATE(B2790:B2805,""RU"",""UK"")"),"Кутник перевірочний лекальний метал. УП 250х160мм Кл.1 Б/у")</f>
        <v>Кутник перевірочний лекальний метал. УП 250х160мм Кл.1 Б/у</v>
      </c>
      <c r="D2790" s="15" t="s">
        <v>6</v>
      </c>
      <c r="E2790" s="15">
        <v>1</v>
      </c>
      <c r="F2790" s="91" t="s">
        <v>1874</v>
      </c>
      <c r="G2790" s="4"/>
      <c r="H2790" s="4"/>
      <c r="I2790" s="4"/>
    </row>
    <row r="2791" spans="1:9" ht="15">
      <c r="A2791" s="21">
        <f t="shared" si="50"/>
        <v>261</v>
      </c>
      <c r="B2791" s="14" t="s">
        <v>3747</v>
      </c>
      <c r="C2791" s="85" t="str">
        <f ca="1">IFERROR(__xludf.DUMMYFUNCTION("GOOGLETRANSLATE(B2791:B2806,""RU"",""UK"")"),"Кутник перевірочний лекальний метал. УЛП 250х160мм Кл.0 легке б/у")</f>
        <v>Кутник перевірочний лекальний метал. УЛП 250х160мм Кл.0 легке б/у</v>
      </c>
      <c r="D2791" s="15" t="s">
        <v>6</v>
      </c>
      <c r="E2791" s="15">
        <v>1</v>
      </c>
      <c r="F2791" s="91" t="s">
        <v>38</v>
      </c>
      <c r="G2791" s="4"/>
      <c r="H2791" s="4"/>
      <c r="I2791" s="4"/>
    </row>
    <row r="2792" spans="1:9" ht="15">
      <c r="A2792" s="21">
        <f t="shared" si="50"/>
        <v>262</v>
      </c>
      <c r="B2792" s="14" t="s">
        <v>3748</v>
      </c>
      <c r="C2792" s="85" t="str">
        <f ca="1">IFERROR(__xludf.DUMMYFUNCTION("GOOGLETRANSLATE(B2792:B2807,""RU"",""UK"")"),"Кутник перевірочний лекальний метал. УЛП 250х160мм Кл.1")</f>
        <v>Кутник перевірочний лекальний метал. УЛП 250х160мм Кл.1</v>
      </c>
      <c r="D2792" s="15" t="s">
        <v>6</v>
      </c>
      <c r="E2792" s="15">
        <v>3</v>
      </c>
      <c r="F2792" s="91" t="s">
        <v>3445</v>
      </c>
      <c r="G2792" s="4"/>
      <c r="H2792" s="4"/>
      <c r="I2792" s="4"/>
    </row>
    <row r="2793" spans="1:9" ht="15">
      <c r="A2793" s="21">
        <f t="shared" si="50"/>
        <v>263</v>
      </c>
      <c r="B2793" s="16" t="s">
        <v>3749</v>
      </c>
      <c r="C2793" s="85" t="str">
        <f ca="1">IFERROR(__xludf.DUMMYFUNCTION("GOOGLETRANSLATE(B2793:B2808,""RU"",""UK"")"),"Кутник перевірочний слюсарний метал. рамний УШ 300х240мм Легке б/у")</f>
        <v>Кутник перевірочний слюсарний метал. рамний УШ 300х240мм Легке б/у</v>
      </c>
      <c r="D2793" s="15" t="s">
        <v>6</v>
      </c>
      <c r="E2793" s="15">
        <v>1</v>
      </c>
      <c r="F2793" s="91" t="s">
        <v>80</v>
      </c>
      <c r="G2793" s="4"/>
      <c r="H2793" s="4"/>
      <c r="I2793" s="4"/>
    </row>
    <row r="2794" spans="1:9" ht="15">
      <c r="A2794" s="21">
        <f t="shared" si="50"/>
        <v>264</v>
      </c>
      <c r="B2794" s="16" t="s">
        <v>3750</v>
      </c>
      <c r="C2794" s="85" t="str">
        <f ca="1">IFERROR(__xludf.DUMMYFUNCTION("GOOGLETRANSLATE(B2794:B2809,""RU"",""UK"")"),"Кутник перевірочний слюсарний метал. б/в УШ 315х200мм")</f>
        <v>Кутник перевірочний слюсарний метал. б/в УШ 315х200мм</v>
      </c>
      <c r="D2794" s="15" t="s">
        <v>6</v>
      </c>
      <c r="E2794" s="15">
        <v>1</v>
      </c>
      <c r="F2794" s="91" t="s">
        <v>889</v>
      </c>
      <c r="G2794" s="4"/>
      <c r="H2794" s="4"/>
      <c r="I2794" s="4"/>
    </row>
    <row r="2795" spans="1:9" ht="15">
      <c r="A2795" s="21">
        <f t="shared" si="50"/>
        <v>265</v>
      </c>
      <c r="B2795" s="16" t="s">
        <v>3751</v>
      </c>
      <c r="C2795" s="85" t="str">
        <f ca="1">IFERROR(__xludf.DUMMYFUNCTION("GOOGLETRANSLATE(B2795:B2810,""RU"",""UK"")"),"Кутник перевірочний слюсарний метал. УШ 400х250мм Кл.1 легке б/у")</f>
        <v>Кутник перевірочний слюсарний метал. УШ 400х250мм Кл.1 легке б/у</v>
      </c>
      <c r="D2795" s="15" t="s">
        <v>6</v>
      </c>
      <c r="E2795" s="15">
        <v>1</v>
      </c>
      <c r="F2795" s="91" t="s">
        <v>75</v>
      </c>
      <c r="G2795" s="4"/>
      <c r="H2795" s="4"/>
      <c r="I2795" s="4"/>
    </row>
    <row r="2796" spans="1:9" ht="15">
      <c r="A2796" s="21">
        <f t="shared" si="50"/>
        <v>266</v>
      </c>
      <c r="B2796" s="14" t="s">
        <v>3752</v>
      </c>
      <c r="C2796" s="85" t="str">
        <f ca="1">IFERROR(__xludf.DUMMYFUNCTION("GOOGLETRANSLATE(B2796:B2811,""RU"",""UK"")"),"Кутник перевірочний слюсарний метал. УШ 400х250мм Легке б/у")</f>
        <v>Кутник перевірочний слюсарний метал. УШ 400х250мм Легке б/у</v>
      </c>
      <c r="D2796" s="15" t="s">
        <v>6</v>
      </c>
      <c r="E2796" s="15">
        <v>3</v>
      </c>
      <c r="F2796" s="91" t="s">
        <v>71</v>
      </c>
      <c r="G2796" s="4"/>
      <c r="H2796" s="4"/>
      <c r="I2796" s="4"/>
    </row>
    <row r="2797" spans="1:9" ht="15">
      <c r="A2797" s="21">
        <f t="shared" si="50"/>
        <v>267</v>
      </c>
      <c r="B2797" s="14" t="s">
        <v>3753</v>
      </c>
      <c r="C2797" s="85" t="str">
        <f ca="1">IFERROR(__xludf.DUMMYFUNCTION("GOOGLETRANSLATE(B2797:B2812,""RU"",""UK"")"),"Кутник перевірочний слюсарний метал. УШ 500х300мм Кл.2")</f>
        <v>Кутник перевірочний слюсарний метал. УШ 500х300мм Кл.2</v>
      </c>
      <c r="D2797" s="15" t="s">
        <v>6</v>
      </c>
      <c r="E2797" s="15">
        <v>1</v>
      </c>
      <c r="F2797" s="91" t="s">
        <v>914</v>
      </c>
      <c r="G2797" s="4"/>
      <c r="H2797" s="4"/>
      <c r="I2797" s="4"/>
    </row>
    <row r="2798" spans="1:9" ht="15">
      <c r="A2798" s="21">
        <f t="shared" si="50"/>
        <v>268</v>
      </c>
      <c r="B2798" s="14" t="s">
        <v>3754</v>
      </c>
      <c r="C2798" s="85" t="str">
        <f ca="1">IFERROR(__xludf.DUMMYFUNCTION("GOOGLETRANSLATE(B2798:B2813,""RU"",""UK"")"),"Кутник перевірочний слюсарний метал. УШ 630х400мм Кл.2 корозія")</f>
        <v>Кутник перевірочний слюсарний метал. УШ 630х400мм Кл.2 корозія</v>
      </c>
      <c r="D2798" s="15" t="s">
        <v>6</v>
      </c>
      <c r="E2798" s="15">
        <v>7</v>
      </c>
      <c r="F2798" s="91" t="s">
        <v>73</v>
      </c>
      <c r="G2798" s="4"/>
      <c r="H2798" s="4"/>
      <c r="I2798" s="4"/>
    </row>
    <row r="2799" spans="1:9" ht="15">
      <c r="A2799" s="21">
        <f t="shared" si="50"/>
        <v>269</v>
      </c>
      <c r="B2799" s="14" t="s">
        <v>3755</v>
      </c>
      <c r="C2799" s="85" t="str">
        <f ca="1">IFERROR(__xludf.DUMMYFUNCTION("GOOGLETRANSLATE(B2799:B2814,""RU"",""UK"")"),"Кутник перевірочний слюсарний метал. УШ 630х400мм Кл.2 б/у")</f>
        <v>Кутник перевірочний слюсарний метал. УШ 630х400мм Кл.2 б/у</v>
      </c>
      <c r="D2799" s="15" t="s">
        <v>6</v>
      </c>
      <c r="E2799" s="15">
        <v>1</v>
      </c>
      <c r="F2799" s="91" t="s">
        <v>3366</v>
      </c>
      <c r="G2799" s="4"/>
      <c r="H2799" s="4"/>
      <c r="I2799" s="4"/>
    </row>
    <row r="2800" spans="1:9" ht="15">
      <c r="A2800" s="21">
        <f t="shared" si="50"/>
        <v>270</v>
      </c>
      <c r="B2800" s="16" t="s">
        <v>3756</v>
      </c>
      <c r="C2800" s="85" t="str">
        <f ca="1">IFERROR(__xludf.DUMMYFUNCTION("GOOGLETRANSLATE(B2800:B2815,""RU"",""UK"")"),"Кутник перевірочний слюсарний метал. УШ 1000х630мм Кл.2 б/у")</f>
        <v>Кутник перевірочний слюсарний метал. УШ 1000х630мм Кл.2 б/у</v>
      </c>
      <c r="D2800" s="15" t="s">
        <v>6</v>
      </c>
      <c r="E2800" s="15">
        <v>1</v>
      </c>
      <c r="F2800" s="91" t="s">
        <v>12</v>
      </c>
      <c r="G2800" s="4"/>
      <c r="H2800" s="4"/>
      <c r="I2800" s="4"/>
    </row>
    <row r="2801" spans="1:9" ht="15">
      <c r="A2801" s="21">
        <f t="shared" si="50"/>
        <v>271</v>
      </c>
      <c r="B2801" s="19" t="s">
        <v>3757</v>
      </c>
      <c r="C2801" s="85" t="str">
        <f ca="1">IFERROR(__xludf.DUMMYFUNCTION("GOOGLETRANSLATE(B2801:B2816,""RU"",""UK"")"),"Плита повірочна та розміт. метал. 250х250мм шабрів/ гладка")</f>
        <v>Плита повірочна та розміт. метал. 250х250мм шабрів/ гладка</v>
      </c>
      <c r="D2801" s="15" t="s">
        <v>6</v>
      </c>
      <c r="E2801" s="15">
        <v>0</v>
      </c>
      <c r="F2801" s="91" t="s">
        <v>3758</v>
      </c>
      <c r="G2801" s="4"/>
      <c r="H2801" s="4"/>
      <c r="I2801" s="4"/>
    </row>
    <row r="2802" spans="1:9" ht="15">
      <c r="A2802" s="21">
        <f t="shared" si="50"/>
        <v>272</v>
      </c>
      <c r="B2802" s="14" t="s">
        <v>3759</v>
      </c>
      <c r="C2802" s="85" t="str">
        <f ca="1">IFERROR(__xludf.DUMMYFUNCTION("GOOGLETRANSLATE(B2802:B2817,""RU"",""UK"")"),"Плита повірочна та розміт. метал. 400х400мм (В70)")</f>
        <v>Плита повірочна та розміт. метал. 400х400мм (В70)</v>
      </c>
      <c r="D2802" s="15" t="s">
        <v>6</v>
      </c>
      <c r="E2802" s="15">
        <v>1</v>
      </c>
      <c r="F2802" s="91" t="s">
        <v>61</v>
      </c>
      <c r="G2802" s="4"/>
      <c r="H2802" s="4"/>
      <c r="I2802" s="4"/>
    </row>
    <row r="2803" spans="1:9" ht="15">
      <c r="A2803" s="21">
        <f t="shared" si="50"/>
        <v>273</v>
      </c>
      <c r="B2803" s="14" t="s">
        <v>3760</v>
      </c>
      <c r="C2803" s="85" t="str">
        <f ca="1">IFERROR(__xludf.DUMMYFUNCTION("GOOGLETRANSLATE(B2803:B2818,""RU"",""UK"")"),"Плита повірочна та розміт. метал. 400х400мм Легке б/у")</f>
        <v>Плита повірочна та розміт. метал. 400х400мм Легке б/у</v>
      </c>
      <c r="D2803" s="15" t="s">
        <v>6</v>
      </c>
      <c r="E2803" s="15">
        <v>1</v>
      </c>
      <c r="F2803" s="91" t="s">
        <v>10</v>
      </c>
      <c r="G2803" s="4"/>
      <c r="H2803" s="4"/>
      <c r="I2803" s="4"/>
    </row>
    <row r="2804" spans="1:9" ht="15">
      <c r="A2804" s="21">
        <f t="shared" si="50"/>
        <v>274</v>
      </c>
      <c r="B2804" s="14" t="s">
        <v>3761</v>
      </c>
      <c r="C2804" s="85" t="str">
        <f ca="1">IFERROR(__xludf.DUMMYFUNCTION("GOOGLETRANSLATE(B2804:B2819,""RU"",""UK"")"),"Плита повірочна та розміт. метал. 630х400мм (В110)")</f>
        <v>Плита повірочна та розміт. метал. 630х400мм (В110)</v>
      </c>
      <c r="D2804" s="15" t="s">
        <v>6</v>
      </c>
      <c r="E2804" s="15">
        <v>1</v>
      </c>
      <c r="F2804" s="91" t="s">
        <v>3762</v>
      </c>
      <c r="G2804" s="4"/>
      <c r="H2804" s="4"/>
      <c r="I2804" s="4"/>
    </row>
    <row r="2805" spans="1:9" ht="15">
      <c r="A2805" s="21">
        <f t="shared" si="50"/>
        <v>275</v>
      </c>
      <c r="B2805" s="16" t="s">
        <v>3763</v>
      </c>
      <c r="C2805" s="85" t="str">
        <f ca="1">IFERROR(__xludf.DUMMYFUNCTION("GOOGLETRANSLATE(B2805:B2820,""RU"",""UK"")"),"Призма повірочна та розміт. П1-1-Кл.0 ЧІЗ")</f>
        <v>Призма повірочна та розміт. П1-1-Кл.0 ЧІЗ</v>
      </c>
      <c r="D2805" s="75" t="s">
        <v>1031</v>
      </c>
      <c r="E2805" s="17">
        <v>2</v>
      </c>
      <c r="F2805" s="92" t="s">
        <v>61</v>
      </c>
      <c r="G2805" s="4"/>
      <c r="H2805" s="4"/>
      <c r="I2805" s="4"/>
    </row>
    <row r="2806" spans="1:9" ht="15">
      <c r="A2806" s="21">
        <f t="shared" si="50"/>
        <v>276</v>
      </c>
      <c r="B2806" s="19" t="s">
        <v>3764</v>
      </c>
      <c r="C2806" s="85" t="str">
        <f ca="1">IFERROR(__xludf.DUMMYFUNCTION("GOOGLETRANSLATE(B2806:B2821,""RU"",""UK"")"),"Призма повірочна та розміт. П1-1-Кл.1 ЧІЗ")</f>
        <v>Призма повірочна та розміт. П1-1-Кл.1 ЧІЗ</v>
      </c>
      <c r="D2806" s="75" t="s">
        <v>1031</v>
      </c>
      <c r="E2806" s="17">
        <v>0</v>
      </c>
      <c r="F2806" s="92" t="s">
        <v>84</v>
      </c>
      <c r="G2806" s="4"/>
      <c r="H2806" s="4"/>
      <c r="I2806" s="4"/>
    </row>
    <row r="2807" spans="1:9" ht="15">
      <c r="A2807" s="21">
        <f t="shared" si="50"/>
        <v>277</v>
      </c>
      <c r="B2807" s="16" t="s">
        <v>3765</v>
      </c>
      <c r="C2807" s="85" t="str">
        <f ca="1">IFERROR(__xludf.DUMMYFUNCTION("GOOGLETRANSLATE(B2807:B2822,""RU"",""UK"")"),"Призма повірочна та розміт. П1-1-Кл.1 ЧІЗ легке б/у")</f>
        <v>Призма повірочна та розміт. П1-1-Кл.1 ЧІЗ легке б/у</v>
      </c>
      <c r="D2807" s="75" t="s">
        <v>1031</v>
      </c>
      <c r="E2807" s="17">
        <v>1</v>
      </c>
      <c r="F2807" s="92" t="s">
        <v>73</v>
      </c>
      <c r="G2807" s="4"/>
      <c r="H2807" s="4"/>
      <c r="I2807" s="4"/>
    </row>
    <row r="2808" spans="1:9" ht="15">
      <c r="A2808" s="21">
        <f t="shared" si="50"/>
        <v>278</v>
      </c>
      <c r="B2808" s="76" t="s">
        <v>3766</v>
      </c>
      <c r="C2808" s="85" t="str">
        <f ca="1">IFERROR(__xludf.DUMMYFUNCTION("GOOGLETRANSLATE(B2808:B2823,""RU"",""UK"")"),"Призма повірочна та розміт. П1-1-Кл.1 ЧІЗ (без притиску, паспорт)")</f>
        <v>Призма повірочна та розміт. П1-1-Кл.1 ЧІЗ (без притиску, паспорт)</v>
      </c>
      <c r="D2808" s="75" t="s">
        <v>6</v>
      </c>
      <c r="E2808" s="17">
        <v>0</v>
      </c>
      <c r="F2808" s="92" t="s">
        <v>80</v>
      </c>
      <c r="G2808" s="4"/>
      <c r="H2808" s="4"/>
      <c r="I2808" s="4"/>
    </row>
    <row r="2809" spans="1:9" ht="15">
      <c r="A2809" s="21">
        <f t="shared" si="50"/>
        <v>279</v>
      </c>
      <c r="B2809" s="19" t="s">
        <v>3767</v>
      </c>
      <c r="C2809" s="85" t="str">
        <f ca="1">IFERROR(__xludf.DUMMYFUNCTION("GOOGLETRANSLATE(B2809:B2824,""RU"",""UK"")"),"Призма повірочна та розміт. П1-2-Кл.1 ЧІЗ")</f>
        <v>Призма повірочна та розміт. П1-2-Кл.1 ЧІЗ</v>
      </c>
      <c r="D2809" s="75" t="s">
        <v>1031</v>
      </c>
      <c r="E2809" s="17">
        <v>0</v>
      </c>
      <c r="F2809" s="92" t="s">
        <v>3768</v>
      </c>
      <c r="G2809" s="4"/>
      <c r="H2809" s="4"/>
      <c r="I2809" s="4"/>
    </row>
    <row r="2810" spans="1:9" ht="15">
      <c r="A2810" s="21">
        <f t="shared" si="50"/>
        <v>280</v>
      </c>
      <c r="B2810" s="16" t="s">
        <v>3769</v>
      </c>
      <c r="C2810" s="85" t="str">
        <f ca="1">IFERROR(__xludf.DUMMYFUNCTION("GOOGLETRANSLATE(B2810:B2825,""RU"",""UK"")"),"Призма повірочна та розміт. П1-3-Кл.1 ЧІЗ")</f>
        <v>Призма повірочна та розміт. П1-3-Кл.1 ЧІЗ</v>
      </c>
      <c r="D2810" s="75" t="s">
        <v>1031</v>
      </c>
      <c r="E2810" s="17">
        <v>1</v>
      </c>
      <c r="F2810" s="92" t="s">
        <v>3770</v>
      </c>
      <c r="G2810" s="4"/>
      <c r="H2810" s="4"/>
      <c r="I2810" s="4"/>
    </row>
    <row r="2811" spans="1:9" ht="15">
      <c r="A2811" s="21">
        <f t="shared" si="50"/>
        <v>281</v>
      </c>
      <c r="B2811" s="16" t="s">
        <v>3771</v>
      </c>
      <c r="C2811" s="85" t="str">
        <f ca="1">IFERROR(__xludf.DUMMYFUNCTION("GOOGLETRANSLATE(B2811:B2826,""RU"",""UK"")"),"Призма повірочна та розміт. П1-4-Кл.2 ЧІЗ легке б/у")</f>
        <v>Призма повірочна та розміт. П1-4-Кл.2 ЧІЗ легке б/у</v>
      </c>
      <c r="D2811" s="75" t="s">
        <v>6</v>
      </c>
      <c r="E2811" s="17">
        <v>1</v>
      </c>
      <c r="F2811" s="92" t="s">
        <v>10</v>
      </c>
      <c r="G2811" s="4"/>
      <c r="H2811" s="4"/>
      <c r="I2811" s="4"/>
    </row>
    <row r="2812" spans="1:9" ht="15">
      <c r="A2812" s="21">
        <f t="shared" si="50"/>
        <v>282</v>
      </c>
      <c r="B2812" s="16" t="s">
        <v>3772</v>
      </c>
      <c r="C2812" s="85" t="str">
        <f ca="1">IFERROR(__xludf.DUMMYFUNCTION("GOOGLETRANSLATE(B2812:B2827,""RU"",""UK"")"),"Призма повірочна та розміт. П2-1-2 (100х60х90мм)")</f>
        <v>Призма повірочна та розміт. П2-1-2 (100х60х90мм)</v>
      </c>
      <c r="D2812" s="75" t="s">
        <v>6</v>
      </c>
      <c r="E2812" s="17">
        <v>10</v>
      </c>
      <c r="F2812" s="92" t="s">
        <v>3368</v>
      </c>
      <c r="G2812" s="4"/>
      <c r="H2812" s="4"/>
      <c r="I2812" s="4"/>
    </row>
    <row r="2813" spans="1:9" ht="15">
      <c r="A2813" s="21">
        <f t="shared" si="50"/>
        <v>283</v>
      </c>
      <c r="B2813" s="19" t="s">
        <v>3772</v>
      </c>
      <c r="C2813" s="85" t="str">
        <f ca="1">IFERROR(__xludf.DUMMYFUNCTION("GOOGLETRANSLATE(B2813:B2828,""RU"",""UK"")"),"Призма повірочна та розміт. П2-1-2 (100х60х90мм)")</f>
        <v>Призма повірочна та розміт. П2-1-2 (100х60х90мм)</v>
      </c>
      <c r="D2813" s="75" t="s">
        <v>1031</v>
      </c>
      <c r="E2813" s="17">
        <v>0</v>
      </c>
      <c r="F2813" s="92" t="s">
        <v>50</v>
      </c>
      <c r="G2813" s="4"/>
      <c r="H2813" s="4"/>
      <c r="I2813" s="4"/>
    </row>
    <row r="2814" spans="1:9" ht="15">
      <c r="A2814" s="21">
        <f t="shared" si="50"/>
        <v>284</v>
      </c>
      <c r="B2814" s="16" t="s">
        <v>3773</v>
      </c>
      <c r="C2814" s="85" t="str">
        <f ca="1">IFERROR(__xludf.DUMMYFUNCTION("GOOGLETRANSLATE(B2814:B2829,""RU"",""UK"")"),"Призма повірочна та розміт. П2-2-2 (150х80х135мм) ДЕРЖСТАНДАРТ 5641-82")</f>
        <v>Призма повірочна та розміт. П2-2-2 (150х80х135мм) ДЕРЖСТАНДАРТ 5641-82</v>
      </c>
      <c r="D2814" s="75" t="s">
        <v>6</v>
      </c>
      <c r="E2814" s="17">
        <v>4</v>
      </c>
      <c r="F2814" s="92" t="s">
        <v>10</v>
      </c>
      <c r="G2814" s="4"/>
      <c r="H2814" s="4"/>
      <c r="I2814" s="4"/>
    </row>
    <row r="2815" spans="1:9" ht="15">
      <c r="A2815" s="21">
        <f t="shared" si="50"/>
        <v>285</v>
      </c>
      <c r="B2815" s="14" t="s">
        <v>3774</v>
      </c>
      <c r="C2815" s="85" t="str">
        <f ca="1">IFERROR(__xludf.DUMMYFUNCTION("GOOGLETRANSLATE(B2815:B2830,""RU"",""UK"")"),"Призма повірочна та розміт. П2-2-1 / П2-2-2 (150х80х135мм)")</f>
        <v>Призма повірочна та розміт. П2-2-1 / П2-2-2 (150х80х135мм)</v>
      </c>
      <c r="D2815" s="75" t="s">
        <v>1031</v>
      </c>
      <c r="E2815" s="17" t="s">
        <v>793</v>
      </c>
      <c r="F2815" s="92" t="s">
        <v>3775</v>
      </c>
      <c r="G2815" s="4"/>
      <c r="H2815" s="4"/>
      <c r="I2815" s="4"/>
    </row>
    <row r="2816" spans="1:9" ht="15">
      <c r="A2816" s="21">
        <f t="shared" si="50"/>
        <v>286</v>
      </c>
      <c r="B2816" s="16" t="s">
        <v>3776</v>
      </c>
      <c r="C2816" s="85" t="str">
        <f ca="1">IFERROR(__xludf.DUMMYFUNCTION("GOOGLETRANSLATE(B2816:B2831,""RU"",""UK"")"),"Призма повірочна та розміт. П2-3-2 (200х100х180мм) ДЕРЖСТАНДАРТ 5641-82")</f>
        <v>Призма повірочна та розміт. П2-3-2 (200х100х180мм) ДЕРЖСТАНДАРТ 5641-82</v>
      </c>
      <c r="D2816" s="75" t="s">
        <v>6</v>
      </c>
      <c r="E2816" s="17">
        <v>5</v>
      </c>
      <c r="F2816" s="92" t="s">
        <v>73</v>
      </c>
      <c r="G2816" s="4"/>
      <c r="H2816" s="4"/>
      <c r="I2816" s="4"/>
    </row>
    <row r="2817" spans="1:9" ht="15">
      <c r="A2817" s="21">
        <f t="shared" si="50"/>
        <v>287</v>
      </c>
      <c r="B2817" s="19" t="s">
        <v>3776</v>
      </c>
      <c r="C2817" s="85" t="str">
        <f ca="1">IFERROR(__xludf.DUMMYFUNCTION("GOOGLETRANSLATE(B2817:B2832,""RU"",""UK"")"),"Призма повірочна та розміт. П2-3-2 (200х100х180мм) ДЕРЖСТАНДАРТ 5641-82")</f>
        <v>Призма повірочна та розміт. П2-3-2 (200х100х180мм) ДЕРЖСТАНДАРТ 5641-82</v>
      </c>
      <c r="D2817" s="75" t="s">
        <v>1031</v>
      </c>
      <c r="E2817" s="17">
        <v>0</v>
      </c>
      <c r="F2817" s="92" t="s">
        <v>1000</v>
      </c>
      <c r="G2817" s="4"/>
      <c r="H2817" s="4"/>
      <c r="I2817" s="4"/>
    </row>
    <row r="2818" spans="1:9" ht="15">
      <c r="A2818" s="21">
        <f t="shared" si="50"/>
        <v>288</v>
      </c>
      <c r="B2818" s="76" t="s">
        <v>3777</v>
      </c>
      <c r="C2818" s="85" t="str">
        <f ca="1">IFERROR(__xludf.DUMMYFUNCTION("GOOGLETRANSLATE(B2818:B2833,""RU"",""UK"")"),"Призма повірочна та розміт. УСП (9-28мм)")</f>
        <v>Призма повірочна та розміт. УСП (9-28мм)</v>
      </c>
      <c r="D2818" s="75" t="s">
        <v>1031</v>
      </c>
      <c r="E2818" s="17">
        <v>0</v>
      </c>
      <c r="F2818" s="92" t="s">
        <v>18</v>
      </c>
      <c r="G2818" s="4"/>
      <c r="H2818" s="4"/>
      <c r="I2818" s="4"/>
    </row>
    <row r="2819" spans="1:9" ht="15">
      <c r="A2819" s="21">
        <f t="shared" si="50"/>
        <v>289</v>
      </c>
      <c r="B2819" s="16" t="s">
        <v>3778</v>
      </c>
      <c r="C2819" s="85" t="str">
        <f ca="1">IFERROR(__xludf.DUMMYFUNCTION("GOOGLETRANSLATE(B2819:B2834,""RU"",""UK"")"),"Призма повірочна та розміт. УСП (18-55мм)")</f>
        <v>Призма повірочна та розміт. УСП (18-55мм)</v>
      </c>
      <c r="D2819" s="75" t="s">
        <v>1031</v>
      </c>
      <c r="E2819" s="17">
        <v>1</v>
      </c>
      <c r="F2819" s="92" t="s">
        <v>78</v>
      </c>
      <c r="G2819" s="4"/>
      <c r="H2819" s="4"/>
      <c r="I2819" s="4"/>
    </row>
    <row r="2820" spans="1:9" ht="15">
      <c r="A2820" s="21">
        <f t="shared" si="50"/>
        <v>290</v>
      </c>
      <c r="B2820" s="14" t="s">
        <v>3779</v>
      </c>
      <c r="C2820" s="85" t="str">
        <f ca="1">IFERROR(__xludf.DUMMYFUNCTION("GOOGLETRANSLATE(B2820:B2835,""RU"",""UK"")"),"Рівень алюмінію. 30см")</f>
        <v>Рівень алюмінію. 30см</v>
      </c>
      <c r="D2820" s="15" t="s">
        <v>6</v>
      </c>
      <c r="E2820" s="15">
        <v>1</v>
      </c>
      <c r="F2820" s="91" t="s">
        <v>344</v>
      </c>
      <c r="G2820" s="4"/>
      <c r="H2820" s="4"/>
      <c r="I2820" s="4"/>
    </row>
    <row r="2821" spans="1:9" ht="15">
      <c r="A2821" s="21">
        <f t="shared" si="50"/>
        <v>291</v>
      </c>
      <c r="B2821" s="14" t="s">
        <v>3780</v>
      </c>
      <c r="C2821" s="85" t="str">
        <f ca="1">IFERROR(__xludf.DUMMYFUNCTION("GOOGLETRANSLATE(B2821:B2836,""RU"",""UK"")"),"Рівень водяний 7м/25м")</f>
        <v>Рівень водяний 7м/25м</v>
      </c>
      <c r="D2821" s="15" t="s">
        <v>6</v>
      </c>
      <c r="E2821" s="15" t="s">
        <v>749</v>
      </c>
      <c r="F2821" s="91" t="s">
        <v>3781</v>
      </c>
      <c r="G2821" s="4"/>
      <c r="H2821" s="4"/>
      <c r="I2821" s="4"/>
    </row>
    <row r="2822" spans="1:9" ht="15">
      <c r="A2822" s="21">
        <f t="shared" si="50"/>
        <v>292</v>
      </c>
      <c r="B2822" s="14" t="s">
        <v>3782</v>
      </c>
      <c r="C2822" s="85" t="str">
        <f ca="1">IFERROR(__xludf.DUMMYFUNCTION("GOOGLETRANSLATE(B2822:B2837,""RU"",""UK"")"),"Рівень рамний 200мм Калібр (0,1) із паспортом")</f>
        <v>Рівень рамний 200мм Калібр (0,1) із паспортом</v>
      </c>
      <c r="D2822" s="15" t="s">
        <v>6</v>
      </c>
      <c r="E2822" s="15">
        <v>2</v>
      </c>
      <c r="F2822" s="91" t="s">
        <v>12</v>
      </c>
      <c r="G2822" s="4"/>
      <c r="H2822" s="4"/>
      <c r="I2822" s="4"/>
    </row>
    <row r="2823" spans="1:9" ht="15">
      <c r="A2823" s="21">
        <f t="shared" si="50"/>
        <v>293</v>
      </c>
      <c r="B2823" s="14" t="s">
        <v>3783</v>
      </c>
      <c r="C2823" s="85" t="str">
        <f ca="1">IFERROR(__xludf.DUMMYFUNCTION("GOOGLETRANSLATE(B2823:B2838,""RU"",""UK"")"),"Рівень рамний 200мм Калібр (0,09) без паспорта")</f>
        <v>Рівень рамний 200мм Калібр (0,09) без паспорта</v>
      </c>
      <c r="D2823" s="15" t="s">
        <v>6</v>
      </c>
      <c r="E2823" s="15">
        <v>1</v>
      </c>
      <c r="F2823" s="91" t="s">
        <v>12</v>
      </c>
      <c r="G2823" s="4"/>
      <c r="H2823" s="4"/>
      <c r="I2823" s="4"/>
    </row>
    <row r="2824" spans="1:9" ht="15">
      <c r="A2824" s="21">
        <f t="shared" si="50"/>
        <v>294</v>
      </c>
      <c r="B2824" s="14" t="s">
        <v>3784</v>
      </c>
      <c r="C2824" s="85" t="str">
        <f ca="1">IFERROR(__xludf.DUMMYFUNCTION("GOOGLETRANSLATE(B2824:B2839,""RU"",""UK"")"),"Рівень рамний 200мм Калібр (0,05) б/у")</f>
        <v>Рівень рамний 200мм Калібр (0,05) б/у</v>
      </c>
      <c r="D2824" s="15" t="s">
        <v>6</v>
      </c>
      <c r="E2824" s="15">
        <v>1</v>
      </c>
      <c r="F2824" s="91" t="s">
        <v>3785</v>
      </c>
      <c r="G2824" s="4"/>
      <c r="H2824" s="4"/>
      <c r="I2824" s="4"/>
    </row>
    <row r="2825" spans="1:9" ht="15">
      <c r="A2825" s="21">
        <f t="shared" si="50"/>
        <v>295</v>
      </c>
      <c r="B2825" s="16" t="s">
        <v>3786</v>
      </c>
      <c r="C2825" s="85" t="str">
        <f ca="1">IFERROR(__xludf.DUMMYFUNCTION("GOOGLETRANSLATE(B2825:B2840,""RU"",""UK"")"),"Рівень брусковий 200мм Калібр (0,08) із паспортом")</f>
        <v>Рівень брусковий 200мм Калібр (0,08) із паспортом</v>
      </c>
      <c r="D2825" s="15" t="s">
        <v>6</v>
      </c>
      <c r="E2825" s="15">
        <v>1</v>
      </c>
      <c r="F2825" s="91" t="s">
        <v>3538</v>
      </c>
      <c r="G2825" s="4"/>
      <c r="H2825" s="4"/>
      <c r="I2825" s="4"/>
    </row>
    <row r="2826" spans="1:9" ht="15">
      <c r="A2826" s="21">
        <f t="shared" si="50"/>
        <v>296</v>
      </c>
      <c r="B2826" s="14" t="s">
        <v>3787</v>
      </c>
      <c r="C2826" s="85" t="str">
        <f ca="1">IFERROR(__xludf.DUMMYFUNCTION("GOOGLETRANSLATE(B2826:B2841,""RU"",""UK"")"),"Виска 400г")</f>
        <v>Виска 400г</v>
      </c>
      <c r="D2826" s="15" t="s">
        <v>6</v>
      </c>
      <c r="E2826" s="15">
        <v>3</v>
      </c>
      <c r="F2826" s="91" t="s">
        <v>201</v>
      </c>
      <c r="G2826" s="4"/>
      <c r="H2826" s="4"/>
      <c r="I2826" s="4"/>
    </row>
    <row r="2827" spans="1:9" ht="15">
      <c r="A2827" s="21">
        <f t="shared" si="50"/>
        <v>297</v>
      </c>
      <c r="B2827" s="19" t="s">
        <v>3788</v>
      </c>
      <c r="C2827" s="85" t="str">
        <f ca="1">IFERROR(__xludf.DUMMYFUNCTION("GOOGLETRANSLATE(B2827:B2842,""RU"",""UK"")"),"Динамометр ДПУ - 0,1т (1kN)")</f>
        <v>Динамометр ДПУ - 0,1т (1kN)</v>
      </c>
      <c r="D2827" s="15" t="s">
        <v>6</v>
      </c>
      <c r="E2827" s="15">
        <v>0</v>
      </c>
      <c r="F2827" s="91" t="s">
        <v>237</v>
      </c>
      <c r="G2827" s="4"/>
      <c r="H2827" s="4"/>
      <c r="I2827" s="4"/>
    </row>
    <row r="2828" spans="1:9" ht="15">
      <c r="A2828" s="21">
        <f t="shared" si="50"/>
        <v>298</v>
      </c>
      <c r="B2828" s="14" t="s">
        <v>3789</v>
      </c>
      <c r="C2828" s="85" t="str">
        <f ca="1">IFERROR(__xludf.DUMMYFUNCTION("GOOGLETRANSLATE(B2828:B2843,""RU"",""UK"")"),"Динамометр ДПУ-5-2 (5т, 50kN)")</f>
        <v>Динамометр ДПУ-5-2 (5т, 50kN)</v>
      </c>
      <c r="D2828" s="15" t="s">
        <v>6</v>
      </c>
      <c r="E2828" s="15">
        <v>1</v>
      </c>
      <c r="F2828" s="91" t="s">
        <v>1002</v>
      </c>
      <c r="G2828" s="4"/>
      <c r="H2828" s="4"/>
      <c r="I2828" s="4"/>
    </row>
    <row r="2829" spans="1:9" ht="15">
      <c r="A2829" s="21">
        <f t="shared" si="50"/>
        <v>299</v>
      </c>
      <c r="B2829" s="14" t="s">
        <v>3790</v>
      </c>
      <c r="C2829" s="85" t="str">
        <f ca="1">IFERROR(__xludf.DUMMYFUNCTION("GOOGLETRANSLATE(B2829:B2844,""RU"",""UK"")"),"Шаблон-різьбомір (55 дюймова) / (60 метрична)")</f>
        <v>Шаблон-різьбомір (55 дюймова) / (60 метрична)</v>
      </c>
      <c r="D2829" s="15" t="s">
        <v>6</v>
      </c>
      <c r="E2829" s="15" t="s">
        <v>3791</v>
      </c>
      <c r="F2829" s="91" t="s">
        <v>119</v>
      </c>
      <c r="G2829" s="4"/>
      <c r="H2829" s="4"/>
      <c r="I2829" s="4"/>
    </row>
    <row r="2830" spans="1:9" ht="15">
      <c r="A2830" s="21">
        <f t="shared" si="50"/>
        <v>300</v>
      </c>
      <c r="B2830" s="14" t="s">
        <v>3792</v>
      </c>
      <c r="C2830" s="85" t="str">
        <f ca="1">IFERROR(__xludf.DUMMYFUNCTION("GOOGLETRANSLATE(B2830:B2845,""RU"",""UK"")"),"Шаблон-радіусометр №1 / №2 / №3 / R7-14,5")</f>
        <v>Шаблон-радіусометр №1 / №2 / №3 / R7-14,5</v>
      </c>
      <c r="D2830" s="15" t="s">
        <v>6</v>
      </c>
      <c r="E2830" s="15" t="s">
        <v>3793</v>
      </c>
      <c r="F2830" s="91" t="s">
        <v>119</v>
      </c>
      <c r="G2830" s="4"/>
      <c r="H2830" s="4"/>
      <c r="I2830" s="4"/>
    </row>
    <row r="2831" spans="1:9" ht="15">
      <c r="A2831" s="21">
        <f t="shared" si="50"/>
        <v>301</v>
      </c>
      <c r="B2831" s="14" t="s">
        <v>3794</v>
      </c>
      <c r="C2831" s="85" t="str">
        <f ca="1">IFERROR(__xludf.DUMMYFUNCTION("GOOGLETRANSLATE(B2831:B2846,""RU"",""UK"")"),"Шаблон для заточування різців")</f>
        <v>Шаблон для заточування різців</v>
      </c>
      <c r="D2831" s="15" t="s">
        <v>6</v>
      </c>
      <c r="E2831" s="15">
        <v>8</v>
      </c>
      <c r="F2831" s="91" t="s">
        <v>140</v>
      </c>
      <c r="G2831" s="4"/>
      <c r="H2831" s="4"/>
      <c r="I2831" s="4"/>
    </row>
    <row r="2832" spans="1:9" ht="15">
      <c r="A2832" s="21">
        <f t="shared" si="50"/>
        <v>302</v>
      </c>
      <c r="B2832" s="14" t="s">
        <v>3795</v>
      </c>
      <c r="C2832" s="85" t="str">
        <f ca="1">IFERROR(__xludf.DUMMYFUNCTION("GOOGLETRANSLATE(B2832:B2847,""RU"",""UK"")"),"Щаблон-щуп ШС-2")</f>
        <v>Щаблон-щуп ШС-2</v>
      </c>
      <c r="D2832" s="15" t="s">
        <v>6</v>
      </c>
      <c r="E2832" s="15">
        <v>1</v>
      </c>
      <c r="F2832" s="91" t="s">
        <v>162</v>
      </c>
      <c r="G2832" s="4"/>
      <c r="H2832" s="4"/>
      <c r="I2832" s="4"/>
    </row>
    <row r="2833" spans="1:9" ht="15">
      <c r="A2833" s="21">
        <f t="shared" si="50"/>
        <v>303</v>
      </c>
      <c r="B2833" s="14" t="s">
        <v>3796</v>
      </c>
      <c r="C2833" s="85" t="str">
        <f ca="1">IFERROR(__xludf.DUMMYFUNCTION("GOOGLETRANSLATE(B2833:B2848,""RU"",""UK"")"),"Щаблон-щуп ДТ-54/С-80")</f>
        <v>Щаблон-щуп ДТ-54/С-80</v>
      </c>
      <c r="D2833" s="15" t="s">
        <v>6</v>
      </c>
      <c r="E2833" s="15" t="s">
        <v>749</v>
      </c>
      <c r="F2833" s="91" t="s">
        <v>20</v>
      </c>
      <c r="G2833" s="4"/>
      <c r="H2833" s="4"/>
      <c r="I2833" s="4"/>
    </row>
    <row r="2834" spans="1:9" ht="15">
      <c r="A2834" s="21">
        <f t="shared" si="50"/>
        <v>304</v>
      </c>
      <c r="B2834" s="19" t="s">
        <v>3797</v>
      </c>
      <c r="C2834" s="85" t="str">
        <f ca="1">IFERROR(__xludf.DUMMYFUNCTION("GOOGLETRANSLATE(B2834:B2849,""RU"",""UK"")"),"Шаблон універсальний КОР модель 00316")</f>
        <v>Шаблон універсальний КОР модель 00316</v>
      </c>
      <c r="D2834" s="15" t="s">
        <v>6</v>
      </c>
      <c r="E2834" s="15">
        <v>0</v>
      </c>
      <c r="F2834" s="91" t="s">
        <v>629</v>
      </c>
      <c r="G2834" s="4"/>
      <c r="H2834" s="4"/>
      <c r="I2834" s="4"/>
    </row>
    <row r="2835" spans="1:9" ht="15">
      <c r="A2835" s="21">
        <f t="shared" si="50"/>
        <v>305</v>
      </c>
      <c r="B2835" s="16" t="s">
        <v>3798</v>
      </c>
      <c r="C2835" s="85" t="str">
        <f ca="1">IFERROR(__xludf.DUMMYFUNCTION("GOOGLETRANSLATE(B2835:B2850,""RU"",""UK"")"),"Щуп зазор. №1 (0,02-0,1мм) / №2 (0,2-0,5мм)")</f>
        <v>Щуп зазор. №1 (0,02-0,1мм) / №2 (0,2-0,5мм)</v>
      </c>
      <c r="D2835" s="15" t="s">
        <v>6</v>
      </c>
      <c r="E2835" s="15" t="s">
        <v>3799</v>
      </c>
      <c r="F2835" s="91" t="s">
        <v>119</v>
      </c>
      <c r="G2835" s="4"/>
      <c r="H2835" s="4"/>
      <c r="I2835" s="4"/>
    </row>
    <row r="2836" spans="1:9" ht="15">
      <c r="A2836" s="21">
        <f t="shared" si="50"/>
        <v>306</v>
      </c>
      <c r="B2836" s="14" t="s">
        <v>3800</v>
      </c>
      <c r="C2836" s="85" t="str">
        <f ca="1">IFERROR(__xludf.DUMMYFUNCTION("GOOGLETRANSLATE(B2836:B2851,""RU"",""UK"")"),"Щуп зазор. №3 (0,55-1,0мм) / №4 (0,1-1,0мм)")</f>
        <v>Щуп зазор. №3 (0,55-1,0мм) / №4 (0,1-1,0мм)</v>
      </c>
      <c r="D2836" s="15" t="s">
        <v>6</v>
      </c>
      <c r="E2836" s="15" t="s">
        <v>3801</v>
      </c>
      <c r="F2836" s="91" t="s">
        <v>119</v>
      </c>
      <c r="G2836" s="4"/>
      <c r="H2836" s="4"/>
      <c r="I2836" s="4"/>
    </row>
    <row r="2837" spans="1:9" ht="15">
      <c r="A2837" s="21">
        <f t="shared" si="50"/>
        <v>307</v>
      </c>
      <c r="B2837" s="19" t="s">
        <v>3802</v>
      </c>
      <c r="C2837" s="85" t="str">
        <f ca="1">IFERROR(__xludf.DUMMYFUNCTION("GOOGLETRANSLATE(B2837:B2852,""RU"",""UK"")"),"Тахометр вартовий ТЧ10-Р. Межі змін. 50 -10000 об/хв")</f>
        <v>Тахометр вартовий ТЧ10-Р. Межі змін. 50 -10000 об/хв</v>
      </c>
      <c r="D2837" s="59"/>
      <c r="E2837" s="59"/>
      <c r="F2837" s="91"/>
      <c r="G2837" s="4"/>
      <c r="H2837" s="4"/>
      <c r="I2837" s="4"/>
    </row>
    <row r="2838" spans="1:9" ht="15">
      <c r="A2838" s="21">
        <f t="shared" si="50"/>
        <v>308</v>
      </c>
      <c r="B2838" s="14" t="s">
        <v>3803</v>
      </c>
      <c r="C2838" s="85" t="str">
        <f ca="1">IFERROR(__xludf.DUMMYFUNCTION("GOOGLETRANSLATE(B2838:B2853,""RU"",""UK"")"),"Тахометр магнітоіндуктивний ТМ 05-01 (25-500об/хв)")</f>
        <v>Тахометр магнітоіндуктивний ТМ 05-01 (25-500об/хв)</v>
      </c>
      <c r="D2838" s="15" t="s">
        <v>6</v>
      </c>
      <c r="E2838" s="15">
        <v>1</v>
      </c>
      <c r="F2838" s="91" t="s">
        <v>1113</v>
      </c>
      <c r="G2838" s="4"/>
      <c r="H2838" s="4"/>
      <c r="I2838" s="4"/>
    </row>
    <row r="2839" spans="1:9" ht="15">
      <c r="A2839" s="21">
        <f t="shared" si="50"/>
        <v>309</v>
      </c>
      <c r="B2839" s="14" t="s">
        <v>3804</v>
      </c>
      <c r="C2839" s="85" t="str">
        <f ca="1">IFERROR(__xludf.DUMMYFUNCTION("GOOGLETRANSLATE(B2839:B2854,""RU"",""UK"")"),"Тахометр ТМ (0-6000об/хв)")</f>
        <v>Тахометр ТМ (0-6000об/хв)</v>
      </c>
      <c r="D2839" s="15" t="s">
        <v>6</v>
      </c>
      <c r="E2839" s="15">
        <v>1</v>
      </c>
      <c r="F2839" s="91" t="s">
        <v>1113</v>
      </c>
      <c r="G2839" s="4"/>
      <c r="H2839" s="4"/>
      <c r="I2839" s="4"/>
    </row>
    <row r="2840" spans="1:9" ht="15">
      <c r="A2840" s="21">
        <f t="shared" si="50"/>
        <v>310</v>
      </c>
      <c r="B2840" s="16" t="s">
        <v>3805</v>
      </c>
      <c r="C2840" s="85" t="str">
        <f ca="1">IFERROR(__xludf.DUMMYFUNCTION("GOOGLETRANSLATE(B2840:B2855,""RU"",""UK"")"),"Анемометр чашковий ЛУ-5 (МС-13)")</f>
        <v>Анемометр чашковий ЛУ-5 (МС-13)</v>
      </c>
      <c r="D2840" s="15" t="s">
        <v>6</v>
      </c>
      <c r="E2840" s="15">
        <v>2</v>
      </c>
      <c r="F2840" s="91" t="s">
        <v>914</v>
      </c>
      <c r="G2840" s="4"/>
      <c r="H2840" s="4"/>
      <c r="I2840" s="4"/>
    </row>
    <row r="2841" spans="1:9" ht="15">
      <c r="A2841" s="21">
        <f t="shared" si="50"/>
        <v>311</v>
      </c>
      <c r="B2841" s="19" t="s">
        <v>3806</v>
      </c>
      <c r="C2841" s="85" t="str">
        <f ca="1">IFERROR(__xludf.DUMMYFUNCTION("GOOGLETRANSLATE(B2841:B2856,""RU"",""UK"")"),"Секундомір ""Слава"" СДСпр-1-2")</f>
        <v>Секундомір "Слава" СДСпр-1-2</v>
      </c>
      <c r="D2841" s="15" t="s">
        <v>6</v>
      </c>
      <c r="E2841" s="15">
        <v>0</v>
      </c>
      <c r="F2841" s="91" t="s">
        <v>3325</v>
      </c>
      <c r="G2841" s="4"/>
      <c r="H2841" s="4"/>
      <c r="I2841" s="4"/>
    </row>
    <row r="2842" spans="1:9" ht="15">
      <c r="A2842" s="21">
        <f t="shared" si="50"/>
        <v>312</v>
      </c>
      <c r="B2842" s="14" t="s">
        <v>3807</v>
      </c>
      <c r="C2842" s="85" t="str">
        <f ca="1">IFERROR(__xludf.DUMMYFUNCTION("GOOGLETRANSLATE(B2842:B2857,""RU"",""UK"")"),"Мікроскоп відліковий МПБ-2 (24-х кратн. (0,05))")</f>
        <v>Мікроскоп відліковий МПБ-2 (24-х кратн. (0,05))</v>
      </c>
      <c r="D2842" s="15" t="s">
        <v>6</v>
      </c>
      <c r="E2842" s="15">
        <v>2</v>
      </c>
      <c r="F2842" s="91" t="s">
        <v>3600</v>
      </c>
      <c r="G2842" s="4"/>
      <c r="H2842" s="4"/>
      <c r="I2842" s="4"/>
    </row>
    <row r="2843" spans="1:9" ht="15">
      <c r="A2843" s="21">
        <f t="shared" si="50"/>
        <v>313</v>
      </c>
      <c r="B2843" s="14" t="s">
        <v>3808</v>
      </c>
      <c r="C2843" s="85" t="str">
        <f ca="1">IFERROR(__xludf.DUMMYFUNCTION("GOOGLETRANSLATE(B2843:B2858,""RU"",""UK"")"),"Мікроскоп відліковий МПБ-2 (24-х кратн. (0,05)) легке бу")</f>
        <v>Мікроскоп відліковий МПБ-2 (24-х кратн. (0,05)) легке бу</v>
      </c>
      <c r="D2843" s="15" t="s">
        <v>6</v>
      </c>
      <c r="E2843" s="15">
        <v>1</v>
      </c>
      <c r="F2843" s="91" t="s">
        <v>80</v>
      </c>
      <c r="G2843" s="4"/>
      <c r="H2843" s="4"/>
      <c r="I2843" s="4"/>
    </row>
    <row r="2844" spans="1:9" ht="15">
      <c r="A2844" s="21">
        <f t="shared" si="50"/>
        <v>314</v>
      </c>
      <c r="B2844" s="14" t="s">
        <v>3809</v>
      </c>
      <c r="C2844" s="85" t="str">
        <f ca="1">IFERROR(__xludf.DUMMYFUNCTION("GOOGLETRANSLATE(B2844:B2859,""RU"",""UK"")"),"Мікроскоп СВІТ-1")</f>
        <v>Мікроскоп СВІТ-1</v>
      </c>
      <c r="D2844" s="15" t="s">
        <v>6</v>
      </c>
      <c r="E2844" s="15">
        <v>1</v>
      </c>
      <c r="F2844" s="91" t="s">
        <v>71</v>
      </c>
      <c r="G2844" s="4"/>
      <c r="H2844" s="4"/>
      <c r="I2844" s="4"/>
    </row>
    <row r="2845" spans="1:9" ht="15">
      <c r="A2845" s="21">
        <f t="shared" si="50"/>
        <v>315</v>
      </c>
      <c r="B2845" s="14" t="s">
        <v>3810</v>
      </c>
      <c r="C2845" s="85" t="str">
        <f ca="1">IFERROR(__xludf.DUMMYFUNCTION("GOOGLETRANSLATE(B2845:B2860,""RU"",""UK"")"),"Лінза очна 5-крат. 25мм // 10 крат. 50мм")</f>
        <v>Лінза очна 5-крат. 25мм // 10 крат. 50мм</v>
      </c>
      <c r="D2845" s="15" t="s">
        <v>6</v>
      </c>
      <c r="E2845" s="15" t="s">
        <v>1005</v>
      </c>
      <c r="F2845" s="91" t="s">
        <v>596</v>
      </c>
      <c r="G2845" s="4"/>
      <c r="H2845" s="4"/>
      <c r="I2845" s="4"/>
    </row>
    <row r="2846" spans="1:9" ht="15">
      <c r="A2846" s="21">
        <f t="shared" si="50"/>
        <v>316</v>
      </c>
      <c r="B2846" s="14" t="s">
        <v>3811</v>
      </c>
      <c r="C2846" s="85" t="str">
        <f ca="1">IFERROR(__xludf.DUMMYFUNCTION("GOOGLETRANSLATE(B2846:B2861,""RU"",""UK"")"),"Лупа ЛІ-3 (10-кратна)")</f>
        <v>Лупа ЛІ-3 (10-кратна)</v>
      </c>
      <c r="D2846" s="15" t="s">
        <v>6</v>
      </c>
      <c r="E2846" s="15">
        <v>1</v>
      </c>
      <c r="F2846" s="91" t="s">
        <v>1151</v>
      </c>
      <c r="G2846" s="4"/>
      <c r="H2846" s="4"/>
      <c r="I2846" s="4"/>
    </row>
    <row r="2847" spans="1:9" ht="15">
      <c r="A2847" s="21">
        <f t="shared" si="50"/>
        <v>317</v>
      </c>
      <c r="B2847" s="14" t="s">
        <v>3812</v>
      </c>
      <c r="C2847" s="85" t="str">
        <f ca="1">IFERROR(__xludf.DUMMYFUNCTION("GOOGLETRANSLATE(B2847:B2862,""RU"",""UK"")"),"Плоскопаралельні скляні пластини ПМ65")</f>
        <v>Плоскопаралельні скляні пластини ПМ65</v>
      </c>
      <c r="D2847" s="15" t="s">
        <v>1031</v>
      </c>
      <c r="E2847" s="15">
        <v>1</v>
      </c>
      <c r="F2847" s="91" t="s">
        <v>106</v>
      </c>
      <c r="G2847" s="4"/>
      <c r="H2847" s="4"/>
      <c r="I2847" s="4"/>
    </row>
    <row r="2848" spans="1:9" ht="15">
      <c r="A2848" s="21">
        <f t="shared" si="50"/>
        <v>318</v>
      </c>
      <c r="B2848" s="14" t="s">
        <v>3813</v>
      </c>
      <c r="C2848" s="85" t="str">
        <f ca="1">IFERROR(__xludf.DUMMYFUNCTION("GOOGLETRANSLATE(B2848:B2863,""RU"",""UK"")"),"Плоскопаралельні скляні пластини ПМ90")</f>
        <v>Плоскопаралельні скляні пластини ПМ90</v>
      </c>
      <c r="D2848" s="15" t="s">
        <v>1031</v>
      </c>
      <c r="E2848" s="15">
        <v>1</v>
      </c>
      <c r="F2848" s="91" t="s">
        <v>272</v>
      </c>
      <c r="G2848" s="4"/>
      <c r="H2848" s="4"/>
      <c r="I2848" s="4"/>
    </row>
    <row r="2849" spans="1:9" ht="15">
      <c r="A2849" s="21">
        <f t="shared" si="50"/>
        <v>319</v>
      </c>
      <c r="B2849" s="14" t="s">
        <v>3814</v>
      </c>
      <c r="C2849" s="85" t="str">
        <f ca="1">IFERROR(__xludf.DUMMYFUNCTION("GOOGLETRANSLATE(B2849:B2864,""RU"",""UK"")"),"Пластина плоска скляна ПІ 100")</f>
        <v>Пластина плоска скляна ПІ 100</v>
      </c>
      <c r="D2849" s="15" t="s">
        <v>6</v>
      </c>
      <c r="E2849" s="15">
        <v>1</v>
      </c>
      <c r="F2849" s="91" t="s">
        <v>119</v>
      </c>
      <c r="G2849" s="4"/>
      <c r="H2849" s="4"/>
      <c r="I2849" s="4"/>
    </row>
    <row r="2850" spans="1:9" ht="15">
      <c r="A2850" s="21">
        <f t="shared" si="50"/>
        <v>320</v>
      </c>
      <c r="B2850" s="14" t="s">
        <v>3815</v>
      </c>
      <c r="C2850" s="115" t="str">
        <f ca="1">IFERROR(__xludf.DUMMYFUNCTION("GOOGLETRANSLATE(B2850:B2865,""RU"",""UK"")"),"Пневматична головка для перевірки валів. Калібр.")</f>
        <v>Пневматична головка для перевірки валів. Калібр.</v>
      </c>
      <c r="D2850" s="15" t="s">
        <v>6</v>
      </c>
      <c r="E2850" s="15">
        <v>1</v>
      </c>
      <c r="F2850" s="91" t="s">
        <v>413</v>
      </c>
      <c r="G2850" s="4"/>
      <c r="H2850" s="4"/>
      <c r="I2850" s="4"/>
    </row>
    <row r="2851" spans="1:9" ht="15">
      <c r="A2851" s="68"/>
      <c r="B2851" s="69"/>
      <c r="C2851" s="119" t="s">
        <v>6040</v>
      </c>
      <c r="D2851" s="69"/>
      <c r="E2851" s="69"/>
      <c r="F2851" s="106"/>
      <c r="G2851" s="4"/>
      <c r="H2851" s="4"/>
      <c r="I2851" s="4"/>
    </row>
    <row r="2852" spans="1:9" ht="15">
      <c r="A2852" s="13">
        <v>1</v>
      </c>
      <c r="B2852" s="19" t="s">
        <v>3816</v>
      </c>
      <c r="C2852" s="47" t="str">
        <f ca="1">IFERROR(__xludf.DUMMYFUNCTION("GOOGLETRANSLATE(B2852:B2867,""RU"",""UK"")"),"Фреза відрізна Р6М5 32х0,2/32х0,25мм")</f>
        <v>Фреза відрізна Р6М5 32х0,2/32х0,25мм</v>
      </c>
      <c r="D2852" s="15" t="s">
        <v>6</v>
      </c>
      <c r="E2852" s="26" t="s">
        <v>3137</v>
      </c>
      <c r="F2852" s="91" t="s">
        <v>304</v>
      </c>
      <c r="G2852" s="4"/>
      <c r="H2852" s="4"/>
      <c r="I2852" s="4"/>
    </row>
    <row r="2853" spans="1:9" ht="15">
      <c r="A2853" s="13">
        <f>A2852+1</f>
        <v>2</v>
      </c>
      <c r="B2853" s="14" t="s">
        <v>3817</v>
      </c>
      <c r="C2853" s="85" t="str">
        <f ca="1">IFERROR(__xludf.DUMMYFUNCTION("GOOGLETRANSLATE(B2853:B2868,""RU"",""UK"")"),"Фреза відрізна Р6М5 32х0,4/32х0.5")</f>
        <v>Фреза відрізна Р6М5 32х0,4/32х0.5</v>
      </c>
      <c r="D2853" s="15" t="s">
        <v>6</v>
      </c>
      <c r="E2853" s="15" t="s">
        <v>1198</v>
      </c>
      <c r="F2853" s="91" t="s">
        <v>255</v>
      </c>
      <c r="G2853" s="4"/>
      <c r="H2853" s="4"/>
      <c r="I2853" s="4"/>
    </row>
    <row r="2854" spans="1:9" ht="15">
      <c r="A2854" s="21">
        <f t="shared" ref="A2854:A2904" si="51">A2853+1</f>
        <v>3</v>
      </c>
      <c r="B2854" s="14" t="s">
        <v>3818</v>
      </c>
      <c r="C2854" s="85" t="str">
        <f ca="1">IFERROR(__xludf.DUMMYFUNCTION("GOOGLETRANSLATE(B2854:B2869,""RU"",""UK"")"),"Фреза відрізна Р6М5 40х0,25/40х0,4/40х0,5")</f>
        <v>Фреза відрізна Р6М5 40х0,25/40х0,4/40х0,5</v>
      </c>
      <c r="D2854" s="15" t="s">
        <v>6</v>
      </c>
      <c r="E2854" s="15" t="s">
        <v>3819</v>
      </c>
      <c r="F2854" s="91" t="s">
        <v>255</v>
      </c>
      <c r="G2854" s="4"/>
      <c r="H2854" s="4"/>
      <c r="I2854" s="4"/>
    </row>
    <row r="2855" spans="1:9" ht="15">
      <c r="A2855" s="21">
        <f t="shared" si="51"/>
        <v>4</v>
      </c>
      <c r="B2855" s="14" t="s">
        <v>3820</v>
      </c>
      <c r="C2855" s="85" t="str">
        <f ca="1">IFERROR(__xludf.DUMMYFUNCTION("GOOGLETRANSLATE(B2855:B2870,""RU"",""UK"")"),"Фреза відрізна Р6М5 40х0.6/40х0,8/40х1,0 мм")</f>
        <v>Фреза відрізна Р6М5 40х0.6/40х0,8/40х1,0 мм</v>
      </c>
      <c r="D2855" s="15" t="s">
        <v>6</v>
      </c>
      <c r="E2855" s="15" t="s">
        <v>3821</v>
      </c>
      <c r="F2855" s="91" t="s">
        <v>255</v>
      </c>
      <c r="G2855" s="4"/>
      <c r="H2855" s="4"/>
      <c r="I2855" s="4"/>
    </row>
    <row r="2856" spans="1:9" ht="15">
      <c r="A2856" s="21">
        <f t="shared" si="51"/>
        <v>5</v>
      </c>
      <c r="B2856" s="14" t="s">
        <v>3822</v>
      </c>
      <c r="C2856" s="85" t="str">
        <f ca="1">IFERROR(__xludf.DUMMYFUNCTION("GOOGLETRANSLATE(B2856:B2871,""RU"",""UK"")"),"Фреза відрізна Р6М5 40х1,2/40х1,6 мм")</f>
        <v>Фреза відрізна Р6М5 40х1,2/40х1,6 мм</v>
      </c>
      <c r="D2856" s="15" t="s">
        <v>6</v>
      </c>
      <c r="E2856" s="15" t="s">
        <v>1970</v>
      </c>
      <c r="F2856" s="91" t="s">
        <v>598</v>
      </c>
      <c r="G2856" s="4"/>
      <c r="H2856" s="4"/>
      <c r="I2856" s="4"/>
    </row>
    <row r="2857" spans="1:9" ht="15">
      <c r="A2857" s="21">
        <f t="shared" si="51"/>
        <v>6</v>
      </c>
      <c r="B2857" s="14" t="s">
        <v>3823</v>
      </c>
      <c r="C2857" s="85" t="str">
        <f ca="1">IFERROR(__xludf.DUMMYFUNCTION("GOOGLETRANSLATE(B2857:B2872,""RU"",""UK"")"),"Фреза відрізна Р6М5 50х0,25/50х0,3мм")</f>
        <v>Фреза відрізна Р6М5 50х0,25/50х0,3мм</v>
      </c>
      <c r="D2857" s="15" t="s">
        <v>6</v>
      </c>
      <c r="E2857" s="15" t="s">
        <v>749</v>
      </c>
      <c r="F2857" s="91" t="s">
        <v>598</v>
      </c>
      <c r="G2857" s="4"/>
      <c r="H2857" s="4"/>
      <c r="I2857" s="4"/>
    </row>
    <row r="2858" spans="1:9" ht="15">
      <c r="A2858" s="21">
        <f t="shared" si="51"/>
        <v>7</v>
      </c>
      <c r="B2858" s="14" t="s">
        <v>3824</v>
      </c>
      <c r="C2858" s="85" t="str">
        <f ca="1">IFERROR(__xludf.DUMMYFUNCTION("GOOGLETRANSLATE(B2858:B2873,""RU"",""UK"")"),"Фреза відрізна Р6М5 50х0,4/50х0,32-0,45мм")</f>
        <v>Фреза відрізна Р6М5 50х0,4/50х0,32-0,45мм</v>
      </c>
      <c r="D2858" s="15" t="s">
        <v>6</v>
      </c>
      <c r="E2858" s="15" t="s">
        <v>3825</v>
      </c>
      <c r="F2858" s="91" t="s">
        <v>209</v>
      </c>
      <c r="G2858" s="4"/>
      <c r="H2858" s="4"/>
      <c r="I2858" s="4"/>
    </row>
    <row r="2859" spans="1:9" ht="15">
      <c r="A2859" s="21">
        <f t="shared" si="51"/>
        <v>8</v>
      </c>
      <c r="B2859" s="14" t="s">
        <v>3826</v>
      </c>
      <c r="C2859" s="85" t="str">
        <f ca="1">IFERROR(__xludf.DUMMYFUNCTION("GOOGLETRANSLATE(B2859:B2874,""RU"",""UK"")"),"Фреза відрізна Р6М5 50х0,6/50х0,8/50х1,0 мм")</f>
        <v>Фреза відрізна Р6М5 50х0,6/50х0,8/50х1,0 мм</v>
      </c>
      <c r="D2859" s="15" t="s">
        <v>6</v>
      </c>
      <c r="E2859" s="15" t="s">
        <v>3827</v>
      </c>
      <c r="F2859" s="91" t="s">
        <v>209</v>
      </c>
      <c r="G2859" s="4"/>
      <c r="H2859" s="4"/>
      <c r="I2859" s="4"/>
    </row>
    <row r="2860" spans="1:9" ht="15">
      <c r="A2860" s="21">
        <f t="shared" si="51"/>
        <v>9</v>
      </c>
      <c r="B2860" s="14" t="s">
        <v>3828</v>
      </c>
      <c r="C2860" s="85" t="str">
        <f ca="1">IFERROR(__xludf.DUMMYFUNCTION("GOOGLETRANSLATE(B2860:B2875,""RU"",""UK"")"),"Фреза відрізна Р6М5 50х1.2/50х2,0 мм")</f>
        <v>Фреза відрізна Р6М5 50х1.2/50х2,0 мм</v>
      </c>
      <c r="D2860" s="15" t="s">
        <v>6</v>
      </c>
      <c r="E2860" s="15" t="s">
        <v>3829</v>
      </c>
      <c r="F2860" s="91" t="s">
        <v>257</v>
      </c>
      <c r="G2860" s="4"/>
      <c r="H2860" s="4"/>
      <c r="I2860" s="4"/>
    </row>
    <row r="2861" spans="1:9" ht="15">
      <c r="A2861" s="21">
        <f t="shared" si="51"/>
        <v>10</v>
      </c>
      <c r="B2861" s="14" t="s">
        <v>3830</v>
      </c>
      <c r="C2861" s="85" t="str">
        <f ca="1">IFERROR(__xludf.DUMMYFUNCTION("GOOGLETRANSLATE(B2861:B2876,""RU"",""UK"")"),"Фреза відрізна Р6М5 50х2,5/50х3.0мм")</f>
        <v>Фреза відрізна Р6М5 50х2,5/50х3.0мм</v>
      </c>
      <c r="D2861" s="15" t="s">
        <v>6</v>
      </c>
      <c r="E2861" s="15" t="s">
        <v>3831</v>
      </c>
      <c r="F2861" s="91" t="s">
        <v>226</v>
      </c>
      <c r="G2861" s="4"/>
      <c r="H2861" s="4"/>
      <c r="I2861" s="4"/>
    </row>
    <row r="2862" spans="1:9" ht="15">
      <c r="A2862" s="21">
        <f t="shared" si="51"/>
        <v>11</v>
      </c>
      <c r="B2862" s="14" t="s">
        <v>3832</v>
      </c>
      <c r="C2862" s="85" t="str">
        <f ca="1">IFERROR(__xludf.DUMMYFUNCTION("GOOGLETRANSLATE(B2862:B2877,""RU"",""UK"")"),"Фреза відрізна Р6М5 58х0,6/60х0,5/60х0,6")</f>
        <v>Фреза відрізна Р6М5 58х0,6/60х0,5/60х0,6</v>
      </c>
      <c r="D2862" s="15" t="s">
        <v>6</v>
      </c>
      <c r="E2862" s="15" t="s">
        <v>2586</v>
      </c>
      <c r="F2862" s="91" t="s">
        <v>226</v>
      </c>
      <c r="G2862" s="4"/>
      <c r="H2862" s="4"/>
      <c r="I2862" s="4"/>
    </row>
    <row r="2863" spans="1:9" ht="15">
      <c r="A2863" s="21">
        <f t="shared" si="51"/>
        <v>12</v>
      </c>
      <c r="B2863" s="14" t="s">
        <v>3833</v>
      </c>
      <c r="C2863" s="85" t="str">
        <f ca="1">IFERROR(__xludf.DUMMYFUNCTION("GOOGLETRANSLATE(B2863:B2878,""RU"",""UK"")"),"Фреза відрізна Р6М5 63х0,5/63х0,6/63х0,8")</f>
        <v>Фреза відрізна Р6М5 63х0,5/63х0,6/63х0,8</v>
      </c>
      <c r="D2863" s="15" t="s">
        <v>6</v>
      </c>
      <c r="E2863" s="15" t="s">
        <v>3834</v>
      </c>
      <c r="F2863" s="91" t="s">
        <v>371</v>
      </c>
      <c r="G2863" s="4"/>
      <c r="H2863" s="4"/>
      <c r="I2863" s="4"/>
    </row>
    <row r="2864" spans="1:9" ht="15">
      <c r="A2864" s="21">
        <f t="shared" si="51"/>
        <v>13</v>
      </c>
      <c r="B2864" s="14" t="s">
        <v>3835</v>
      </c>
      <c r="C2864" s="85" t="str">
        <f ca="1">IFERROR(__xludf.DUMMYFUNCTION("GOOGLETRANSLATE(B2864:B2879,""RU"",""UK"")"),"Фреза відрізна Р6М5 63х1,0/63х1,2")</f>
        <v>Фреза відрізна Р6М5 63х1,0/63х1,2</v>
      </c>
      <c r="D2864" s="15" t="s">
        <v>6</v>
      </c>
      <c r="E2864" s="15" t="s">
        <v>3836</v>
      </c>
      <c r="F2864" s="91" t="s">
        <v>104</v>
      </c>
      <c r="G2864" s="4"/>
      <c r="H2864" s="4"/>
      <c r="I2864" s="4"/>
    </row>
    <row r="2865" spans="1:9" ht="15">
      <c r="A2865" s="21">
        <f t="shared" si="51"/>
        <v>14</v>
      </c>
      <c r="B2865" s="14" t="s">
        <v>3837</v>
      </c>
      <c r="C2865" s="85" t="str">
        <f ca="1">IFERROR(__xludf.DUMMYFUNCTION("GOOGLETRANSLATE(B2865:B2880,""RU"",""UK"")"),"Фреза відрізна Р6М5 60х1.6/63х1,6мм")</f>
        <v>Фреза відрізна Р6М5 60х1.6/63х1,6мм</v>
      </c>
      <c r="D2865" s="15" t="s">
        <v>6</v>
      </c>
      <c r="E2865" s="15" t="s">
        <v>3838</v>
      </c>
      <c r="F2865" s="91" t="s">
        <v>338</v>
      </c>
      <c r="G2865" s="4"/>
      <c r="H2865" s="4"/>
      <c r="I2865" s="4"/>
    </row>
    <row r="2866" spans="1:9" ht="15">
      <c r="A2866" s="21">
        <f t="shared" si="51"/>
        <v>15</v>
      </c>
      <c r="B2866" s="14" t="s">
        <v>3839</v>
      </c>
      <c r="C2866" s="85" t="str">
        <f ca="1">IFERROR(__xludf.DUMMYFUNCTION("GOOGLETRANSLATE(B2866:B2881,""RU"",""UK"")"),"Фреза відрізна Р6М5 63х2, 0мм / 63х2.5мм")</f>
        <v>Фреза відрізна Р6М5 63х2, 0мм / 63х2.5мм</v>
      </c>
      <c r="D2866" s="15" t="s">
        <v>6</v>
      </c>
      <c r="E2866" s="15" t="s">
        <v>3840</v>
      </c>
      <c r="F2866" s="91" t="s">
        <v>564</v>
      </c>
      <c r="G2866" s="4"/>
      <c r="H2866" s="4"/>
      <c r="I2866" s="4"/>
    </row>
    <row r="2867" spans="1:9" ht="15">
      <c r="A2867" s="21">
        <f t="shared" si="51"/>
        <v>16</v>
      </c>
      <c r="B2867" s="14" t="s">
        <v>3841</v>
      </c>
      <c r="C2867" s="85" t="str">
        <f ca="1">IFERROR(__xludf.DUMMYFUNCTION("GOOGLETRANSLATE(B2867:B2882,""RU"",""UK"")"),"Фреза відрізна Р6М5 63х3, 0мм")</f>
        <v>Фреза відрізна Р6М5 63х3, 0мм</v>
      </c>
      <c r="D2867" s="15" t="s">
        <v>6</v>
      </c>
      <c r="E2867" s="15">
        <v>18</v>
      </c>
      <c r="F2867" s="91" t="s">
        <v>212</v>
      </c>
      <c r="G2867" s="4"/>
      <c r="H2867" s="4"/>
      <c r="I2867" s="4"/>
    </row>
    <row r="2868" spans="1:9" ht="15">
      <c r="A2868" s="21">
        <f t="shared" si="51"/>
        <v>17</v>
      </c>
      <c r="B2868" s="14" t="s">
        <v>3842</v>
      </c>
      <c r="C2868" s="85" t="str">
        <f ca="1">IFERROR(__xludf.DUMMYFUNCTION("GOOGLETRANSLATE(B2868:B2883,""RU"",""UK"")"),"Фреза відрізна Р6М5 70х1.0/75х1,0мм/75х1.2мм")</f>
        <v>Фреза відрізна Р6М5 70х1.0/75х1,0мм/75х1.2мм</v>
      </c>
      <c r="D2868" s="15" t="s">
        <v>6</v>
      </c>
      <c r="E2868" s="15" t="s">
        <v>3843</v>
      </c>
      <c r="F2868" s="91" t="s">
        <v>212</v>
      </c>
      <c r="G2868" s="4"/>
      <c r="H2868" s="4"/>
      <c r="I2868" s="4"/>
    </row>
    <row r="2869" spans="1:9" ht="15">
      <c r="A2869" s="21">
        <f t="shared" si="51"/>
        <v>18</v>
      </c>
      <c r="B2869" s="14" t="s">
        <v>3844</v>
      </c>
      <c r="C2869" s="85" t="str">
        <f ca="1">IFERROR(__xludf.DUMMYFUNCTION("GOOGLETRANSLATE(B2869:B2884,""RU"",""UK"")"),"Фреза відрізна Р6М5 80х1,0мм")</f>
        <v>Фреза відрізна Р6М5 80х1,0мм</v>
      </c>
      <c r="D2869" s="15" t="s">
        <v>6</v>
      </c>
      <c r="E2869" s="15">
        <v>96</v>
      </c>
      <c r="F2869" s="91" t="s">
        <v>212</v>
      </c>
      <c r="G2869" s="4"/>
      <c r="H2869" s="4"/>
      <c r="I2869" s="4"/>
    </row>
    <row r="2870" spans="1:9" ht="15">
      <c r="A2870" s="21">
        <f t="shared" si="51"/>
        <v>19</v>
      </c>
      <c r="B2870" s="14" t="s">
        <v>3845</v>
      </c>
      <c r="C2870" s="85" t="str">
        <f ca="1">IFERROR(__xludf.DUMMYFUNCTION("GOOGLETRANSLATE(B2870:B2885,""RU"",""UK"")"),"Фреза відрізна Р6М5 80х1, 2мм")</f>
        <v>Фреза відрізна Р6М5 80х1, 2мм</v>
      </c>
      <c r="D2870" s="15" t="s">
        <v>6</v>
      </c>
      <c r="E2870" s="15">
        <v>59</v>
      </c>
      <c r="F2870" s="91" t="s">
        <v>1553</v>
      </c>
      <c r="G2870" s="4"/>
      <c r="H2870" s="4"/>
      <c r="I2870" s="4"/>
    </row>
    <row r="2871" spans="1:9" ht="15">
      <c r="A2871" s="21">
        <f t="shared" si="51"/>
        <v>20</v>
      </c>
      <c r="B2871" s="14" t="s">
        <v>3846</v>
      </c>
      <c r="C2871" s="85" t="str">
        <f ca="1">IFERROR(__xludf.DUMMYFUNCTION("GOOGLETRANSLATE(B2871:B2886,""RU"",""UK"")"),"Фреза відрізна Р6М5 80х1, 4/80х1, 6мм")</f>
        <v>Фреза відрізна Р6М5 80х1, 4/80х1, 6мм</v>
      </c>
      <c r="D2871" s="15" t="s">
        <v>6</v>
      </c>
      <c r="E2871" s="15" t="s">
        <v>3847</v>
      </c>
      <c r="F2871" s="91" t="s">
        <v>185</v>
      </c>
      <c r="G2871" s="4"/>
      <c r="H2871" s="4"/>
      <c r="I2871" s="4"/>
    </row>
    <row r="2872" spans="1:9" ht="15">
      <c r="A2872" s="21">
        <f t="shared" si="51"/>
        <v>21</v>
      </c>
      <c r="B2872" s="14" t="s">
        <v>3848</v>
      </c>
      <c r="C2872" s="85" t="str">
        <f ca="1">IFERROR(__xludf.DUMMYFUNCTION("GOOGLETRANSLATE(B2872:B2887,""RU"",""UK"")"),"Фреза відрізна Р6М5 80х2, 0мм")</f>
        <v>Фреза відрізна Р6М5 80х2, 0мм</v>
      </c>
      <c r="D2872" s="15" t="s">
        <v>6</v>
      </c>
      <c r="E2872" s="15">
        <v>371</v>
      </c>
      <c r="F2872" s="91" t="s">
        <v>136</v>
      </c>
      <c r="G2872" s="4"/>
      <c r="H2872" s="4"/>
      <c r="I2872" s="4"/>
    </row>
    <row r="2873" spans="1:9" ht="15">
      <c r="A2873" s="21">
        <f t="shared" si="51"/>
        <v>22</v>
      </c>
      <c r="B2873" s="14" t="s">
        <v>3849</v>
      </c>
      <c r="C2873" s="85" t="str">
        <f ca="1">IFERROR(__xludf.DUMMYFUNCTION("GOOGLETRANSLATE(B2873:B2888,""RU"",""UK"")"),"Фреза відрізна Р6М5 80х2, 5мм / 80х2.8мм")</f>
        <v>Фреза відрізна Р6М5 80х2, 5мм / 80х2.8мм</v>
      </c>
      <c r="D2873" s="15" t="s">
        <v>6</v>
      </c>
      <c r="E2873" s="15" t="s">
        <v>3850</v>
      </c>
      <c r="F2873" s="91" t="s">
        <v>344</v>
      </c>
      <c r="G2873" s="4"/>
      <c r="H2873" s="4"/>
      <c r="I2873" s="4"/>
    </row>
    <row r="2874" spans="1:9" ht="15">
      <c r="A2874" s="21">
        <f t="shared" si="51"/>
        <v>23</v>
      </c>
      <c r="B2874" s="14" t="s">
        <v>3851</v>
      </c>
      <c r="C2874" s="85" t="str">
        <f ca="1">IFERROR(__xludf.DUMMYFUNCTION("GOOGLETRANSLATE(B2874:B2889,""RU"",""UK"")"),"Фреза відрізна Р6М5 75х3.0мм/80х3,0мм")</f>
        <v>Фреза відрізна Р6М5 75х3.0мм/80х3,0мм</v>
      </c>
      <c r="D2874" s="15" t="s">
        <v>6</v>
      </c>
      <c r="E2874" s="15" t="s">
        <v>3852</v>
      </c>
      <c r="F2874" s="91" t="s">
        <v>344</v>
      </c>
      <c r="G2874" s="4"/>
      <c r="H2874" s="4"/>
      <c r="I2874" s="4"/>
    </row>
    <row r="2875" spans="1:9" ht="15">
      <c r="A2875" s="21">
        <f t="shared" si="51"/>
        <v>24</v>
      </c>
      <c r="B2875" s="14" t="s">
        <v>3853</v>
      </c>
      <c r="C2875" s="85" t="str">
        <f ca="1">IFERROR(__xludf.DUMMYFUNCTION("GOOGLETRANSLATE(B2875:B2890,""RU"",""UK"")"),"Фреза відрізна Р6М5 80х3, 5мм")</f>
        <v>Фреза відрізна Р6М5 80х3, 5мм</v>
      </c>
      <c r="D2875" s="15" t="s">
        <v>6</v>
      </c>
      <c r="E2875" s="15">
        <v>120</v>
      </c>
      <c r="F2875" s="91" t="s">
        <v>344</v>
      </c>
      <c r="G2875" s="4"/>
      <c r="H2875" s="4"/>
      <c r="I2875" s="4"/>
    </row>
    <row r="2876" spans="1:9" ht="15">
      <c r="A2876" s="21">
        <f t="shared" si="51"/>
        <v>25</v>
      </c>
      <c r="B2876" s="14" t="s">
        <v>3854</v>
      </c>
      <c r="C2876" s="85" t="str">
        <f ca="1">IFERROR(__xludf.DUMMYFUNCTION("GOOGLETRANSLATE(B2876:B2891,""RU"",""UK"")"),"Фреза відрізна Р6М5 80х4.0мм")</f>
        <v>Фреза відрізна Р6М5 80х4.0мм</v>
      </c>
      <c r="D2876" s="15" t="s">
        <v>6</v>
      </c>
      <c r="E2876" s="15">
        <v>31</v>
      </c>
      <c r="F2876" s="91" t="s">
        <v>194</v>
      </c>
      <c r="G2876" s="4"/>
      <c r="H2876" s="4"/>
      <c r="I2876" s="4"/>
    </row>
    <row r="2877" spans="1:9" ht="15">
      <c r="A2877" s="21">
        <f t="shared" si="51"/>
        <v>26</v>
      </c>
      <c r="B2877" s="14" t="s">
        <v>3855</v>
      </c>
      <c r="C2877" s="85" t="str">
        <f ca="1">IFERROR(__xludf.DUMMYFUNCTION("GOOGLETRANSLATE(B2877:B2892,""RU"",""UK"")"),"Фреза відрізна Р6М5 100х1,0мм")</f>
        <v>Фреза відрізна Р6М5 100х1,0мм</v>
      </c>
      <c r="D2877" s="15" t="s">
        <v>6</v>
      </c>
      <c r="E2877" s="15">
        <v>128</v>
      </c>
      <c r="F2877" s="91" t="s">
        <v>539</v>
      </c>
      <c r="G2877" s="4"/>
      <c r="H2877" s="4"/>
      <c r="I2877" s="4"/>
    </row>
    <row r="2878" spans="1:9" ht="15">
      <c r="A2878" s="21">
        <f t="shared" si="51"/>
        <v>27</v>
      </c>
      <c r="B2878" s="14" t="s">
        <v>3856</v>
      </c>
      <c r="C2878" s="85" t="str">
        <f ca="1">IFERROR(__xludf.DUMMYFUNCTION("GOOGLETRANSLATE(B2878:B2893,""RU"",""UK"")"),"Фреза відрізна Р6М5 100х1,2мм/100х1.4мм")</f>
        <v>Фреза відрізна Р6М5 100х1,2мм/100х1.4мм</v>
      </c>
      <c r="D2878" s="15" t="s">
        <v>6</v>
      </c>
      <c r="E2878" s="15" t="s">
        <v>3857</v>
      </c>
      <c r="F2878" s="91" t="s">
        <v>2404</v>
      </c>
      <c r="G2878" s="4"/>
      <c r="H2878" s="4"/>
      <c r="I2878" s="4"/>
    </row>
    <row r="2879" spans="1:9" ht="15">
      <c r="A2879" s="21">
        <f t="shared" si="51"/>
        <v>28</v>
      </c>
      <c r="B2879" s="14" t="s">
        <v>3858</v>
      </c>
      <c r="C2879" s="85" t="str">
        <f ca="1">IFERROR(__xludf.DUMMYFUNCTION("GOOGLETRANSLATE(B2879:B2894,""RU"",""UK"")"),"Фреза відрізна Р6М5 100х1, 6мм")</f>
        <v>Фреза відрізна Р6М5 100х1, 6мм</v>
      </c>
      <c r="D2879" s="15" t="s">
        <v>6</v>
      </c>
      <c r="E2879" s="15">
        <v>126</v>
      </c>
      <c r="F2879" s="91" t="s">
        <v>319</v>
      </c>
      <c r="G2879" s="4"/>
      <c r="H2879" s="4"/>
      <c r="I2879" s="4"/>
    </row>
    <row r="2880" spans="1:9" ht="15">
      <c r="A2880" s="21">
        <f t="shared" si="51"/>
        <v>29</v>
      </c>
      <c r="B2880" s="14" t="s">
        <v>3859</v>
      </c>
      <c r="C2880" s="85" t="str">
        <f ca="1">IFERROR(__xludf.DUMMYFUNCTION("GOOGLETRANSLATE(B2880:B2895,""RU"",""UK"")"),"Фреза відрізна Р6М5 100х2, 0мм")</f>
        <v>Фреза відрізна Р6М5 100х2, 0мм</v>
      </c>
      <c r="D2880" s="15" t="s">
        <v>6</v>
      </c>
      <c r="E2880" s="15">
        <v>116</v>
      </c>
      <c r="F2880" s="91" t="s">
        <v>515</v>
      </c>
      <c r="G2880" s="4"/>
      <c r="H2880" s="4"/>
      <c r="I2880" s="4"/>
    </row>
    <row r="2881" spans="1:9" ht="15">
      <c r="A2881" s="21">
        <f t="shared" si="51"/>
        <v>30</v>
      </c>
      <c r="B2881" s="14" t="s">
        <v>3860</v>
      </c>
      <c r="C2881" s="85" t="str">
        <f ca="1">IFERROR(__xludf.DUMMYFUNCTION("GOOGLETRANSLATE(B2881:B2896,""RU"",""UK"")"),"Фреза відрізна Р6М5 100х2, 5мм / 100х2. 8мм")</f>
        <v>Фреза відрізна Р6М5 100х2, 5мм / 100х2. 8мм</v>
      </c>
      <c r="D2881" s="15" t="s">
        <v>6</v>
      </c>
      <c r="E2881" s="15" t="s">
        <v>3861</v>
      </c>
      <c r="F2881" s="91" t="s">
        <v>327</v>
      </c>
      <c r="G2881" s="4"/>
      <c r="H2881" s="4"/>
      <c r="I2881" s="4"/>
    </row>
    <row r="2882" spans="1:9" ht="15">
      <c r="A2882" s="21">
        <f t="shared" si="51"/>
        <v>31</v>
      </c>
      <c r="B2882" s="14" t="s">
        <v>3862</v>
      </c>
      <c r="C2882" s="85" t="str">
        <f ca="1">IFERROR(__xludf.DUMMYFUNCTION("GOOGLETRANSLATE(B2882:B2897,""RU"",""UK"")"),"Фреза відрізна Р6М5 100х3, 0мм / 100х3, 5мм")</f>
        <v>Фреза відрізна Р6М5 100х3, 0мм / 100х3, 5мм</v>
      </c>
      <c r="D2882" s="15" t="s">
        <v>6</v>
      </c>
      <c r="E2882" s="15" t="s">
        <v>3863</v>
      </c>
      <c r="F2882" s="91" t="s">
        <v>140</v>
      </c>
      <c r="G2882" s="4"/>
      <c r="H2882" s="4"/>
      <c r="I2882" s="4"/>
    </row>
    <row r="2883" spans="1:9" ht="15">
      <c r="A2883" s="21">
        <f t="shared" si="51"/>
        <v>32</v>
      </c>
      <c r="B2883" s="14" t="s">
        <v>3864</v>
      </c>
      <c r="C2883" s="85" t="str">
        <f ca="1">IFERROR(__xludf.DUMMYFUNCTION("GOOGLETRANSLATE(B2883:B2898,""RU"",""UK"")"),"Фреза відрізна Р6М5 100х4, 0мм")</f>
        <v>Фреза відрізна Р6М5 100х4, 0мм</v>
      </c>
      <c r="D2883" s="15" t="s">
        <v>6</v>
      </c>
      <c r="E2883" s="15">
        <v>36</v>
      </c>
      <c r="F2883" s="91" t="s">
        <v>569</v>
      </c>
      <c r="G2883" s="4"/>
      <c r="H2883" s="4"/>
      <c r="I2883" s="4"/>
    </row>
    <row r="2884" spans="1:9" ht="15">
      <c r="A2884" s="21">
        <f t="shared" si="51"/>
        <v>33</v>
      </c>
      <c r="B2884" s="14" t="s">
        <v>3865</v>
      </c>
      <c r="C2884" s="85" t="str">
        <f ca="1">IFERROR(__xludf.DUMMYFUNCTION("GOOGLETRANSLATE(B2884:B2899,""RU"",""UK"")"),"Фреза відрізна Р6М5 125х1, 4мм тип 2")</f>
        <v>Фреза відрізна Р6М5 125х1, 4мм тип 2</v>
      </c>
      <c r="D2884" s="15" t="s">
        <v>6</v>
      </c>
      <c r="E2884" s="15">
        <v>5</v>
      </c>
      <c r="F2884" s="91" t="s">
        <v>24</v>
      </c>
      <c r="G2884" s="4"/>
      <c r="H2884" s="4"/>
      <c r="I2884" s="4"/>
    </row>
    <row r="2885" spans="1:9" ht="15">
      <c r="A2885" s="21">
        <f t="shared" si="51"/>
        <v>34</v>
      </c>
      <c r="B2885" s="14" t="s">
        <v>3866</v>
      </c>
      <c r="C2885" s="85" t="str">
        <f ca="1">IFERROR(__xludf.DUMMYFUNCTION("GOOGLETRANSLATE(B2885:B2900,""RU"",""UK"")"),"Фреза відрізна Р6М5 125х1, 6мм")</f>
        <v>Фреза відрізна Р6М5 125х1, 6мм</v>
      </c>
      <c r="D2885" s="15" t="s">
        <v>6</v>
      </c>
      <c r="E2885" s="15">
        <v>74</v>
      </c>
      <c r="F2885" s="91" t="s">
        <v>24</v>
      </c>
      <c r="G2885" s="4"/>
      <c r="H2885" s="4"/>
      <c r="I2885" s="4"/>
    </row>
    <row r="2886" spans="1:9" ht="15">
      <c r="A2886" s="21">
        <f t="shared" si="51"/>
        <v>35</v>
      </c>
      <c r="B2886" s="14" t="s">
        <v>3867</v>
      </c>
      <c r="C2886" s="85" t="str">
        <f ca="1">IFERROR(__xludf.DUMMYFUNCTION("GOOGLETRANSLATE(B2886:B2901,""RU"",""UK"")"),"Фреза відрізна Р6М5 125х2, 0мм / 125х2 тип 1")</f>
        <v>Фреза відрізна Р6М5 125х2, 0мм / 125х2 тип 1</v>
      </c>
      <c r="D2886" s="15" t="s">
        <v>6</v>
      </c>
      <c r="E2886" s="15" t="s">
        <v>2571</v>
      </c>
      <c r="F2886" s="91" t="s">
        <v>162</v>
      </c>
      <c r="G2886" s="4"/>
      <c r="H2886" s="4"/>
      <c r="I2886" s="4"/>
    </row>
    <row r="2887" spans="1:9" ht="15">
      <c r="A2887" s="21">
        <f t="shared" si="51"/>
        <v>36</v>
      </c>
      <c r="B2887" s="14" t="s">
        <v>3868</v>
      </c>
      <c r="C2887" s="85" t="str">
        <f ca="1">IFERROR(__xludf.DUMMYFUNCTION("GOOGLETRANSLATE(B2887:B2902,""RU"",""UK"")"),"Фреза відрізна Р6М5 125х2, 5мм / 125х2, 5 тип 3")</f>
        <v>Фреза відрізна Р6М5 125х2, 5мм / 125х2, 5 тип 3</v>
      </c>
      <c r="D2887" s="15" t="s">
        <v>6</v>
      </c>
      <c r="E2887" s="15" t="s">
        <v>1993</v>
      </c>
      <c r="F2887" s="91" t="s">
        <v>106</v>
      </c>
      <c r="G2887" s="4"/>
      <c r="H2887" s="4"/>
      <c r="I2887" s="4"/>
    </row>
    <row r="2888" spans="1:9" ht="15">
      <c r="A2888" s="21">
        <f t="shared" si="51"/>
        <v>37</v>
      </c>
      <c r="B2888" s="14" t="s">
        <v>3869</v>
      </c>
      <c r="C2888" s="85" t="str">
        <f ca="1">IFERROR(__xludf.DUMMYFUNCTION("GOOGLETRANSLATE(B2888:B2903,""RU"",""UK"")"),"Фреза відрізна Р6М5 125х3, 0мм Тип 1")</f>
        <v>Фреза відрізна Р6М5 125х3, 0мм Тип 1</v>
      </c>
      <c r="D2888" s="15" t="s">
        <v>6</v>
      </c>
      <c r="E2888" s="15">
        <v>2</v>
      </c>
      <c r="F2888" s="91" t="s">
        <v>16</v>
      </c>
      <c r="G2888" s="4"/>
      <c r="H2888" s="4"/>
      <c r="I2888" s="4"/>
    </row>
    <row r="2889" spans="1:9" ht="15">
      <c r="A2889" s="21">
        <f t="shared" si="51"/>
        <v>38</v>
      </c>
      <c r="B2889" s="14" t="s">
        <v>3870</v>
      </c>
      <c r="C2889" s="85" t="str">
        <f ca="1">IFERROR(__xludf.DUMMYFUNCTION("GOOGLETRANSLATE(B2889:B2904,""RU"",""UK"")"),"Фреза відрізна Р6М5 125х3, 5мм")</f>
        <v>Фреза відрізна Р6М5 125х3, 5мм</v>
      </c>
      <c r="D2889" s="15" t="s">
        <v>6</v>
      </c>
      <c r="E2889" s="15">
        <v>28</v>
      </c>
      <c r="F2889" s="91" t="s">
        <v>16</v>
      </c>
      <c r="G2889" s="4"/>
      <c r="H2889" s="4"/>
      <c r="I2889" s="4"/>
    </row>
    <row r="2890" spans="1:9" ht="15">
      <c r="A2890" s="21">
        <f t="shared" si="51"/>
        <v>39</v>
      </c>
      <c r="B2890" s="14" t="s">
        <v>3871</v>
      </c>
      <c r="C2890" s="85" t="str">
        <f ca="1">IFERROR(__xludf.DUMMYFUNCTION("GOOGLETRANSLATE(B2890:B2905,""RU"",""UK"")"),"Фреза відрізна Р6М5 125х4, 0мм")</f>
        <v>Фреза відрізна Р6М5 125х4, 0мм</v>
      </c>
      <c r="D2890" s="15" t="s">
        <v>6</v>
      </c>
      <c r="E2890" s="15">
        <v>19</v>
      </c>
      <c r="F2890" s="91" t="s">
        <v>1771</v>
      </c>
      <c r="G2890" s="4"/>
      <c r="H2890" s="4"/>
      <c r="I2890" s="4"/>
    </row>
    <row r="2891" spans="1:9" ht="15">
      <c r="A2891" s="21">
        <f t="shared" si="51"/>
        <v>40</v>
      </c>
      <c r="B2891" s="14" t="s">
        <v>3872</v>
      </c>
      <c r="C2891" s="85" t="str">
        <f ca="1">IFERROR(__xludf.DUMMYFUNCTION("GOOGLETRANSLATE(B2891:B2906,""RU"",""UK"")"),"Фреза відрізна Р6М5 160х1, 6мм")</f>
        <v>Фреза відрізна Р6М5 160х1, 6мм</v>
      </c>
      <c r="D2891" s="15" t="s">
        <v>6</v>
      </c>
      <c r="E2891" s="15">
        <v>45</v>
      </c>
      <c r="F2891" s="91" t="s">
        <v>413</v>
      </c>
      <c r="G2891" s="4"/>
      <c r="H2891" s="4"/>
      <c r="I2891" s="4"/>
    </row>
    <row r="2892" spans="1:9" ht="15">
      <c r="A2892" s="21">
        <f t="shared" si="51"/>
        <v>41</v>
      </c>
      <c r="B2892" s="14" t="s">
        <v>3873</v>
      </c>
      <c r="C2892" s="85" t="str">
        <f ca="1">IFERROR(__xludf.DUMMYFUNCTION("GOOGLETRANSLATE(B2892:B2907,""RU"",""UK"")"),"Фреза відрізна Р6М5 160х2, 0мм тип2 / 160х2, 0мм тип3")</f>
        <v>Фреза відрізна Р6М5 160х2, 0мм тип2 / 160х2, 0мм тип3</v>
      </c>
      <c r="D2892" s="15" t="s">
        <v>6</v>
      </c>
      <c r="E2892" s="15" t="s">
        <v>710</v>
      </c>
      <c r="F2892" s="91" t="s">
        <v>36</v>
      </c>
      <c r="G2892" s="4"/>
      <c r="H2892" s="4"/>
      <c r="I2892" s="4"/>
    </row>
    <row r="2893" spans="1:9" ht="15">
      <c r="A2893" s="21">
        <f t="shared" si="51"/>
        <v>42</v>
      </c>
      <c r="B2893" s="14" t="s">
        <v>3874</v>
      </c>
      <c r="C2893" s="85" t="str">
        <f ca="1">IFERROR(__xludf.DUMMYFUNCTION("GOOGLETRANSLATE(B2893:B2908,""RU"",""UK"")"),"Фреза відрізна Р6М5 160х2, 5мм")</f>
        <v>Фреза відрізна Р6М5 160х2, 5мм</v>
      </c>
      <c r="D2893" s="15" t="s">
        <v>6</v>
      </c>
      <c r="E2893" s="15">
        <v>2</v>
      </c>
      <c r="F2893" s="91" t="s">
        <v>27</v>
      </c>
      <c r="G2893" s="4"/>
      <c r="H2893" s="4"/>
      <c r="I2893" s="4"/>
    </row>
    <row r="2894" spans="1:9" ht="15">
      <c r="A2894" s="21">
        <f t="shared" si="51"/>
        <v>43</v>
      </c>
      <c r="B2894" s="14" t="s">
        <v>3875</v>
      </c>
      <c r="C2894" s="85" t="str">
        <f ca="1">IFERROR(__xludf.DUMMYFUNCTION("GOOGLETRANSLATE(B2894:B2909,""RU"",""UK"")"),"Фреза відрізна Р6М5 160х3, 0мм")</f>
        <v>Фреза відрізна Р6М5 160х3, 0мм</v>
      </c>
      <c r="D2894" s="15" t="s">
        <v>6</v>
      </c>
      <c r="E2894" s="15">
        <v>18</v>
      </c>
      <c r="F2894" s="91" t="s">
        <v>27</v>
      </c>
      <c r="G2894" s="4"/>
      <c r="H2894" s="4"/>
      <c r="I2894" s="4"/>
    </row>
    <row r="2895" spans="1:9" ht="15">
      <c r="A2895" s="21">
        <f t="shared" si="51"/>
        <v>44</v>
      </c>
      <c r="B2895" s="14" t="s">
        <v>3876</v>
      </c>
      <c r="C2895" s="85" t="str">
        <f ca="1">IFERROR(__xludf.DUMMYFUNCTION("GOOGLETRANSLATE(B2895:B2910,""RU"",""UK"")"),"Фреза відрізна Р6М5 160х3, 5мм")</f>
        <v>Фреза відрізна Р6М5 160х3, 5мм</v>
      </c>
      <c r="D2895" s="15" t="s">
        <v>6</v>
      </c>
      <c r="E2895" s="15">
        <v>18</v>
      </c>
      <c r="F2895" s="91" t="s">
        <v>27</v>
      </c>
      <c r="G2895" s="4"/>
      <c r="H2895" s="4"/>
      <c r="I2895" s="4"/>
    </row>
    <row r="2896" spans="1:9" ht="15">
      <c r="A2896" s="21">
        <f t="shared" si="51"/>
        <v>45</v>
      </c>
      <c r="B2896" s="14" t="s">
        <v>3877</v>
      </c>
      <c r="C2896" s="85" t="str">
        <f ca="1">IFERROR(__xludf.DUMMYFUNCTION("GOOGLETRANSLATE(B2896:B2911,""RU"",""UK"")"),"Фреза відрізна Р6М5 160х4, 0мм / 160х4, 5мм")</f>
        <v>Фреза відрізна Р6М5 160х4, 0мм / 160х4, 5мм</v>
      </c>
      <c r="D2896" s="15" t="s">
        <v>6</v>
      </c>
      <c r="E2896" s="15" t="s">
        <v>324</v>
      </c>
      <c r="F2896" s="91" t="s">
        <v>842</v>
      </c>
      <c r="G2896" s="4"/>
      <c r="H2896" s="4"/>
      <c r="I2896" s="4"/>
    </row>
    <row r="2897" spans="1:9" ht="15">
      <c r="A2897" s="21">
        <f t="shared" si="51"/>
        <v>46</v>
      </c>
      <c r="B2897" s="19" t="s">
        <v>3878</v>
      </c>
      <c r="C2897" s="85" t="str">
        <f ca="1">IFERROR(__xludf.DUMMYFUNCTION("GOOGLETRANSLATE(B2897:B2912,""RU"",""UK"")"),"Фреза відрізна Р6М5 200х2, 0мм / 200х2, 5мм")</f>
        <v>Фреза відрізна Р6М5 200х2, 0мм / 200х2, 5мм</v>
      </c>
      <c r="D2897" s="15" t="s">
        <v>6</v>
      </c>
      <c r="E2897" s="15" t="s">
        <v>3879</v>
      </c>
      <c r="F2897" s="91" t="s">
        <v>100</v>
      </c>
      <c r="G2897" s="4"/>
      <c r="H2897" s="4"/>
      <c r="I2897" s="4"/>
    </row>
    <row r="2898" spans="1:9" ht="15">
      <c r="A2898" s="21">
        <f t="shared" si="51"/>
        <v>47</v>
      </c>
      <c r="B2898" s="16" t="s">
        <v>3880</v>
      </c>
      <c r="C2898" s="85" t="str">
        <f ca="1">IFERROR(__xludf.DUMMYFUNCTION("GOOGLETRANSLATE(B2898:B2913,""RU"",""UK"")"),"Фреза відрізна Р6М5 200х3, 0мм")</f>
        <v>Фреза відрізна Р6М5 200х3, 0мм</v>
      </c>
      <c r="D2898" s="15" t="s">
        <v>6</v>
      </c>
      <c r="E2898" s="15">
        <v>6</v>
      </c>
      <c r="F2898" s="91" t="s">
        <v>283</v>
      </c>
      <c r="G2898" s="4"/>
      <c r="H2898" s="4"/>
      <c r="I2898" s="4"/>
    </row>
    <row r="2899" spans="1:9" ht="15">
      <c r="A2899" s="21">
        <f t="shared" si="51"/>
        <v>48</v>
      </c>
      <c r="B2899" s="14" t="s">
        <v>3881</v>
      </c>
      <c r="C2899" s="85" t="str">
        <f ca="1">IFERROR(__xludf.DUMMYFUNCTION("GOOGLETRANSLATE(B2899:B2914,""RU"",""UK"")"),"Фреза відрізна Р6М5 200х3, 5мм")</f>
        <v>Фреза відрізна Р6М5 200х3, 5мм</v>
      </c>
      <c r="D2899" s="15" t="s">
        <v>6</v>
      </c>
      <c r="E2899" s="15">
        <v>38</v>
      </c>
      <c r="F2899" s="91" t="s">
        <v>1874</v>
      </c>
      <c r="G2899" s="4"/>
      <c r="H2899" s="4"/>
      <c r="I2899" s="4"/>
    </row>
    <row r="2900" spans="1:9" ht="15">
      <c r="A2900" s="21">
        <f t="shared" si="51"/>
        <v>49</v>
      </c>
      <c r="B2900" s="14" t="s">
        <v>3882</v>
      </c>
      <c r="C2900" s="85" t="str">
        <f ca="1">IFERROR(__xludf.DUMMYFUNCTION("GOOGLETRANSLATE(B2900:B2915,""RU"",""UK"")"),"Фреза відрізна Р6М5 200х4, 0мм")</f>
        <v>Фреза відрізна Р6М5 200х4, 0мм</v>
      </c>
      <c r="D2900" s="15" t="s">
        <v>6</v>
      </c>
      <c r="E2900" s="15">
        <v>9</v>
      </c>
      <c r="F2900" s="91" t="s">
        <v>102</v>
      </c>
      <c r="G2900" s="4"/>
      <c r="H2900" s="4"/>
      <c r="I2900" s="4"/>
    </row>
    <row r="2901" spans="1:9" ht="15">
      <c r="A2901" s="21">
        <f t="shared" si="51"/>
        <v>50</v>
      </c>
      <c r="B2901" s="14" t="s">
        <v>3883</v>
      </c>
      <c r="C2901" s="85" t="str">
        <f ca="1">IFERROR(__xludf.DUMMYFUNCTION("GOOGLETRANSLATE(B2901:B2916,""RU"",""UK"")"),"Фреза відрізна Р6М5 200х4, 5мм")</f>
        <v>Фреза відрізна Р6М5 200х4, 5мм</v>
      </c>
      <c r="D2901" s="15" t="s">
        <v>6</v>
      </c>
      <c r="E2901" s="15">
        <v>33</v>
      </c>
      <c r="F2901" s="91" t="s">
        <v>1086</v>
      </c>
      <c r="G2901" s="4"/>
      <c r="H2901" s="4"/>
      <c r="I2901" s="4"/>
    </row>
    <row r="2902" spans="1:9" ht="15">
      <c r="A2902" s="21">
        <f t="shared" si="51"/>
        <v>51</v>
      </c>
      <c r="B2902" s="14" t="s">
        <v>3884</v>
      </c>
      <c r="C2902" s="85" t="str">
        <f ca="1">IFERROR(__xludf.DUMMYFUNCTION("GOOGLETRANSLATE(B2902:B2917,""RU"",""UK"")"),"Фреза відрізна Р6М5 200х5,0мм / 200х5 б/в")</f>
        <v>Фреза відрізна Р6М5 200х5,0мм / 200х5 б/в</v>
      </c>
      <c r="D2902" s="15" t="s">
        <v>6</v>
      </c>
      <c r="E2902" s="15" t="s">
        <v>3885</v>
      </c>
      <c r="F2902" s="91" t="s">
        <v>3886</v>
      </c>
      <c r="G2902" s="4"/>
      <c r="H2902" s="4"/>
      <c r="I2902" s="4"/>
    </row>
    <row r="2903" spans="1:9" ht="15">
      <c r="A2903" s="21">
        <f t="shared" si="51"/>
        <v>52</v>
      </c>
      <c r="B2903" s="14" t="s">
        <v>3887</v>
      </c>
      <c r="C2903" s="85" t="str">
        <f ca="1">IFERROR(__xludf.DUMMYFUNCTION("GOOGLETRANSLATE(B2903:B2918,""RU"",""UK"")"),"Фреза відрізна Р6М5 200х5, 5мм")</f>
        <v>Фреза відрізна Р6М5 200х5, 5мм</v>
      </c>
      <c r="D2903" s="15" t="s">
        <v>6</v>
      </c>
      <c r="E2903" s="15">
        <v>2</v>
      </c>
      <c r="F2903" s="91" t="s">
        <v>88</v>
      </c>
      <c r="G2903" s="4"/>
      <c r="H2903" s="4"/>
      <c r="I2903" s="4"/>
    </row>
    <row r="2904" spans="1:9" ht="15">
      <c r="A2904" s="21">
        <f t="shared" si="51"/>
        <v>53</v>
      </c>
      <c r="B2904" s="14" t="s">
        <v>3888</v>
      </c>
      <c r="C2904" s="85" t="str">
        <f ca="1">IFERROR(__xludf.DUMMYFUNCTION("GOOGLETRANSLATE(B2904:B2919,""RU"",""UK"")"),"Фреза відрізна Р6М5 200х6, 0мм")</f>
        <v>Фреза відрізна Р6М5 200х6, 0мм</v>
      </c>
      <c r="D2904" s="15" t="s">
        <v>6</v>
      </c>
      <c r="E2904" s="15">
        <v>2</v>
      </c>
      <c r="F2904" s="91" t="s">
        <v>29</v>
      </c>
      <c r="G2904" s="4"/>
      <c r="H2904" s="4"/>
      <c r="I2904" s="4"/>
    </row>
    <row r="2905" spans="1:9" ht="15">
      <c r="A2905" s="68"/>
      <c r="B2905" s="69"/>
      <c r="C2905" s="110" t="s">
        <v>6041</v>
      </c>
      <c r="D2905" s="69"/>
      <c r="E2905" s="69"/>
      <c r="F2905" s="106"/>
      <c r="G2905" s="4"/>
      <c r="H2905" s="4"/>
      <c r="I2905" s="4"/>
    </row>
    <row r="2906" spans="1:9" ht="15">
      <c r="A2906" s="13">
        <v>1</v>
      </c>
      <c r="B2906" s="14" t="s">
        <v>3889</v>
      </c>
      <c r="C2906" s="85" t="str">
        <f ca="1">IFERROR(__xludf.DUMMYFUNCTION("GOOGLETRANSLATE(B2906:B2921,""RU"",""UK"")"),"Фреза шпонкова М2 ц/хв")</f>
        <v>Фреза шпонкова М2 ц/хв</v>
      </c>
      <c r="D2906" s="15" t="s">
        <v>6</v>
      </c>
      <c r="E2906" s="15">
        <v>321</v>
      </c>
      <c r="F2906" s="91" t="s">
        <v>292</v>
      </c>
      <c r="G2906" s="4"/>
      <c r="H2906" s="4"/>
      <c r="I2906" s="4"/>
    </row>
    <row r="2907" spans="1:9" ht="15">
      <c r="A2907" s="13">
        <f>A2906+1</f>
        <v>2</v>
      </c>
      <c r="B2907" s="14" t="s">
        <v>3890</v>
      </c>
      <c r="C2907" s="85" t="str">
        <f ca="1">IFERROR(__xludf.DUMMYFUNCTION("GOOGLETRANSLATE(B2907:B2922,""RU"",""UK"")"),"Фреза шпонкова М3 ц/хв")</f>
        <v>Фреза шпонкова М3 ц/хв</v>
      </c>
      <c r="D2907" s="15" t="s">
        <v>6</v>
      </c>
      <c r="E2907" s="15">
        <v>334</v>
      </c>
      <c r="F2907" s="91" t="s">
        <v>134</v>
      </c>
      <c r="G2907" s="4"/>
      <c r="H2907" s="4"/>
      <c r="I2907" s="4"/>
    </row>
    <row r="2908" spans="1:9" ht="15">
      <c r="A2908" s="21">
        <f t="shared" ref="A2908:A2930" si="52">A2907+1</f>
        <v>3</v>
      </c>
      <c r="B2908" s="14" t="s">
        <v>3891</v>
      </c>
      <c r="C2908" s="85" t="str">
        <f ca="1">IFERROR(__xludf.DUMMYFUNCTION("GOOGLETRANSLATE(B2908:B2923,""RU"",""UK"")"),"Фреза шпонкова М4 ц/хв")</f>
        <v>Фреза шпонкова М4 ц/хв</v>
      </c>
      <c r="D2908" s="15" t="s">
        <v>6</v>
      </c>
      <c r="E2908" s="15">
        <v>590</v>
      </c>
      <c r="F2908" s="91" t="s">
        <v>169</v>
      </c>
      <c r="G2908" s="4"/>
      <c r="H2908" s="4"/>
      <c r="I2908" s="4"/>
    </row>
    <row r="2909" spans="1:9" ht="15">
      <c r="A2909" s="21">
        <f t="shared" si="52"/>
        <v>4</v>
      </c>
      <c r="B2909" s="16" t="s">
        <v>3892</v>
      </c>
      <c r="C2909" s="85" t="str">
        <f ca="1">IFERROR(__xludf.DUMMYFUNCTION("GOOGLETRANSLATE(B2909:B2924,""RU"",""UK"")"),"Фреза шпонкова М5 ц/хв")</f>
        <v>Фреза шпонкова М5 ц/хв</v>
      </c>
      <c r="D2909" s="15" t="s">
        <v>6</v>
      </c>
      <c r="E2909" s="15">
        <v>74</v>
      </c>
      <c r="F2909" s="91" t="s">
        <v>255</v>
      </c>
      <c r="G2909" s="4"/>
      <c r="H2909" s="4"/>
      <c r="I2909" s="4"/>
    </row>
    <row r="2910" spans="1:9" ht="15">
      <c r="A2910" s="21">
        <f t="shared" si="52"/>
        <v>5</v>
      </c>
      <c r="B2910" s="14" t="s">
        <v>3893</v>
      </c>
      <c r="C2910" s="85" t="str">
        <f ca="1">IFERROR(__xludf.DUMMYFUNCTION("GOOGLETRANSLATE(B2910:B2925,""RU"",""UK"")"),"Фреза шпонкова М6 ц/хв/М6,6ц/хв")</f>
        <v>Фреза шпонкова М6 ц/хв/М6,6ц/хв</v>
      </c>
      <c r="D2910" s="15" t="s">
        <v>6</v>
      </c>
      <c r="E2910" s="15" t="s">
        <v>3894</v>
      </c>
      <c r="F2910" s="91" t="s">
        <v>226</v>
      </c>
      <c r="G2910" s="4"/>
      <c r="H2910" s="4"/>
      <c r="I2910" s="4"/>
    </row>
    <row r="2911" spans="1:9" ht="15">
      <c r="A2911" s="21">
        <f t="shared" si="52"/>
        <v>6</v>
      </c>
      <c r="B2911" s="16" t="s">
        <v>3895</v>
      </c>
      <c r="C2911" s="85" t="str">
        <f ca="1">IFERROR(__xludf.DUMMYFUNCTION("GOOGLETRANSLATE(B2911:B2926,""RU"",""UK"")"),"Фреза шпонкова М7 ц/хв / М8 ц/хв")</f>
        <v>Фреза шпонкова М7 ц/хв / М8 ц/хв</v>
      </c>
      <c r="D2911" s="15" t="s">
        <v>6</v>
      </c>
      <c r="E2911" s="15" t="s">
        <v>3896</v>
      </c>
      <c r="F2911" s="91" t="s">
        <v>185</v>
      </c>
      <c r="G2911" s="4"/>
      <c r="H2911" s="4"/>
      <c r="I2911" s="4"/>
    </row>
    <row r="2912" spans="1:9" ht="15">
      <c r="A2912" s="21">
        <f t="shared" si="52"/>
        <v>7</v>
      </c>
      <c r="B2912" s="14" t="s">
        <v>3897</v>
      </c>
      <c r="C2912" s="85" t="str">
        <f ca="1">IFERROR(__xludf.DUMMYFUNCTION("GOOGLETRANSLATE(B2912:B2927,""RU"",""UK"")"),"Фреза шпонкова М10 ц/хв")</f>
        <v>Фреза шпонкова М10 ц/хв</v>
      </c>
      <c r="D2912" s="15" t="s">
        <v>6</v>
      </c>
      <c r="E2912" s="15">
        <v>40</v>
      </c>
      <c r="F2912" s="91" t="s">
        <v>344</v>
      </c>
      <c r="G2912" s="4"/>
      <c r="H2912" s="4"/>
      <c r="I2912" s="4"/>
    </row>
    <row r="2913" spans="1:9" ht="15">
      <c r="A2913" s="21">
        <f t="shared" si="52"/>
        <v>8</v>
      </c>
      <c r="B2913" s="14" t="s">
        <v>3898</v>
      </c>
      <c r="C2913" s="85" t="str">
        <f ca="1">IFERROR(__xludf.DUMMYFUNCTION("GOOGLETRANSLATE(B2913:B2928,""RU"",""UK"")"),"Фреза шпонкова М12 ц/хв / М13ц/хв")</f>
        <v>Фреза шпонкова М12 ц/хв / М13ц/хв</v>
      </c>
      <c r="D2913" s="15" t="s">
        <v>6</v>
      </c>
      <c r="E2913" s="15" t="s">
        <v>3899</v>
      </c>
      <c r="F2913" s="91" t="s">
        <v>539</v>
      </c>
      <c r="G2913" s="4"/>
      <c r="H2913" s="4"/>
      <c r="I2913" s="4"/>
    </row>
    <row r="2914" spans="1:9" ht="15">
      <c r="A2914" s="21">
        <f t="shared" si="52"/>
        <v>9</v>
      </c>
      <c r="B2914" s="14" t="s">
        <v>3900</v>
      </c>
      <c r="C2914" s="85" t="str">
        <f ca="1">IFERROR(__xludf.DUMMYFUNCTION("GOOGLETRANSLATE(B2914:B2929,""RU"",""UK"")"),"Фреза шпонкова М14 ц/хв")</f>
        <v>Фреза шпонкова М14 ц/хв</v>
      </c>
      <c r="D2914" s="15" t="s">
        <v>6</v>
      </c>
      <c r="E2914" s="15">
        <v>20</v>
      </c>
      <c r="F2914" s="91" t="s">
        <v>319</v>
      </c>
      <c r="G2914" s="4"/>
      <c r="H2914" s="4"/>
      <c r="I2914" s="4"/>
    </row>
    <row r="2915" spans="1:9" ht="15">
      <c r="A2915" s="21">
        <f t="shared" si="52"/>
        <v>10</v>
      </c>
      <c r="B2915" s="16" t="s">
        <v>3901</v>
      </c>
      <c r="C2915" s="85" t="str">
        <f ca="1">IFERROR(__xludf.DUMMYFUNCTION("GOOGLETRANSLATE(B2915:B2930,""RU"",""UK"")"),"Фреза шпонкова М16 ц/хв")</f>
        <v>Фреза шпонкова М16 ц/хв</v>
      </c>
      <c r="D2915" s="15" t="s">
        <v>6</v>
      </c>
      <c r="E2915" s="15">
        <v>18</v>
      </c>
      <c r="F2915" s="91" t="s">
        <v>567</v>
      </c>
      <c r="G2915" s="4"/>
      <c r="H2915" s="4"/>
      <c r="I2915" s="4"/>
    </row>
    <row r="2916" spans="1:9" ht="15">
      <c r="A2916" s="21">
        <f t="shared" si="52"/>
        <v>11</v>
      </c>
      <c r="B2916" s="14" t="s">
        <v>3902</v>
      </c>
      <c r="C2916" s="85" t="str">
        <f ca="1">IFERROR(__xludf.DUMMYFUNCTION("GOOGLETRANSLATE(B2916:B2931,""RU"",""UK"")"),"Фреза шпонкова М18 ц/хв")</f>
        <v>Фреза шпонкова М18 ц/хв</v>
      </c>
      <c r="D2916" s="15" t="s">
        <v>6</v>
      </c>
      <c r="E2916" s="15">
        <v>71</v>
      </c>
      <c r="F2916" s="91" t="s">
        <v>263</v>
      </c>
      <c r="G2916" s="4"/>
      <c r="H2916" s="4"/>
      <c r="I2916" s="4"/>
    </row>
    <row r="2917" spans="1:9" ht="15">
      <c r="A2917" s="21">
        <f t="shared" si="52"/>
        <v>12</v>
      </c>
      <c r="B2917" s="16" t="s">
        <v>3903</v>
      </c>
      <c r="C2917" s="85" t="str">
        <f ca="1">IFERROR(__xludf.DUMMYFUNCTION("GOOGLETRANSLATE(B2917:B2932,""RU"",""UK"")"),"Фреза шпонкова М20 ц/хв")</f>
        <v>Фреза шпонкова М20 ц/хв</v>
      </c>
      <c r="D2917" s="15" t="s">
        <v>6</v>
      </c>
      <c r="E2917" s="15">
        <v>8</v>
      </c>
      <c r="F2917" s="91" t="s">
        <v>1688</v>
      </c>
      <c r="G2917" s="4"/>
      <c r="H2917" s="4"/>
      <c r="I2917" s="4"/>
    </row>
    <row r="2918" spans="1:9" ht="15">
      <c r="A2918" s="21">
        <f t="shared" si="52"/>
        <v>13</v>
      </c>
      <c r="B2918" s="14" t="s">
        <v>3904</v>
      </c>
      <c r="C2918" s="85" t="str">
        <f ca="1">IFERROR(__xludf.DUMMYFUNCTION("GOOGLETRANSLATE(B2918:B2933,""RU"",""UK"")"),"Фреза шпонкова М12 к/хв")</f>
        <v>Фреза шпонкова М12 к/хв</v>
      </c>
      <c r="D2918" s="15" t="s">
        <v>6</v>
      </c>
      <c r="E2918" s="15">
        <v>3</v>
      </c>
      <c r="F2918" s="91" t="s">
        <v>196</v>
      </c>
      <c r="G2918" s="4"/>
      <c r="H2918" s="4"/>
      <c r="I2918" s="4"/>
    </row>
    <row r="2919" spans="1:9" ht="15">
      <c r="A2919" s="21">
        <f t="shared" si="52"/>
        <v>14</v>
      </c>
      <c r="B2919" s="14" t="s">
        <v>3905</v>
      </c>
      <c r="C2919" s="85" t="str">
        <f ca="1">IFERROR(__xludf.DUMMYFUNCTION("GOOGLETRANSLATE(B2919:B2934,""RU"",""UK"")"),"Фреза шпонкова М15 к/хв Р18")</f>
        <v>Фреза шпонкова М15 к/хв Р18</v>
      </c>
      <c r="D2919" s="15" t="s">
        <v>6</v>
      </c>
      <c r="E2919" s="15">
        <v>2</v>
      </c>
      <c r="F2919" s="91" t="s">
        <v>1688</v>
      </c>
      <c r="G2919" s="4"/>
      <c r="H2919" s="4"/>
      <c r="I2919" s="4"/>
    </row>
    <row r="2920" spans="1:9" ht="15">
      <c r="A2920" s="21">
        <f t="shared" si="52"/>
        <v>15</v>
      </c>
      <c r="B2920" s="14" t="s">
        <v>3906</v>
      </c>
      <c r="C2920" s="85" t="str">
        <f ca="1">IFERROR(__xludf.DUMMYFUNCTION("GOOGLETRANSLATE(B2920:B2935,""RU"",""UK"")"),"Фреза шпонкова М16 к/хв")</f>
        <v>Фреза шпонкова М16 к/хв</v>
      </c>
      <c r="D2920" s="15" t="s">
        <v>6</v>
      </c>
      <c r="E2920" s="15">
        <v>210</v>
      </c>
      <c r="F2920" s="91" t="s">
        <v>1688</v>
      </c>
      <c r="G2920" s="4"/>
      <c r="H2920" s="4"/>
      <c r="I2920" s="4"/>
    </row>
    <row r="2921" spans="1:9" ht="15">
      <c r="A2921" s="21">
        <f t="shared" si="52"/>
        <v>16</v>
      </c>
      <c r="B2921" s="14" t="s">
        <v>3907</v>
      </c>
      <c r="C2921" s="85" t="str">
        <f ca="1">IFERROR(__xludf.DUMMYFUNCTION("GOOGLETRANSLATE(B2921:B2936,""RU"",""UK"")"),"Фреза шпонкова М18 к/хв")</f>
        <v>Фреза шпонкова М18 к/хв</v>
      </c>
      <c r="D2921" s="15" t="s">
        <v>6</v>
      </c>
      <c r="E2921" s="15">
        <v>158</v>
      </c>
      <c r="F2921" s="91" t="s">
        <v>3018</v>
      </c>
      <c r="G2921" s="4"/>
      <c r="H2921" s="4"/>
      <c r="I2921" s="4"/>
    </row>
    <row r="2922" spans="1:9" ht="15">
      <c r="A2922" s="21">
        <f t="shared" si="52"/>
        <v>17</v>
      </c>
      <c r="B2922" s="14" t="s">
        <v>3908</v>
      </c>
      <c r="C2922" s="85" t="str">
        <f ca="1">IFERROR(__xludf.DUMMYFUNCTION("GOOGLETRANSLATE(B2922:B2937,""RU"",""UK"")"),"Фреза шпонкова М20 к/хв")</f>
        <v>Фреза шпонкова М20 к/хв</v>
      </c>
      <c r="D2922" s="15" t="s">
        <v>6</v>
      </c>
      <c r="E2922" s="15">
        <v>106</v>
      </c>
      <c r="F2922" s="91" t="s">
        <v>2809</v>
      </c>
      <c r="G2922" s="4"/>
      <c r="H2922" s="4"/>
      <c r="I2922" s="4"/>
    </row>
    <row r="2923" spans="1:9" ht="15">
      <c r="A2923" s="21">
        <f t="shared" si="52"/>
        <v>18</v>
      </c>
      <c r="B2923" s="14" t="s">
        <v>3909</v>
      </c>
      <c r="C2923" s="85" t="str">
        <f ca="1">IFERROR(__xludf.DUMMYFUNCTION("GOOGLETRANSLATE(B2923:B2938,""RU"",""UK"")"),"Фреза шпонкова М22 к/хв")</f>
        <v>Фреза шпонкова М22 к/хв</v>
      </c>
      <c r="D2923" s="15" t="s">
        <v>6</v>
      </c>
      <c r="E2923" s="15">
        <v>49</v>
      </c>
      <c r="F2923" s="91" t="s">
        <v>3236</v>
      </c>
      <c r="G2923" s="4"/>
      <c r="H2923" s="4"/>
      <c r="I2923" s="4"/>
    </row>
    <row r="2924" spans="1:9" ht="15">
      <c r="A2924" s="21">
        <f t="shared" si="52"/>
        <v>19</v>
      </c>
      <c r="B2924" s="14" t="s">
        <v>3910</v>
      </c>
      <c r="C2924" s="85" t="str">
        <f ca="1">IFERROR(__xludf.DUMMYFUNCTION("GOOGLETRANSLATE(B2924:B2939,""RU"",""UK"")"),"Фреза шпонкова М24 к/хв Р18/М24 к/хв")</f>
        <v>Фреза шпонкова М24 к/хв Р18/М24 к/хв</v>
      </c>
      <c r="D2924" s="15" t="s">
        <v>6</v>
      </c>
      <c r="E2924" s="15" t="s">
        <v>710</v>
      </c>
      <c r="F2924" s="91" t="s">
        <v>16</v>
      </c>
      <c r="G2924" s="4"/>
      <c r="H2924" s="4"/>
      <c r="I2924" s="4"/>
    </row>
    <row r="2925" spans="1:9" ht="15">
      <c r="A2925" s="21">
        <f t="shared" si="52"/>
        <v>20</v>
      </c>
      <c r="B2925" s="14" t="s">
        <v>3911</v>
      </c>
      <c r="C2925" s="85" t="str">
        <f ca="1">IFERROR(__xludf.DUMMYFUNCTION("GOOGLETRANSLATE(B2925:B2940,""RU"",""UK"")"),"Фреза шпонкова М25 к/хв")</f>
        <v>Фреза шпонкова М25 к/хв</v>
      </c>
      <c r="D2925" s="15" t="s">
        <v>6</v>
      </c>
      <c r="E2925" s="15">
        <v>134</v>
      </c>
      <c r="F2925" s="91" t="s">
        <v>16</v>
      </c>
      <c r="G2925" s="4"/>
      <c r="H2925" s="4"/>
      <c r="I2925" s="4"/>
    </row>
    <row r="2926" spans="1:9" ht="15">
      <c r="A2926" s="21">
        <f t="shared" si="52"/>
        <v>21</v>
      </c>
      <c r="B2926" s="14" t="s">
        <v>3912</v>
      </c>
      <c r="C2926" s="85" t="str">
        <f ca="1">IFERROR(__xludf.DUMMYFUNCTION("GOOGLETRANSLATE(B2926:B2941,""RU"",""UK"")"),"Фреза шпонкова М28 к/хв")</f>
        <v>Фреза шпонкова М28 к/хв</v>
      </c>
      <c r="D2926" s="15" t="s">
        <v>6</v>
      </c>
      <c r="E2926" s="15">
        <v>34</v>
      </c>
      <c r="F2926" s="91" t="s">
        <v>2111</v>
      </c>
      <c r="G2926" s="4"/>
      <c r="H2926" s="4"/>
      <c r="I2926" s="4"/>
    </row>
    <row r="2927" spans="1:9" ht="15">
      <c r="A2927" s="21">
        <f t="shared" si="52"/>
        <v>22</v>
      </c>
      <c r="B2927" s="14" t="s">
        <v>3913</v>
      </c>
      <c r="C2927" s="85" t="str">
        <f ca="1">IFERROR(__xludf.DUMMYFUNCTION("GOOGLETRANSLATE(B2927:B2942,""RU"",""UK"")"),"Фреза шпонкова М30 (220х90) до / хв / М32 до / хв")</f>
        <v>Фреза шпонкова М30 (220х90) до / хв / М32 до / хв</v>
      </c>
      <c r="D2927" s="15" t="s">
        <v>6</v>
      </c>
      <c r="E2927" s="15" t="s">
        <v>3914</v>
      </c>
      <c r="F2927" s="91" t="s">
        <v>3251</v>
      </c>
      <c r="G2927" s="4"/>
      <c r="H2927" s="4"/>
      <c r="I2927" s="4"/>
    </row>
    <row r="2928" spans="1:9" ht="15">
      <c r="A2928" s="21">
        <f t="shared" si="52"/>
        <v>23</v>
      </c>
      <c r="B2928" s="14" t="s">
        <v>3915</v>
      </c>
      <c r="C2928" s="85" t="str">
        <f ca="1">IFERROR(__xludf.DUMMYFUNCTION("GOOGLETRANSLATE(B2928:B2943,""RU"",""UK"")"),"Фреза шпонкова М36 к/хв")</f>
        <v>Фреза шпонкова М36 к/хв</v>
      </c>
      <c r="D2928" s="15" t="s">
        <v>6</v>
      </c>
      <c r="E2928" s="15">
        <v>44</v>
      </c>
      <c r="F2928" s="91" t="s">
        <v>3916</v>
      </c>
      <c r="G2928" s="4"/>
      <c r="H2928" s="4"/>
      <c r="I2928" s="4"/>
    </row>
    <row r="2929" spans="1:9" ht="15">
      <c r="A2929" s="21">
        <f t="shared" si="52"/>
        <v>24</v>
      </c>
      <c r="B2929" s="14" t="s">
        <v>3917</v>
      </c>
      <c r="C2929" s="85" t="str">
        <f ca="1">IFERROR(__xludf.DUMMYFUNCTION("GOOGLETRANSLATE(B2929:B2944,""RU"",""UK"")"),"Фреза шпонкова М40 к/хв")</f>
        <v>Фреза шпонкова М40 к/хв</v>
      </c>
      <c r="D2929" s="15" t="s">
        <v>6</v>
      </c>
      <c r="E2929" s="15">
        <v>48</v>
      </c>
      <c r="F2929" s="91" t="s">
        <v>3918</v>
      </c>
      <c r="G2929" s="4"/>
      <c r="H2929" s="4"/>
      <c r="I2929" s="4"/>
    </row>
    <row r="2930" spans="1:9" ht="15">
      <c r="A2930" s="21">
        <f t="shared" si="52"/>
        <v>25</v>
      </c>
      <c r="B2930" s="14" t="s">
        <v>3919</v>
      </c>
      <c r="C2930" s="85" t="str">
        <f ca="1">IFERROR(__xludf.DUMMYFUNCTION("GOOGLETRANSLATE(B2930:B2945,""RU"",""UK"")"),"Фреза шпонкова М50 ц/хв")</f>
        <v>Фреза шпонкова М50 ц/хв</v>
      </c>
      <c r="D2930" s="15" t="s">
        <v>6</v>
      </c>
      <c r="E2930" s="15">
        <v>3</v>
      </c>
      <c r="F2930" s="91" t="s">
        <v>3920</v>
      </c>
      <c r="G2930" s="4"/>
      <c r="H2930" s="4"/>
      <c r="I2930" s="4"/>
    </row>
    <row r="2931" spans="1:9" ht="15">
      <c r="A2931" s="68"/>
      <c r="B2931" s="69"/>
      <c r="C2931" s="110" t="s">
        <v>6042</v>
      </c>
      <c r="D2931" s="69"/>
      <c r="E2931" s="69"/>
      <c r="F2931" s="106"/>
      <c r="G2931" s="4"/>
      <c r="H2931" s="4"/>
      <c r="I2931" s="4"/>
    </row>
    <row r="2932" spans="1:9" ht="15">
      <c r="A2932" s="13">
        <v>1</v>
      </c>
      <c r="B2932" s="19" t="s">
        <v>3921</v>
      </c>
      <c r="C2932" s="85" t="str">
        <f ca="1">IFERROR(__xludf.DUMMYFUNCTION("GOOGLETRANSLATE(B2932:B2947,""RU"",""UK"")"),"Фреза черв'ячна модуль М8,0 Р6М5К5 120х40 L130")</f>
        <v>Фреза черв'ячна модуль М8,0 Р6М5К5 120х40 L130</v>
      </c>
      <c r="D2932" s="15" t="s">
        <v>6</v>
      </c>
      <c r="E2932" s="15">
        <v>0</v>
      </c>
      <c r="F2932" s="91" t="s">
        <v>3669</v>
      </c>
      <c r="G2932" s="4"/>
      <c r="H2932" s="4"/>
      <c r="I2932" s="4"/>
    </row>
    <row r="2933" spans="1:9" ht="15">
      <c r="A2933" s="13">
        <f>A2932+1</f>
        <v>2</v>
      </c>
      <c r="B2933" s="14" t="s">
        <v>3922</v>
      </c>
      <c r="C2933" s="85" t="str">
        <f ca="1">IFERROR(__xludf.DUMMYFUNCTION("GOOGLETRANSLATE(B2933:B2948,""RU"",""UK"")"),"Фреза черв'ячна модуль М7,0 Р6М5 120х40 L110 Р6М5")</f>
        <v>Фреза черв'ячна модуль М7,0 Р6М5 120х40 L110 Р6М5</v>
      </c>
      <c r="D2933" s="15" t="s">
        <v>6</v>
      </c>
      <c r="E2933" s="15">
        <v>4</v>
      </c>
      <c r="F2933" s="91" t="s">
        <v>12</v>
      </c>
      <c r="G2933" s="4"/>
      <c r="H2933" s="4"/>
      <c r="I2933" s="4"/>
    </row>
    <row r="2934" spans="1:9" ht="15">
      <c r="A2934" s="21">
        <f t="shared" ref="A2934:A2972" si="53">A2933+1</f>
        <v>3</v>
      </c>
      <c r="B2934" s="14" t="s">
        <v>3923</v>
      </c>
      <c r="C2934" s="85" t="str">
        <f ca="1">IFERROR(__xludf.DUMMYFUNCTION("GOOGLETRANSLATE(B2934:B2949,""RU"",""UK"")"),"Фреза черв'ячна модуль М6,0")</f>
        <v>Фреза черв'ячна модуль М6,0</v>
      </c>
      <c r="D2934" s="15" t="s">
        <v>6</v>
      </c>
      <c r="E2934" s="15">
        <v>4</v>
      </c>
      <c r="F2934" s="91" t="s">
        <v>910</v>
      </c>
      <c r="G2934" s="4"/>
      <c r="H2934" s="4"/>
      <c r="I2934" s="4"/>
    </row>
    <row r="2935" spans="1:9" ht="15">
      <c r="A2935" s="21">
        <f t="shared" si="53"/>
        <v>4</v>
      </c>
      <c r="B2935" s="14" t="s">
        <v>3924</v>
      </c>
      <c r="C2935" s="85" t="str">
        <f ca="1">IFERROR(__xludf.DUMMYFUNCTION("GOOGLETRANSLATE(B2935:B2950,""RU"",""UK"")"),"Фреза черв'ячна модуль М5,5")</f>
        <v>Фреза черв'ячна модуль М5,5</v>
      </c>
      <c r="D2935" s="15" t="s">
        <v>6</v>
      </c>
      <c r="E2935" s="15">
        <v>8</v>
      </c>
      <c r="F2935" s="91" t="s">
        <v>10</v>
      </c>
      <c r="G2935" s="4"/>
      <c r="H2935" s="4"/>
      <c r="I2935" s="4"/>
    </row>
    <row r="2936" spans="1:9" ht="15">
      <c r="A2936" s="21">
        <f t="shared" si="53"/>
        <v>5</v>
      </c>
      <c r="B2936" s="14" t="s">
        <v>3925</v>
      </c>
      <c r="C2936" s="85" t="str">
        <f ca="1">IFERROR(__xludf.DUMMYFUNCTION("GOOGLETRANSLATE(B2936:B2951,""RU"",""UK"")"),"Фреза черв'ячна модуль М5,0 d32х100 L100/d32х85 L120/d40")</f>
        <v>Фреза черв'ячна модуль М5,0 d32х100 L100/d32х85 L120/d40</v>
      </c>
      <c r="D2936" s="15" t="s">
        <v>6</v>
      </c>
      <c r="E2936" s="15" t="s">
        <v>3926</v>
      </c>
      <c r="F2936" s="91" t="s">
        <v>38</v>
      </c>
      <c r="G2936" s="4"/>
      <c r="H2936" s="4"/>
      <c r="I2936" s="4"/>
    </row>
    <row r="2937" spans="1:9" ht="15">
      <c r="A2937" s="21">
        <f t="shared" si="53"/>
        <v>6</v>
      </c>
      <c r="B2937" s="14" t="s">
        <v>3927</v>
      </c>
      <c r="C2937" s="85" t="str">
        <f ca="1">IFERROR(__xludf.DUMMYFUNCTION("GOOGLETRANSLATE(B2937:B2952,""RU"",""UK"")"),"Фреза черв'ячна модуль М4,5")</f>
        <v>Фреза черв'ячна модуль М4,5</v>
      </c>
      <c r="D2937" s="15" t="s">
        <v>6</v>
      </c>
      <c r="E2937" s="15">
        <v>13</v>
      </c>
      <c r="F2937" s="91" t="s">
        <v>75</v>
      </c>
      <c r="G2937" s="4"/>
      <c r="H2937" s="4"/>
      <c r="I2937" s="4"/>
    </row>
    <row r="2938" spans="1:9" ht="15">
      <c r="A2938" s="21">
        <f t="shared" si="53"/>
        <v>7</v>
      </c>
      <c r="B2938" s="14" t="s">
        <v>3928</v>
      </c>
      <c r="C2938" s="85" t="str">
        <f ca="1">IFERROR(__xludf.DUMMYFUNCTION("GOOGLETRANSLATE(B2938:B2953,""RU"",""UK"")"),"Фреза черв'ячна модуль М4,5 d отв.27 (82х85) Р18")</f>
        <v>Фреза черв'ячна модуль М4,5 d отв.27 (82х85) Р18</v>
      </c>
      <c r="D2938" s="15" t="s">
        <v>6</v>
      </c>
      <c r="E2938" s="15">
        <v>1</v>
      </c>
      <c r="F2938" s="91" t="s">
        <v>75</v>
      </c>
      <c r="G2938" s="4"/>
      <c r="H2938" s="4"/>
      <c r="I2938" s="4"/>
    </row>
    <row r="2939" spans="1:9" ht="15">
      <c r="A2939" s="21">
        <f t="shared" si="53"/>
        <v>8</v>
      </c>
      <c r="B2939" s="14" t="s">
        <v>3929</v>
      </c>
      <c r="C2939" s="85" t="str">
        <f ca="1">IFERROR(__xludf.DUMMYFUNCTION("GOOGLETRANSLATE(B2939:B2954,""RU"",""UK"")"),"Фреза черв'ячна модуль М4,25")</f>
        <v>Фреза черв'ячна модуль М4,25</v>
      </c>
      <c r="D2939" s="15" t="s">
        <v>6</v>
      </c>
      <c r="E2939" s="15">
        <v>2</v>
      </c>
      <c r="F2939" s="91" t="s">
        <v>237</v>
      </c>
      <c r="G2939" s="4"/>
      <c r="H2939" s="4"/>
      <c r="I2939" s="4"/>
    </row>
    <row r="2940" spans="1:9" ht="15">
      <c r="A2940" s="21">
        <f t="shared" si="53"/>
        <v>9</v>
      </c>
      <c r="B2940" s="14" t="s">
        <v>3930</v>
      </c>
      <c r="C2940" s="85" t="str">
        <f ca="1">IFERROR(__xludf.DUMMYFUNCTION("GOOGLETRANSLATE(B2940:B2955,""RU"",""UK"")"),"Фреза черв'ячна модуль М4,0/М4,0 Р6М5 95х32 L85/М4,0 Р6М5 90х32 L80")</f>
        <v>Фреза черв'ячна модуль М4,0/М4,0 Р6М5 95х32 L85/М4,0 Р6М5 90х32 L80</v>
      </c>
      <c r="D2940" s="15" t="s">
        <v>6</v>
      </c>
      <c r="E2940" s="15" t="s">
        <v>3931</v>
      </c>
      <c r="F2940" s="91" t="s">
        <v>237</v>
      </c>
      <c r="G2940" s="4"/>
      <c r="H2940" s="4"/>
      <c r="I2940" s="4"/>
    </row>
    <row r="2941" spans="1:9" ht="15">
      <c r="A2941" s="21">
        <f t="shared" si="53"/>
        <v>10</v>
      </c>
      <c r="B2941" s="14" t="s">
        <v>3932</v>
      </c>
      <c r="C2941" s="85" t="str">
        <f ca="1">IFERROR(__xludf.DUMMYFUNCTION("GOOGLETRANSLATE(B2941:B2956,""RU"",""UK"")"),"Фреза черв'ячна модуль М3, 75-3 2/3 * / М3, 75-20 *")</f>
        <v>Фреза черв'ячна модуль М3, 75-3 2/3 * / М3, 75-20 *</v>
      </c>
      <c r="D2941" s="15" t="s">
        <v>6</v>
      </c>
      <c r="E2941" s="15" t="s">
        <v>2027</v>
      </c>
      <c r="F2941" s="91" t="s">
        <v>2834</v>
      </c>
      <c r="G2941" s="4"/>
      <c r="H2941" s="4"/>
      <c r="I2941" s="4"/>
    </row>
    <row r="2942" spans="1:9" ht="15">
      <c r="A2942" s="21">
        <f t="shared" si="53"/>
        <v>11</v>
      </c>
      <c r="B2942" s="14" t="s">
        <v>3933</v>
      </c>
      <c r="C2942" s="85" t="str">
        <f ca="1">IFERROR(__xludf.DUMMYFUNCTION("GOOGLETRANSLATE(B2942:B2957,""RU"",""UK"")"),"Фреза черв'ячна модуль М3,75 d отв.32 (90х80) Р18")</f>
        <v>Фреза черв'ячна модуль М3,75 d отв.32 (90х80) Р18</v>
      </c>
      <c r="D2942" s="15" t="s">
        <v>6</v>
      </c>
      <c r="E2942" s="15">
        <v>1</v>
      </c>
      <c r="F2942" s="91" t="s">
        <v>1901</v>
      </c>
      <c r="G2942" s="4"/>
      <c r="H2942" s="4"/>
      <c r="I2942" s="4"/>
    </row>
    <row r="2943" spans="1:9" ht="15">
      <c r="A2943" s="21">
        <f t="shared" si="53"/>
        <v>12</v>
      </c>
      <c r="B2943" s="14" t="s">
        <v>3934</v>
      </c>
      <c r="C2943" s="85" t="str">
        <f ca="1">IFERROR(__xludf.DUMMYFUNCTION("GOOGLETRANSLATE(B2943:B2958,""RU"",""UK"")"),"Фреза черв'ячна модуль М3,5/М3,975/М3,5 (90Х80Х32)/…Р9")</f>
        <v>Фреза черв'ячна модуль М3,5/М3,975/М3,5 (90Х80Х32)/…Р9</v>
      </c>
      <c r="D2943" s="15" t="s">
        <v>6</v>
      </c>
      <c r="E2943" s="15" t="s">
        <v>3935</v>
      </c>
      <c r="F2943" s="91" t="s">
        <v>3508</v>
      </c>
      <c r="G2943" s="4"/>
      <c r="H2943" s="4"/>
      <c r="I2943" s="4"/>
    </row>
    <row r="2944" spans="1:9" ht="15">
      <c r="A2944" s="21">
        <f t="shared" si="53"/>
        <v>13</v>
      </c>
      <c r="B2944" s="14" t="s">
        <v>3936</v>
      </c>
      <c r="C2944" s="85" t="str">
        <f ca="1">IFERROR(__xludf.DUMMYFUNCTION("GOOGLETRANSLATE(B2944:B2959,""RU"",""UK"")"),"Фреза черв'ячна модуль М3,5 d отв.27 (75х68) Р18")</f>
        <v>Фреза черв'ячна модуль М3,5 d отв.27 (75х68) Р18</v>
      </c>
      <c r="D2944" s="15" t="s">
        <v>6</v>
      </c>
      <c r="E2944" s="15">
        <v>1</v>
      </c>
      <c r="F2944" s="91" t="s">
        <v>3508</v>
      </c>
      <c r="G2944" s="4"/>
      <c r="H2944" s="4"/>
      <c r="I2944" s="4"/>
    </row>
    <row r="2945" spans="1:9" ht="15">
      <c r="A2945" s="21">
        <f t="shared" si="53"/>
        <v>14</v>
      </c>
      <c r="B2945" s="14" t="s">
        <v>3937</v>
      </c>
      <c r="C2945" s="85" t="str">
        <f ca="1">IFERROR(__xludf.DUMMYFUNCTION("GOOGLETRANSLATE(B2945:B2960,""RU"",""UK"")"),"Фреза черв'ячна модуль М3,5 30* (80х70х32мм)")</f>
        <v>Фреза черв'ячна модуль М3,5 30* (80х70х32мм)</v>
      </c>
      <c r="D2945" s="15" t="s">
        <v>6</v>
      </c>
      <c r="E2945" s="15">
        <v>2</v>
      </c>
      <c r="F2945" s="91" t="s">
        <v>914</v>
      </c>
      <c r="G2945" s="4"/>
      <c r="H2945" s="4"/>
      <c r="I2945" s="4"/>
    </row>
    <row r="2946" spans="1:9" ht="15">
      <c r="A2946" s="21">
        <f t="shared" si="53"/>
        <v>15</v>
      </c>
      <c r="B2946" s="14" t="s">
        <v>3938</v>
      </c>
      <c r="C2946" s="85" t="str">
        <f ca="1">IFERROR(__xludf.DUMMYFUNCTION("GOOGLETRANSLATE(B2946:B2961,""RU"",""UK"")"),"Фреза черв'ячна модуль М3,25 d отв.27 (72х65) Р18")</f>
        <v>Фреза черв'ячна модуль М3,25 d отв.27 (72х65) Р18</v>
      </c>
      <c r="D2946" s="15" t="s">
        <v>6</v>
      </c>
      <c r="E2946" s="15">
        <v>1</v>
      </c>
      <c r="F2946" s="91" t="s">
        <v>1151</v>
      </c>
      <c r="G2946" s="4"/>
      <c r="H2946" s="4"/>
      <c r="I2946" s="4"/>
    </row>
    <row r="2947" spans="1:9" ht="15">
      <c r="A2947" s="21">
        <f t="shared" si="53"/>
        <v>16</v>
      </c>
      <c r="B2947" s="14" t="s">
        <v>3939</v>
      </c>
      <c r="C2947" s="85" t="str">
        <f ca="1">IFERROR(__xludf.DUMMYFUNCTION("GOOGLETRANSLATE(B2947:B2962,""RU"",""UK"")"),"Фреза черв'ячна модуль М3,0/М3,0лев/М3,25")</f>
        <v>Фреза черв'ячна модуль М3,0/М3,0лев/М3,25</v>
      </c>
      <c r="D2947" s="15" t="s">
        <v>6</v>
      </c>
      <c r="E2947" s="15" t="s">
        <v>2045</v>
      </c>
      <c r="F2947" s="91" t="s">
        <v>1151</v>
      </c>
      <c r="G2947" s="77"/>
      <c r="H2947" s="4"/>
      <c r="I2947" s="4"/>
    </row>
    <row r="2948" spans="1:9" ht="15">
      <c r="A2948" s="21">
        <f t="shared" si="53"/>
        <v>17</v>
      </c>
      <c r="B2948" s="16" t="s">
        <v>3940</v>
      </c>
      <c r="C2948" s="85" t="str">
        <f ca="1">IFERROR(__xludf.DUMMYFUNCTION("GOOGLETRANSLATE(B2948:B2963,""RU"",""UK"")"),"Фреза черв'ячна модуль М3,0 (90х120х32)")</f>
        <v>Фреза черв'ячна модуль М3,0 (90х120х32)</v>
      </c>
      <c r="D2948" s="15" t="s">
        <v>6</v>
      </c>
      <c r="E2948" s="15">
        <v>5</v>
      </c>
      <c r="F2948" s="91" t="s">
        <v>71</v>
      </c>
      <c r="G2948" s="77"/>
      <c r="H2948" s="4"/>
      <c r="I2948" s="4"/>
    </row>
    <row r="2949" spans="1:9" ht="15">
      <c r="A2949" s="21">
        <f t="shared" si="53"/>
        <v>18</v>
      </c>
      <c r="B2949" s="16" t="s">
        <v>3941</v>
      </c>
      <c r="C2949" s="85" t="str">
        <f ca="1">IFERROR(__xludf.DUMMYFUNCTION("GOOGLETRANSLATE(B2949:B2964,""RU"",""UK"")"),"Фреза черв'ячна модуль М2,75")</f>
        <v>Фреза черв'ячна модуль М2,75</v>
      </c>
      <c r="D2949" s="15" t="s">
        <v>6</v>
      </c>
      <c r="E2949" s="15">
        <v>2</v>
      </c>
      <c r="F2949" s="91" t="s">
        <v>3610</v>
      </c>
      <c r="G2949" s="77"/>
      <c r="H2949" s="4"/>
      <c r="I2949" s="4"/>
    </row>
    <row r="2950" spans="1:9" ht="15">
      <c r="A2950" s="21">
        <f t="shared" si="53"/>
        <v>19</v>
      </c>
      <c r="B2950" s="16" t="s">
        <v>3942</v>
      </c>
      <c r="C2950" s="85" t="str">
        <f ca="1">IFERROR(__xludf.DUMMYFUNCTION("GOOGLETRANSLATE(B2950:B2965,""RU"",""UK"")"),"Фреза черв'ячна модуль М2,5 (80х140х32)")</f>
        <v>Фреза черв'ячна модуль М2,5 (80х140х32)</v>
      </c>
      <c r="D2950" s="15" t="s">
        <v>6</v>
      </c>
      <c r="E2950" s="15">
        <v>1</v>
      </c>
      <c r="F2950" s="91" t="s">
        <v>3610</v>
      </c>
      <c r="G2950" s="77"/>
      <c r="H2950" s="4"/>
      <c r="I2950" s="4"/>
    </row>
    <row r="2951" spans="1:9" ht="15">
      <c r="A2951" s="21">
        <f t="shared" si="53"/>
        <v>20</v>
      </c>
      <c r="B2951" s="16" t="s">
        <v>3943</v>
      </c>
      <c r="C2951" s="85" t="str">
        <f ca="1">IFERROR(__xludf.DUMMYFUNCTION("GOOGLETRANSLATE(B2951:B2966,""RU"",""UK"")"),"Фреза черв'ячна модуль М2,5 (80х32 L70-Р6М5)/М2,5 (70х27 L62-Р6М5)")</f>
        <v>Фреза черв'ячна модуль М2,5 (80х32 L70-Р6М5)/М2,5 (70х27 L62-Р6М5)</v>
      </c>
      <c r="D2951" s="15" t="s">
        <v>6</v>
      </c>
      <c r="E2951" s="15" t="s">
        <v>899</v>
      </c>
      <c r="F2951" s="91" t="s">
        <v>3610</v>
      </c>
      <c r="G2951" s="4"/>
      <c r="H2951" s="4"/>
      <c r="I2951" s="4"/>
    </row>
    <row r="2952" spans="1:9" ht="15">
      <c r="A2952" s="21">
        <f t="shared" si="53"/>
        <v>21</v>
      </c>
      <c r="B2952" s="14" t="s">
        <v>3944</v>
      </c>
      <c r="C2952" s="85" t="str">
        <f ca="1">IFERROR(__xludf.DUMMYFUNCTION("GOOGLETRANSLATE(B2952:B2967,""RU"",""UK"")"),"Фреза черв'ячна модуль М2,0/М2,25")</f>
        <v>Фреза черв'ячна модуль М2,0/М2,25</v>
      </c>
      <c r="D2952" s="15" t="s">
        <v>6</v>
      </c>
      <c r="E2952" s="15" t="s">
        <v>2352</v>
      </c>
      <c r="F2952" s="91" t="s">
        <v>3651</v>
      </c>
      <c r="G2952" s="4"/>
      <c r="H2952" s="4"/>
      <c r="I2952" s="4"/>
    </row>
    <row r="2953" spans="1:9" ht="15">
      <c r="A2953" s="21">
        <f t="shared" si="53"/>
        <v>22</v>
      </c>
      <c r="B2953" s="14" t="s">
        <v>3945</v>
      </c>
      <c r="C2953" s="85" t="str">
        <f ca="1">IFERROR(__xludf.DUMMYFUNCTION("GOOGLETRANSLATE(B2953:B2968,""RU"",""UK"")"),"Фреза черв'ячна модуль М2,0 (50х22 L52) Р9")</f>
        <v>Фреза черв'ячна модуль М2,0 (50х22 L52) Р9</v>
      </c>
      <c r="D2953" s="15" t="s">
        <v>6</v>
      </c>
      <c r="E2953" s="15">
        <v>3</v>
      </c>
      <c r="F2953" s="91" t="s">
        <v>157</v>
      </c>
      <c r="G2953" s="4"/>
      <c r="H2953" s="4"/>
      <c r="I2953" s="4"/>
    </row>
    <row r="2954" spans="1:9" ht="15">
      <c r="A2954" s="21">
        <f t="shared" si="53"/>
        <v>23</v>
      </c>
      <c r="B2954" s="14" t="s">
        <v>3946</v>
      </c>
      <c r="C2954" s="85" t="str">
        <f ca="1">IFERROR(__xludf.DUMMYFUNCTION("GOOGLETRANSLATE(B2954:B2969,""RU"",""UK"")"),"Фреза черв'ячна модуль М2,0 30* (64х27мм L50)")</f>
        <v>Фреза черв'ячна модуль М2,0 30* (64х27мм L50)</v>
      </c>
      <c r="D2954" s="15" t="s">
        <v>6</v>
      </c>
      <c r="E2954" s="15">
        <v>1</v>
      </c>
      <c r="F2954" s="91" t="s">
        <v>914</v>
      </c>
      <c r="G2954" s="4"/>
      <c r="H2954" s="4"/>
      <c r="I2954" s="4"/>
    </row>
    <row r="2955" spans="1:9" ht="15">
      <c r="A2955" s="21">
        <f t="shared" si="53"/>
        <v>24</v>
      </c>
      <c r="B2955" s="14" t="s">
        <v>3947</v>
      </c>
      <c r="C2955" s="85" t="str">
        <f ca="1">IFERROR(__xludf.DUMMYFUNCTION("GOOGLETRANSLATE(B2955:B2970,""RU"",""UK"")"),"Фреза черв'ячна модуль М1, 75 (60х47х27-Р18)")</f>
        <v>Фреза черв'ячна модуль М1, 75 (60х47х27-Р18)</v>
      </c>
      <c r="D2955" s="15" t="s">
        <v>6</v>
      </c>
      <c r="E2955" s="15">
        <v>2</v>
      </c>
      <c r="F2955" s="91" t="s">
        <v>88</v>
      </c>
      <c r="G2955" s="4"/>
      <c r="H2955" s="4"/>
      <c r="I2955" s="4"/>
    </row>
    <row r="2956" spans="1:9" ht="15">
      <c r="A2956" s="21">
        <f t="shared" si="53"/>
        <v>25</v>
      </c>
      <c r="B2956" s="14" t="s">
        <v>3948</v>
      </c>
      <c r="C2956" s="85" t="str">
        <f ca="1">IFERROR(__xludf.DUMMYFUNCTION("GOOGLETRANSLATE(B2956:B2971,""RU"",""UK"")"),"Фреза черв'ячна модуль М1,5/М1,5 (53х22 L45-Р18)")</f>
        <v>Фреза черв'ячна модуль М1,5/М1,5 (53х22 L45-Р18)</v>
      </c>
      <c r="D2956" s="15" t="s">
        <v>6</v>
      </c>
      <c r="E2956" s="15" t="s">
        <v>2241</v>
      </c>
      <c r="F2956" s="91" t="s">
        <v>88</v>
      </c>
      <c r="G2956" s="4"/>
      <c r="H2956" s="4"/>
      <c r="I2956" s="4"/>
    </row>
    <row r="2957" spans="1:9" ht="15">
      <c r="A2957" s="21">
        <f t="shared" si="53"/>
        <v>26</v>
      </c>
      <c r="B2957" s="16" t="s">
        <v>3949</v>
      </c>
      <c r="C2957" s="85" t="str">
        <f ca="1">IFERROR(__xludf.DUMMYFUNCTION("GOOGLETRANSLATE(B2957:B2972,""RU"",""UK"")"),"Фреза черв'ячна модуль М1,25")</f>
        <v>Фреза черв'ячна модуль М1,25</v>
      </c>
      <c r="D2957" s="15" t="s">
        <v>6</v>
      </c>
      <c r="E2957" s="15">
        <v>4</v>
      </c>
      <c r="F2957" s="91" t="s">
        <v>1086</v>
      </c>
      <c r="G2957" s="4"/>
      <c r="H2957" s="4"/>
      <c r="I2957" s="4"/>
    </row>
    <row r="2958" spans="1:9" ht="15">
      <c r="A2958" s="21">
        <f t="shared" si="53"/>
        <v>27</v>
      </c>
      <c r="B2958" s="14" t="s">
        <v>3950</v>
      </c>
      <c r="C2958" s="85" t="str">
        <f ca="1">IFERROR(__xludf.DUMMYFUNCTION("GOOGLETRANSLATE(B2958:B2973,""RU"",""UK"")"),"Фреза черв'ячна модуль М1,0 -20 * (48х22х32мм) Кл.")</f>
        <v>Фреза черв'ячна модуль М1,0 -20 * (48х22х32мм) Кл.</v>
      </c>
      <c r="D2958" s="15" t="s">
        <v>6</v>
      </c>
      <c r="E2958" s="15">
        <v>1</v>
      </c>
      <c r="F2958" s="91" t="s">
        <v>111</v>
      </c>
      <c r="G2958" s="4"/>
      <c r="H2958" s="4"/>
      <c r="I2958" s="4"/>
    </row>
    <row r="2959" spans="1:9" ht="15">
      <c r="A2959" s="21">
        <f t="shared" si="53"/>
        <v>28</v>
      </c>
      <c r="B2959" s="14" t="s">
        <v>3951</v>
      </c>
      <c r="C2959" s="85" t="str">
        <f ca="1">IFERROR(__xludf.DUMMYFUNCTION("GOOGLETRANSLATE(B2959:B2974,""RU"",""UK"")"),"Фреза черв'ячна модуль М1,0 -20 * (48х22х32мм) Кл.")</f>
        <v>Фреза черв'ячна модуль М1,0 -20 * (48х22х32мм) Кл.</v>
      </c>
      <c r="D2959" s="15" t="s">
        <v>6</v>
      </c>
      <c r="E2959" s="15">
        <v>4</v>
      </c>
      <c r="F2959" s="91" t="s">
        <v>102</v>
      </c>
      <c r="G2959" s="4"/>
      <c r="H2959" s="4"/>
      <c r="I2959" s="4"/>
    </row>
    <row r="2960" spans="1:9" ht="15">
      <c r="A2960" s="21">
        <f t="shared" si="53"/>
        <v>29</v>
      </c>
      <c r="B2960" s="14" t="s">
        <v>3952</v>
      </c>
      <c r="C2960" s="85" t="str">
        <f ca="1">IFERROR(__xludf.DUMMYFUNCTION("GOOGLETRANSLATE(B2960:B2975,""RU"",""UK"")"),"Фреза черв'ячна модуль М1,0-15* (110х16,5мм)")</f>
        <v>Фреза черв'ячна модуль М1,0-15* (110х16,5мм)</v>
      </c>
      <c r="D2960" s="15" t="s">
        <v>6</v>
      </c>
      <c r="E2960" s="15">
        <v>1</v>
      </c>
      <c r="F2960" s="91" t="s">
        <v>102</v>
      </c>
      <c r="G2960" s="4"/>
      <c r="H2960" s="4"/>
      <c r="I2960" s="4"/>
    </row>
    <row r="2961" spans="1:9" ht="15">
      <c r="A2961" s="21">
        <f t="shared" si="53"/>
        <v>30</v>
      </c>
      <c r="B2961" s="16" t="s">
        <v>3953</v>
      </c>
      <c r="C2961" s="85" t="str">
        <f ca="1">IFERROR(__xludf.DUMMYFUNCTION("GOOGLETRANSLATE(B2961:B2976,""RU"",""UK"")"),"Фреза черв'ячна модуль М1,0 -30 * (48х22х32мм) Кл.")</f>
        <v>Фреза черв'ячна модуль М1,0 -30 * (48х22х32мм) Кл.</v>
      </c>
      <c r="D2961" s="15" t="s">
        <v>6</v>
      </c>
      <c r="E2961" s="15">
        <v>1</v>
      </c>
      <c r="F2961" s="91" t="s">
        <v>38</v>
      </c>
      <c r="G2961" s="4"/>
      <c r="H2961" s="4"/>
      <c r="I2961" s="4"/>
    </row>
    <row r="2962" spans="1:9" ht="15">
      <c r="A2962" s="21">
        <f t="shared" si="53"/>
        <v>31</v>
      </c>
      <c r="B2962" s="14" t="s">
        <v>3954</v>
      </c>
      <c r="C2962" s="85" t="str">
        <f ca="1">IFERROR(__xludf.DUMMYFUNCTION("GOOGLETRANSLATE(B2962:B2977,""RU"",""UK"")"),"Фреза черв'ячна модуль М0,7 (d29мм х dвн13мм) / М0,8")</f>
        <v>Фреза черв'ячна модуль М0,7 (d29мм х dвн13мм) / М0,8</v>
      </c>
      <c r="D2962" s="15" t="s">
        <v>6</v>
      </c>
      <c r="E2962" s="15" t="s">
        <v>438</v>
      </c>
      <c r="F2962" s="91" t="s">
        <v>283</v>
      </c>
      <c r="G2962" s="4"/>
      <c r="H2962" s="4"/>
      <c r="I2962" s="4"/>
    </row>
    <row r="2963" spans="1:9" ht="15">
      <c r="A2963" s="21">
        <f t="shared" si="53"/>
        <v>32</v>
      </c>
      <c r="B2963" s="14" t="s">
        <v>3955</v>
      </c>
      <c r="C2963" s="85" t="str">
        <f ca="1">IFERROR(__xludf.DUMMYFUNCTION("GOOGLETRANSLATE(B2963:B2978,""RU"",""UK"")"),"Фреза черв'ячна модуль М0,5/М0,6 (30х20х13 Р18)")</f>
        <v>Фреза черв'ячна модуль М0,5/М0,6 (30х20х13 Р18)</v>
      </c>
      <c r="D2963" s="15" t="s">
        <v>6</v>
      </c>
      <c r="E2963" s="15" t="s">
        <v>1631</v>
      </c>
      <c r="F2963" s="91" t="s">
        <v>33</v>
      </c>
      <c r="G2963" s="4"/>
      <c r="H2963" s="4"/>
      <c r="I2963" s="4"/>
    </row>
    <row r="2964" spans="1:9" ht="15">
      <c r="A2964" s="21">
        <f t="shared" si="53"/>
        <v>33</v>
      </c>
      <c r="B2964" s="14" t="s">
        <v>3956</v>
      </c>
      <c r="C2964" s="85" t="str">
        <f ca="1">IFERROR(__xludf.DUMMYFUNCTION("GOOGLETRANSLATE(B2964:B2979,""RU"",""UK"")"),"Фреза черв'ячна модуль М0,3/М0,4 Р18 (32х16х10)/М0,4 Р6М5(32х16х13)")</f>
        <v>Фреза черв'ячна модуль М0,3/М0,4 Р18 (32х16х10)/М0,4 Р6М5(32х16х13)</v>
      </c>
      <c r="D2964" s="15" t="s">
        <v>6</v>
      </c>
      <c r="E2964" s="15" t="s">
        <v>3957</v>
      </c>
      <c r="F2964" s="91" t="s">
        <v>663</v>
      </c>
      <c r="G2964" s="4"/>
      <c r="H2964" s="4"/>
      <c r="I2964" s="4"/>
    </row>
    <row r="2965" spans="1:9" ht="15">
      <c r="A2965" s="21">
        <f t="shared" si="53"/>
        <v>34</v>
      </c>
      <c r="B2965" s="14" t="s">
        <v>3958</v>
      </c>
      <c r="C2965" s="85" t="str">
        <f ca="1">IFERROR(__xludf.DUMMYFUNCTION("GOOGLETRANSLATE(B2965:B2980,""RU"",""UK"")"),"Фреза черв'ячна модуль М0,3 (50мм) ВК6М/М0,4 (0мм) ВК6М")</f>
        <v>Фреза черв'ячна модуль М0,3 (50мм) ВК6М/М0,4 (0мм) ВК6М</v>
      </c>
      <c r="D2965" s="15" t="s">
        <v>6</v>
      </c>
      <c r="E2965" s="15" t="s">
        <v>749</v>
      </c>
      <c r="F2965" s="91" t="s">
        <v>1874</v>
      </c>
      <c r="G2965" s="4"/>
      <c r="H2965" s="4"/>
      <c r="I2965" s="4"/>
    </row>
    <row r="2966" spans="1:9" ht="15">
      <c r="A2966" s="21">
        <f t="shared" si="53"/>
        <v>35</v>
      </c>
      <c r="B2966" s="14" t="s">
        <v>3959</v>
      </c>
      <c r="C2966" s="85" t="str">
        <f ca="1">IFERROR(__xludf.DUMMYFUNCTION("GOOGLETRANSLATE(B2966:B2981,""RU"",""UK"")"),"Фреза черв'ячна модуль М0,15/М0,25")</f>
        <v>Фреза черв'ячна модуль М0,15/М0,25</v>
      </c>
      <c r="D2966" s="15" t="s">
        <v>6</v>
      </c>
      <c r="E2966" s="15" t="s">
        <v>749</v>
      </c>
      <c r="F2966" s="91" t="s">
        <v>663</v>
      </c>
      <c r="G2966" s="4"/>
      <c r="H2966" s="4"/>
      <c r="I2966" s="4"/>
    </row>
    <row r="2967" spans="1:9" ht="15">
      <c r="A2967" s="21">
        <f t="shared" si="53"/>
        <v>36</v>
      </c>
      <c r="B2967" s="16" t="s">
        <v>3960</v>
      </c>
      <c r="C2967" s="85" t="str">
        <f ca="1">IFERROR(__xludf.DUMMYFUNCTION("GOOGLETRANSLATE(B2967:B2982,""RU"",""UK"")"),"Фреза черв'яковий модуль ланцюг 12,75 (d. рол.7,75)")</f>
        <v>Фреза черв'яковий модуль ланцюг 12,75 (d. рол.7,75)</v>
      </c>
      <c r="D2967" s="15" t="s">
        <v>6</v>
      </c>
      <c r="E2967" s="15">
        <v>3</v>
      </c>
      <c r="F2967" s="91" t="s">
        <v>235</v>
      </c>
      <c r="G2967" s="4"/>
      <c r="H2967" s="4"/>
      <c r="I2967" s="4"/>
    </row>
    <row r="2968" spans="1:9" ht="15">
      <c r="A2968" s="21">
        <f t="shared" si="53"/>
        <v>37</v>
      </c>
      <c r="B2968" s="16" t="s">
        <v>3961</v>
      </c>
      <c r="C2968" s="85" t="str">
        <f ca="1">IFERROR(__xludf.DUMMYFUNCTION("GOOGLETRANSLATE(B2968:B2983,""RU"",""UK"")"),"Фреза черв'яковий модуль ланцюг 15,875 (d. рол.10,16)")</f>
        <v>Фреза черв'яковий модуль ланцюг 15,875 (d. рол.10,16)</v>
      </c>
      <c r="D2968" s="15" t="s">
        <v>6</v>
      </c>
      <c r="E2968" s="15">
        <v>0</v>
      </c>
      <c r="F2968" s="91" t="s">
        <v>75</v>
      </c>
      <c r="G2968" s="4"/>
      <c r="H2968" s="4"/>
      <c r="I2968" s="4"/>
    </row>
    <row r="2969" spans="1:9" ht="15">
      <c r="A2969" s="21">
        <f t="shared" si="53"/>
        <v>38</v>
      </c>
      <c r="B2969" s="14" t="s">
        <v>3962</v>
      </c>
      <c r="C2969" s="85" t="str">
        <f ca="1">IFERROR(__xludf.DUMMYFUNCTION("GOOGLETRANSLATE(B2969:B2984,""RU"",""UK"")"),"Фреза черв'яковий модуль ланцюг 19,05 (d. рол.11,9) (40x115x110mm)Р6М5")</f>
        <v>Фреза черв'яковий модуль ланцюг 19,05 (d. рол.11,9) (40x115x110mm)Р6М5</v>
      </c>
      <c r="D2969" s="15" t="s">
        <v>6</v>
      </c>
      <c r="E2969" s="15">
        <v>6</v>
      </c>
      <c r="F2969" s="91" t="s">
        <v>75</v>
      </c>
      <c r="G2969" s="4"/>
      <c r="H2969" s="4"/>
      <c r="I2969" s="4"/>
    </row>
    <row r="2970" spans="1:9" ht="15">
      <c r="A2970" s="21">
        <f t="shared" si="53"/>
        <v>39</v>
      </c>
      <c r="B2970" s="14" t="s">
        <v>3963</v>
      </c>
      <c r="C2970" s="85" t="str">
        <f ca="1">IFERROR(__xludf.DUMMYFUNCTION("GOOGLETRANSLATE(B2970:B2985,""RU"",""UK"")"),"Фреза черв'ячна модуль ланцюг 25,4 (d. рол.15,88) 125х40 L125 Р6М5")</f>
        <v>Фреза черв'ячна модуль ланцюг 25,4 (d. рол.15,88) 125х40 L125 Р6М5</v>
      </c>
      <c r="D2970" s="15" t="s">
        <v>6</v>
      </c>
      <c r="E2970" s="15">
        <v>4</v>
      </c>
      <c r="F2970" s="91" t="s">
        <v>3476</v>
      </c>
      <c r="G2970" s="4"/>
      <c r="H2970" s="4"/>
      <c r="I2970" s="4"/>
    </row>
    <row r="2971" spans="1:9" ht="15">
      <c r="A2971" s="21">
        <f t="shared" si="53"/>
        <v>40</v>
      </c>
      <c r="B2971" s="14" t="s">
        <v>3964</v>
      </c>
      <c r="C2971" s="85" t="str">
        <f ca="1">IFERROR(__xludf.DUMMYFUNCTION("GOOGLETRANSLATE(B2971:B2986,""RU"",""UK"")"),"Фреза черв'ячна модуль ланцюг 31,75 (d. рол.19,05) 140х40 L140 Р6М5")</f>
        <v>Фреза черв'ячна модуль ланцюг 31,75 (d. рол.19,05) 140х40 L140 Р6М5</v>
      </c>
      <c r="D2971" s="15" t="s">
        <v>6</v>
      </c>
      <c r="E2971" s="15">
        <v>1</v>
      </c>
      <c r="F2971" s="91" t="s">
        <v>914</v>
      </c>
      <c r="G2971" s="4"/>
      <c r="H2971" s="4"/>
      <c r="I2971" s="4"/>
    </row>
    <row r="2972" spans="1:9" ht="15">
      <c r="A2972" s="21">
        <f t="shared" si="53"/>
        <v>41</v>
      </c>
      <c r="B2972" s="14" t="s">
        <v>3965</v>
      </c>
      <c r="C2972" s="85" t="str">
        <f ca="1">IFERROR(__xludf.DUMMYFUNCTION("GOOGLETRANSLATE(B2972:B2987,""RU"",""UK"")"),"Фреза черв'ячна шліцевих валів 6,4 х23, 4х28, 6 п6")</f>
        <v>Фреза черв'ячна шліцевих валів 6,4 х23, 4х28, 6 п6</v>
      </c>
      <c r="D2972" s="15" t="s">
        <v>6</v>
      </c>
      <c r="E2972" s="15">
        <v>1</v>
      </c>
      <c r="F2972" s="91" t="s">
        <v>63</v>
      </c>
      <c r="G2972" s="4"/>
      <c r="H2972" s="4"/>
      <c r="I2972" s="4"/>
    </row>
    <row r="2973" spans="1:9" ht="15">
      <c r="A2973" s="68" t="s">
        <v>3966</v>
      </c>
      <c r="B2973" s="69"/>
      <c r="C2973" s="110" t="s">
        <v>6043</v>
      </c>
      <c r="D2973" s="69"/>
      <c r="E2973" s="69"/>
      <c r="F2973" s="106"/>
      <c r="G2973" s="4"/>
      <c r="H2973" s="4"/>
      <c r="I2973" s="4"/>
    </row>
    <row r="2974" spans="1:9" ht="15">
      <c r="A2974" s="13">
        <v>1</v>
      </c>
      <c r="B2974" s="14" t="s">
        <v>3967</v>
      </c>
      <c r="C2974" s="85" t="str">
        <f ca="1">IFERROR(__xludf.DUMMYFUNCTION("GOOGLETRANSLATE(B2974:B2989,""RU"",""UK"")"),"Фреза кінцева М3/М3Р18двостор.")</f>
        <v>Фреза кінцева М3/М3Р18двостор.</v>
      </c>
      <c r="D2974" s="15" t="s">
        <v>6</v>
      </c>
      <c r="E2974" s="15" t="s">
        <v>3968</v>
      </c>
      <c r="F2974" s="91" t="s">
        <v>3969</v>
      </c>
      <c r="G2974" s="4"/>
      <c r="H2974" s="4"/>
      <c r="I2974" s="4"/>
    </row>
    <row r="2975" spans="1:9" ht="15">
      <c r="A2975" s="13">
        <f>A2974+1</f>
        <v>2</v>
      </c>
      <c r="B2975" s="14" t="s">
        <v>3970</v>
      </c>
      <c r="C2975" s="85" t="str">
        <f ca="1">IFERROR(__xludf.DUMMYFUNCTION("GOOGLETRANSLATE(B2975:B2990,""RU"",""UK"")"),"Фреза кінцева М4")</f>
        <v>Фреза кінцева М4</v>
      </c>
      <c r="D2975" s="15" t="s">
        <v>6</v>
      </c>
      <c r="E2975" s="15">
        <v>1206</v>
      </c>
      <c r="F2975" s="91" t="s">
        <v>167</v>
      </c>
      <c r="G2975" s="4"/>
      <c r="H2975" s="4"/>
      <c r="I2975" s="4"/>
    </row>
    <row r="2976" spans="1:9" ht="15">
      <c r="A2976" s="21">
        <f t="shared" ref="A2976:A3039" si="54">A2975+1</f>
        <v>3</v>
      </c>
      <c r="B2976" s="14" t="s">
        <v>3971</v>
      </c>
      <c r="C2976" s="85" t="str">
        <f ca="1">IFERROR(__xludf.DUMMYFUNCTION("GOOGLETRANSLATE(B2976:B2991,""RU"",""UK"")"),"Фреза кінцева М5")</f>
        <v>Фреза кінцева М5</v>
      </c>
      <c r="D2976" s="15" t="s">
        <v>6</v>
      </c>
      <c r="E2976" s="15">
        <v>511</v>
      </c>
      <c r="F2976" s="91" t="s">
        <v>201</v>
      </c>
      <c r="G2976" s="4"/>
      <c r="H2976" s="4"/>
      <c r="I2976" s="4"/>
    </row>
    <row r="2977" spans="1:9" ht="15">
      <c r="A2977" s="21">
        <f t="shared" si="54"/>
        <v>4</v>
      </c>
      <c r="B2977" s="14" t="s">
        <v>3972</v>
      </c>
      <c r="C2977" s="85" t="str">
        <f ca="1">IFERROR(__xludf.DUMMYFUNCTION("GOOGLETRANSLATE(B2977:B2992,""RU"",""UK"")"),"Фреза кінцева М6")</f>
        <v>Фреза кінцева М6</v>
      </c>
      <c r="D2977" s="15" t="s">
        <v>6</v>
      </c>
      <c r="E2977" s="15">
        <v>274</v>
      </c>
      <c r="F2977" s="91" t="s">
        <v>314</v>
      </c>
      <c r="G2977" s="4"/>
      <c r="H2977" s="4"/>
      <c r="I2977" s="4"/>
    </row>
    <row r="2978" spans="1:9" ht="15">
      <c r="A2978" s="21">
        <f t="shared" si="54"/>
        <v>5</v>
      </c>
      <c r="B2978" s="14" t="s">
        <v>3973</v>
      </c>
      <c r="C2978" s="85" t="str">
        <f ca="1">IFERROR(__xludf.DUMMYFUNCTION("GOOGLETRANSLATE(B2978:B2993,""RU"",""UK"")"),"Фреза кінцева М8")</f>
        <v>Фреза кінцева М8</v>
      </c>
      <c r="D2978" s="15" t="s">
        <v>6</v>
      </c>
      <c r="E2978" s="15">
        <v>711</v>
      </c>
      <c r="F2978" s="91" t="s">
        <v>598</v>
      </c>
      <c r="G2978" s="4"/>
      <c r="H2978" s="4"/>
      <c r="I2978" s="4"/>
    </row>
    <row r="2979" spans="1:9" ht="15">
      <c r="A2979" s="21">
        <f t="shared" si="54"/>
        <v>6</v>
      </c>
      <c r="B2979" s="14" t="s">
        <v>3974</v>
      </c>
      <c r="C2979" s="85" t="str">
        <f ca="1">IFERROR(__xludf.DUMMYFUNCTION("GOOGLETRANSLATE(B2979:B2994,""RU"",""UK"")"),"Фреза кінцева М9")</f>
        <v>Фреза кінцева М9</v>
      </c>
      <c r="D2979" s="15" t="s">
        <v>6</v>
      </c>
      <c r="E2979" s="15">
        <v>84</v>
      </c>
      <c r="F2979" s="91" t="s">
        <v>226</v>
      </c>
      <c r="G2979" s="4"/>
      <c r="H2979" s="4"/>
      <c r="I2979" s="4"/>
    </row>
    <row r="2980" spans="1:9" ht="15">
      <c r="A2980" s="21">
        <f t="shared" si="54"/>
        <v>7</v>
      </c>
      <c r="B2980" s="14" t="s">
        <v>3975</v>
      </c>
      <c r="C2980" s="85" t="str">
        <f ca="1">IFERROR(__xludf.DUMMYFUNCTION("GOOGLETRANSLATE(B2980:B2995,""RU"",""UK"")"),"Фреза кінцева М10")</f>
        <v>Фреза кінцева М10</v>
      </c>
      <c r="D2980" s="15" t="s">
        <v>6</v>
      </c>
      <c r="E2980" s="15">
        <v>76</v>
      </c>
      <c r="F2980" s="91" t="s">
        <v>104</v>
      </c>
      <c r="G2980" s="4"/>
      <c r="H2980" s="4"/>
      <c r="I2980" s="4"/>
    </row>
    <row r="2981" spans="1:9" ht="15">
      <c r="A2981" s="21">
        <f t="shared" si="54"/>
        <v>8</v>
      </c>
      <c r="B2981" s="14" t="s">
        <v>3976</v>
      </c>
      <c r="C2981" s="85" t="str">
        <f ca="1">IFERROR(__xludf.DUMMYFUNCTION("GOOGLETRANSLATE(B2981:B2996,""RU"",""UK"")"),"Фреза кінцева М10удл")</f>
        <v>Фреза кінцева М10удл</v>
      </c>
      <c r="D2981" s="15" t="s">
        <v>6</v>
      </c>
      <c r="E2981" s="15">
        <v>5</v>
      </c>
      <c r="F2981" s="91" t="s">
        <v>136</v>
      </c>
      <c r="G2981" s="4"/>
      <c r="H2981" s="4"/>
      <c r="I2981" s="4"/>
    </row>
    <row r="2982" spans="1:9" ht="15">
      <c r="A2982" s="21">
        <f t="shared" si="54"/>
        <v>9</v>
      </c>
      <c r="B2982" s="14" t="s">
        <v>3977</v>
      </c>
      <c r="C2982" s="85" t="str">
        <f ca="1">IFERROR(__xludf.DUMMYFUNCTION("GOOGLETRANSLATE(B2982:B2997,""RU"",""UK"")"),"Фреза кінцева М10 (110х65) 4 пера удл")</f>
        <v>Фреза кінцева М10 (110х65) 4 пера удл</v>
      </c>
      <c r="D2982" s="15" t="s">
        <v>6</v>
      </c>
      <c r="E2982" s="15">
        <v>2</v>
      </c>
      <c r="F2982" s="91" t="s">
        <v>351</v>
      </c>
      <c r="G2982" s="4"/>
      <c r="H2982" s="4"/>
      <c r="I2982" s="4"/>
    </row>
    <row r="2983" spans="1:9" ht="15">
      <c r="A2983" s="21">
        <f t="shared" si="54"/>
        <v>10</v>
      </c>
      <c r="B2983" s="14" t="s">
        <v>3978</v>
      </c>
      <c r="C2983" s="85" t="str">
        <f ca="1">IFERROR(__xludf.DUMMYFUNCTION("GOOGLETRANSLATE(B2983:B2998,""RU"",""UK"")"),"Фреза кінцева М12")</f>
        <v>Фреза кінцева М12</v>
      </c>
      <c r="D2983" s="15" t="s">
        <v>6</v>
      </c>
      <c r="E2983" s="15">
        <v>90</v>
      </c>
      <c r="F2983" s="91" t="s">
        <v>185</v>
      </c>
      <c r="G2983" s="4"/>
      <c r="H2983" s="4"/>
      <c r="I2983" s="4"/>
    </row>
    <row r="2984" spans="1:9" ht="15">
      <c r="A2984" s="21">
        <f t="shared" si="54"/>
        <v>11</v>
      </c>
      <c r="B2984" s="14" t="s">
        <v>3979</v>
      </c>
      <c r="C2984" s="85" t="str">
        <f ca="1">IFERROR(__xludf.DUMMYFUNCTION("GOOGLETRANSLATE(B2984:B2999,""RU"",""UK"")"),"Фреза кінцева М12х100(55) 4 пров.")</f>
        <v>Фреза кінцева М12х100(55) 4 пров.</v>
      </c>
      <c r="D2984" s="15" t="s">
        <v>6</v>
      </c>
      <c r="E2984" s="15">
        <v>2</v>
      </c>
      <c r="F2984" s="91" t="s">
        <v>567</v>
      </c>
      <c r="G2984" s="4"/>
      <c r="H2984" s="4"/>
      <c r="I2984" s="4"/>
    </row>
    <row r="2985" spans="1:9" ht="15">
      <c r="A2985" s="21">
        <f t="shared" si="54"/>
        <v>12</v>
      </c>
      <c r="B2985" s="14" t="s">
        <v>3980</v>
      </c>
      <c r="C2985" s="85" t="str">
        <f ca="1">IFERROR(__xludf.DUMMYFUNCTION("GOOGLETRANSLATE(B2985:B3000,""RU"",""UK"")"),"Фреза кінцева М14")</f>
        <v>Фреза кінцева М14</v>
      </c>
      <c r="D2985" s="15" t="s">
        <v>6</v>
      </c>
      <c r="E2985" s="15">
        <v>7</v>
      </c>
      <c r="F2985" s="91" t="s">
        <v>194</v>
      </c>
      <c r="G2985" s="4"/>
      <c r="H2985" s="4"/>
      <c r="I2985" s="4"/>
    </row>
    <row r="2986" spans="1:9" ht="15">
      <c r="A2986" s="21">
        <f t="shared" si="54"/>
        <v>13</v>
      </c>
      <c r="B2986" s="14" t="s">
        <v>3981</v>
      </c>
      <c r="C2986" s="85" t="str">
        <f ca="1">IFERROR(__xludf.DUMMYFUNCTION("GOOGLETRANSLATE(B2986:B3001,""RU"",""UK"")"),"Фреза кінцева М14 удл")</f>
        <v>Фреза кінцева М14 удл</v>
      </c>
      <c r="D2986" s="15" t="s">
        <v>6</v>
      </c>
      <c r="E2986" s="15">
        <v>7</v>
      </c>
      <c r="F2986" s="91" t="s">
        <v>319</v>
      </c>
      <c r="G2986" s="4"/>
      <c r="H2986" s="4"/>
      <c r="I2986" s="4"/>
    </row>
    <row r="2987" spans="1:9" ht="15">
      <c r="A2987" s="21">
        <f t="shared" si="54"/>
        <v>14</v>
      </c>
      <c r="B2987" s="14" t="s">
        <v>3982</v>
      </c>
      <c r="C2987" s="85" t="str">
        <f ca="1">IFERROR(__xludf.DUMMYFUNCTION("GOOGLETRANSLATE(B2987:B3002,""RU"",""UK"")"),"Фреза кінцева М16")</f>
        <v>Фреза кінцева М16</v>
      </c>
      <c r="D2987" s="15" t="s">
        <v>6</v>
      </c>
      <c r="E2987" s="15">
        <v>139</v>
      </c>
      <c r="F2987" s="91" t="s">
        <v>319</v>
      </c>
      <c r="G2987" s="4"/>
      <c r="H2987" s="4"/>
      <c r="I2987" s="4"/>
    </row>
    <row r="2988" spans="1:9" ht="15">
      <c r="A2988" s="21">
        <f t="shared" si="54"/>
        <v>15</v>
      </c>
      <c r="B2988" s="14" t="s">
        <v>3983</v>
      </c>
      <c r="C2988" s="85" t="str">
        <f ca="1">IFERROR(__xludf.DUMMYFUNCTION("GOOGLETRANSLATE(B2988:B3003,""RU"",""UK"")"),"Фреза кінцева М16удл")</f>
        <v>Фреза кінцева М16удл</v>
      </c>
      <c r="D2988" s="15" t="s">
        <v>6</v>
      </c>
      <c r="E2988" s="15">
        <v>11</v>
      </c>
      <c r="F2988" s="91" t="s">
        <v>119</v>
      </c>
      <c r="G2988" s="4"/>
      <c r="H2988" s="4"/>
      <c r="I2988" s="4"/>
    </row>
    <row r="2989" spans="1:9" ht="15">
      <c r="A2989" s="21">
        <f t="shared" si="54"/>
        <v>16</v>
      </c>
      <c r="B2989" s="14" t="s">
        <v>3984</v>
      </c>
      <c r="C2989" s="85" t="str">
        <f ca="1">IFERROR(__xludf.DUMMYFUNCTION("GOOGLETRANSLATE(B2989:B3004,""RU"",""UK"")"),"Фреза кінцева М18")</f>
        <v>Фреза кінцева М18</v>
      </c>
      <c r="D2989" s="15" t="s">
        <v>6</v>
      </c>
      <c r="E2989" s="15">
        <v>0</v>
      </c>
      <c r="F2989" s="91" t="s">
        <v>3985</v>
      </c>
      <c r="G2989" s="4"/>
      <c r="H2989" s="4"/>
      <c r="I2989" s="4"/>
    </row>
    <row r="2990" spans="1:9" ht="15">
      <c r="A2990" s="21">
        <f t="shared" si="54"/>
        <v>17</v>
      </c>
      <c r="B2990" s="14" t="s">
        <v>3986</v>
      </c>
      <c r="C2990" s="85" t="str">
        <f ca="1">IFERROR(__xludf.DUMMYFUNCTION("GOOGLETRANSLATE(B2990:B3005,""RU"",""UK"")"),"Фреза кінцева М18 удл.")</f>
        <v>Фреза кінцева М18 удл.</v>
      </c>
      <c r="D2990" s="15" t="s">
        <v>6</v>
      </c>
      <c r="E2990" s="15">
        <v>6</v>
      </c>
      <c r="F2990" s="91" t="s">
        <v>1688</v>
      </c>
      <c r="G2990" s="4"/>
      <c r="H2990" s="4"/>
      <c r="I2990" s="4"/>
    </row>
    <row r="2991" spans="1:9" ht="15">
      <c r="A2991" s="21">
        <f t="shared" si="54"/>
        <v>18</v>
      </c>
      <c r="B2991" s="14" t="s">
        <v>3987</v>
      </c>
      <c r="C2991" s="85" t="str">
        <f ca="1">IFERROR(__xludf.DUMMYFUNCTION("GOOGLETRANSLATE(B2991:B3006,""RU"",""UK"")"),"Фреза кінцева М20")</f>
        <v>Фреза кінцева М20</v>
      </c>
      <c r="D2991" s="15" t="s">
        <v>6</v>
      </c>
      <c r="E2991" s="15">
        <v>9</v>
      </c>
      <c r="F2991" s="91" t="s">
        <v>119</v>
      </c>
      <c r="G2991" s="4"/>
      <c r="H2991" s="4"/>
      <c r="I2991" s="4"/>
    </row>
    <row r="2992" spans="1:9" ht="15">
      <c r="A2992" s="21">
        <f t="shared" si="54"/>
        <v>19</v>
      </c>
      <c r="B2992" s="14" t="s">
        <v>3988</v>
      </c>
      <c r="C2992" s="85" t="str">
        <f ca="1">IFERROR(__xludf.DUMMYFUNCTION("GOOGLETRANSLATE(B2992:B3007,""RU"",""UK"")"),"Фреза кінцева М20 (145/60) удл.")</f>
        <v>Фреза кінцева М20 (145/60) удл.</v>
      </c>
      <c r="D2992" s="15" t="s">
        <v>6</v>
      </c>
      <c r="E2992" s="15">
        <v>2</v>
      </c>
      <c r="F2992" s="91" t="s">
        <v>3989</v>
      </c>
      <c r="G2992" s="4"/>
      <c r="H2992" s="4"/>
      <c r="I2992" s="4"/>
    </row>
    <row r="2993" spans="1:9" ht="15">
      <c r="A2993" s="21">
        <f t="shared" si="54"/>
        <v>20</v>
      </c>
      <c r="B2993" s="14" t="s">
        <v>3990</v>
      </c>
      <c r="C2993" s="85" t="str">
        <f ca="1">IFERROR(__xludf.DUMMYFUNCTION("GOOGLETRANSLATE(B2993:B3008,""RU"",""UK"")"),"Фреза кінцева М14к/хв.")</f>
        <v>Фреза кінцева М14к/хв.</v>
      </c>
      <c r="D2993" s="15" t="s">
        <v>6</v>
      </c>
      <c r="E2993" s="15">
        <v>132</v>
      </c>
      <c r="F2993" s="91" t="s">
        <v>263</v>
      </c>
      <c r="G2993" s="4"/>
      <c r="H2993" s="4"/>
      <c r="I2993" s="4"/>
    </row>
    <row r="2994" spans="1:9" ht="15">
      <c r="A2994" s="21">
        <f t="shared" si="54"/>
        <v>21</v>
      </c>
      <c r="B2994" s="14" t="s">
        <v>3991</v>
      </c>
      <c r="C2994" s="85" t="str">
        <f ca="1">IFERROR(__xludf.DUMMYFUNCTION("GOOGLETRANSLATE(B2994:B3009,""RU"",""UK"")"),"Фреза кінцева М14к/хв удл")</f>
        <v>Фреза кінцева М14к/хв удл</v>
      </c>
      <c r="D2994" s="15" t="s">
        <v>6</v>
      </c>
      <c r="E2994" s="15">
        <v>8</v>
      </c>
      <c r="F2994" s="91" t="s">
        <v>327</v>
      </c>
      <c r="G2994" s="4"/>
      <c r="H2994" s="4"/>
      <c r="I2994" s="4"/>
    </row>
    <row r="2995" spans="1:9" ht="15">
      <c r="A2995" s="21">
        <f t="shared" si="54"/>
        <v>22</v>
      </c>
      <c r="B2995" s="14" t="s">
        <v>3992</v>
      </c>
      <c r="C2995" s="85" t="str">
        <f ca="1">IFERROR(__xludf.DUMMYFUNCTION("GOOGLETRANSLATE(B2995:B3010,""RU"",""UK"")"),"Фреза кінцева М15к/хв.")</f>
        <v>Фреза кінцева М15к/хв.</v>
      </c>
      <c r="D2995" s="15" t="s">
        <v>6</v>
      </c>
      <c r="E2995" s="15">
        <v>1</v>
      </c>
      <c r="F2995" s="91" t="s">
        <v>327</v>
      </c>
      <c r="G2995" s="4"/>
      <c r="H2995" s="4"/>
      <c r="I2995" s="4"/>
    </row>
    <row r="2996" spans="1:9" ht="15">
      <c r="A2996" s="21">
        <f t="shared" si="54"/>
        <v>23</v>
      </c>
      <c r="B2996" s="14" t="s">
        <v>3993</v>
      </c>
      <c r="C2996" s="85" t="str">
        <f ca="1">IFERROR(__xludf.DUMMYFUNCTION("GOOGLETRANSLATE(B2996:B3011,""RU"",""UK"")"),"Фреза кінцева М16к/хв")</f>
        <v>Фреза кінцева М16к/хв</v>
      </c>
      <c r="D2996" s="15" t="s">
        <v>6</v>
      </c>
      <c r="E2996" s="15">
        <v>28</v>
      </c>
      <c r="F2996" s="91" t="s">
        <v>327</v>
      </c>
      <c r="G2996" s="4"/>
      <c r="H2996" s="4"/>
      <c r="I2996" s="4"/>
    </row>
    <row r="2997" spans="1:9" ht="15">
      <c r="A2997" s="21">
        <f t="shared" si="54"/>
        <v>24</v>
      </c>
      <c r="B2997" s="14" t="s">
        <v>3994</v>
      </c>
      <c r="C2997" s="85" t="str">
        <f ca="1">IFERROR(__xludf.DUMMYFUNCTION("GOOGLETRANSLATE(B2997:B3012,""RU"",""UK"")"),"Фреза кінцева М16х55к/хв / М16х70к/хв удл")</f>
        <v>Фреза кінцева М16х55к/хв / М16х70к/хв удл</v>
      </c>
      <c r="D2997" s="15" t="s">
        <v>6</v>
      </c>
      <c r="E2997" s="15" t="s">
        <v>3995</v>
      </c>
      <c r="F2997" s="91" t="s">
        <v>140</v>
      </c>
      <c r="G2997" s="4"/>
      <c r="H2997" s="4"/>
      <c r="I2997" s="4"/>
    </row>
    <row r="2998" spans="1:9" ht="15">
      <c r="A2998" s="21">
        <f t="shared" si="54"/>
        <v>25</v>
      </c>
      <c r="B2998" s="14" t="s">
        <v>3996</v>
      </c>
      <c r="C2998" s="85" t="str">
        <f ca="1">IFERROR(__xludf.DUMMYFUNCTION("GOOGLETRANSLATE(B2998:B3013,""RU"",""UK"")"),"Фреза кінцева М16 (раб 120) к/хв")</f>
        <v>Фреза кінцева М16 (раб 120) к/хв</v>
      </c>
      <c r="D2998" s="15" t="s">
        <v>6</v>
      </c>
      <c r="E2998" s="15">
        <v>2</v>
      </c>
      <c r="F2998" s="91" t="s">
        <v>20</v>
      </c>
      <c r="G2998" s="4"/>
      <c r="H2998" s="4"/>
      <c r="I2998" s="4"/>
    </row>
    <row r="2999" spans="1:9" ht="15">
      <c r="A2999" s="21">
        <f t="shared" si="54"/>
        <v>26</v>
      </c>
      <c r="B2999" s="14" t="s">
        <v>3997</v>
      </c>
      <c r="C2999" s="85" t="str">
        <f ca="1">IFERROR(__xludf.DUMMYFUNCTION("GOOGLETRANSLATE(B2999:B3014,""RU"",""UK"")"),"Фреза кінцева М18к/хв/М18,5к/хв")</f>
        <v>Фреза кінцева М18к/хв/М18,5к/хв</v>
      </c>
      <c r="D2999" s="15" t="s">
        <v>6</v>
      </c>
      <c r="E2999" s="15" t="s">
        <v>3998</v>
      </c>
      <c r="F2999" s="91" t="s">
        <v>140</v>
      </c>
      <c r="G2999" s="4"/>
      <c r="H2999" s="4"/>
      <c r="I2999" s="4"/>
    </row>
    <row r="3000" spans="1:9" ht="15">
      <c r="A3000" s="21">
        <f t="shared" si="54"/>
        <v>27</v>
      </c>
      <c r="B3000" s="14" t="s">
        <v>3999</v>
      </c>
      <c r="C3000" s="85" t="str">
        <f ca="1">IFERROR(__xludf.DUMMYFUNCTION("GOOGLETRANSLATE(B3000:B3015,""RU"",""UK"")"),"Фреза кінцева М18удл до/кв.")</f>
        <v>Фреза кінцева М18удл до/кв.</v>
      </c>
      <c r="D3000" s="15" t="s">
        <v>6</v>
      </c>
      <c r="E3000" s="15">
        <v>49</v>
      </c>
      <c r="F3000" s="91" t="s">
        <v>20</v>
      </c>
      <c r="G3000" s="4"/>
      <c r="H3000" s="4"/>
      <c r="I3000" s="4"/>
    </row>
    <row r="3001" spans="1:9" ht="15">
      <c r="A3001" s="21">
        <f t="shared" si="54"/>
        <v>28</v>
      </c>
      <c r="B3001" s="14" t="s">
        <v>4000</v>
      </c>
      <c r="C3001" s="85" t="str">
        <f ca="1">IFERROR(__xludf.DUMMYFUNCTION("GOOGLETRANSLATE(B3001:B3016,""RU"",""UK"")"),"Фреза кінцева М19,7/М20к/хв/М20.9к/хв")</f>
        <v>Фреза кінцева М19,7/М20к/хв/М20.9к/хв</v>
      </c>
      <c r="D3001" s="15" t="s">
        <v>6</v>
      </c>
      <c r="E3001" s="15" t="s">
        <v>4001</v>
      </c>
      <c r="F3001" s="91" t="s">
        <v>24</v>
      </c>
      <c r="G3001" s="4"/>
      <c r="H3001" s="4"/>
      <c r="I3001" s="4"/>
    </row>
    <row r="3002" spans="1:9" ht="15">
      <c r="A3002" s="21">
        <f t="shared" si="54"/>
        <v>29</v>
      </c>
      <c r="B3002" s="14" t="s">
        <v>4002</v>
      </c>
      <c r="C3002" s="85" t="str">
        <f ca="1">IFERROR(__xludf.DUMMYFUNCTION("GOOGLETRANSLATE(B3002:B3017,""RU"",""UK"")"),"Фреза кінцева М20х70удл Z5 к/хв КМ2")</f>
        <v>Фреза кінцева М20х70удл Z5 к/хв КМ2</v>
      </c>
      <c r="D3002" s="15" t="s">
        <v>6</v>
      </c>
      <c r="E3002" s="15">
        <v>1</v>
      </c>
      <c r="F3002" s="91" t="s">
        <v>3918</v>
      </c>
      <c r="G3002" s="4"/>
      <c r="H3002" s="4"/>
      <c r="I3002" s="4"/>
    </row>
    <row r="3003" spans="1:9" ht="15">
      <c r="A3003" s="21">
        <f t="shared" si="54"/>
        <v>30</v>
      </c>
      <c r="B3003" s="14" t="s">
        <v>4003</v>
      </c>
      <c r="C3003" s="85" t="str">
        <f ca="1">IFERROR(__xludf.DUMMYFUNCTION("GOOGLETRANSLATE(B3003:B3018,""RU"",""UK"")"),"Фреза кінцева М20х170(70) удл Z5 к/хв КМ3")</f>
        <v>Фреза кінцева М20х170(70) удл Z5 к/хв КМ3</v>
      </c>
      <c r="D3003" s="15" t="s">
        <v>6</v>
      </c>
      <c r="E3003" s="15">
        <v>1</v>
      </c>
      <c r="F3003" s="91" t="s">
        <v>3918</v>
      </c>
      <c r="G3003" s="4"/>
      <c r="H3003" s="4"/>
      <c r="I3003" s="4"/>
    </row>
    <row r="3004" spans="1:9" ht="15">
      <c r="A3004" s="21">
        <f t="shared" si="54"/>
        <v>31</v>
      </c>
      <c r="B3004" s="14" t="s">
        <v>4004</v>
      </c>
      <c r="C3004" s="85" t="str">
        <f ca="1">IFERROR(__xludf.DUMMYFUNCTION("GOOGLETRANSLATE(B3004:B3019,""RU"",""UK"")"),"Фреза кінцева М20х210(110) удл Z5 к/хв КМ3")</f>
        <v>Фреза кінцева М20х210(110) удл Z5 к/хв КМ3</v>
      </c>
      <c r="D3004" s="15" t="s">
        <v>6</v>
      </c>
      <c r="E3004" s="15">
        <v>1</v>
      </c>
      <c r="F3004" s="91" t="s">
        <v>3918</v>
      </c>
      <c r="G3004" s="4"/>
      <c r="H3004" s="4"/>
      <c r="I3004" s="4"/>
    </row>
    <row r="3005" spans="1:9" ht="15">
      <c r="A3005" s="21">
        <f t="shared" si="54"/>
        <v>32</v>
      </c>
      <c r="B3005" s="14" t="s">
        <v>4005</v>
      </c>
      <c r="C3005" s="85" t="str">
        <f ca="1">IFERROR(__xludf.DUMMYFUNCTION("GOOGLETRANSLATE(B3005:B3020,""RU"",""UK"")"),"Фреза кінцева М20удл до/хв / 20х100удл до/хв")</f>
        <v>Фреза кінцева М20удл до/хв / 20х100удл до/хв</v>
      </c>
      <c r="D3005" s="15" t="s">
        <v>6</v>
      </c>
      <c r="E3005" s="15" t="s">
        <v>2004</v>
      </c>
      <c r="F3005" s="91" t="s">
        <v>3918</v>
      </c>
      <c r="G3005" s="4"/>
      <c r="H3005" s="4"/>
      <c r="I3005" s="4"/>
    </row>
    <row r="3006" spans="1:9" ht="15">
      <c r="A3006" s="21">
        <f t="shared" si="54"/>
        <v>33</v>
      </c>
      <c r="B3006" s="14" t="s">
        <v>4006</v>
      </c>
      <c r="C3006" s="85" t="str">
        <f ca="1">IFERROR(__xludf.DUMMYFUNCTION("GOOGLETRANSLATE(B3006:B3021,""RU"",""UK"")"),"Фреза кінцева М20х200 (раб 40мм) удл до/хв")</f>
        <v>Фреза кінцева М20х200 (раб 40мм) удл до/хв</v>
      </c>
      <c r="D3006" s="15" t="s">
        <v>6</v>
      </c>
      <c r="E3006" s="15">
        <v>2</v>
      </c>
      <c r="F3006" s="91" t="s">
        <v>3918</v>
      </c>
      <c r="G3006" s="4"/>
      <c r="H3006" s="4"/>
      <c r="I3006" s="4"/>
    </row>
    <row r="3007" spans="1:9" ht="15">
      <c r="A3007" s="21">
        <f t="shared" si="54"/>
        <v>34</v>
      </c>
      <c r="B3007" s="14" t="s">
        <v>4007</v>
      </c>
      <c r="C3007" s="85" t="str">
        <f ca="1">IFERROR(__xludf.DUMMYFUNCTION("GOOGLETRANSLATE(B3007:B3022,""RU"",""UK"")"),"Фреза кінцева М21,3/М22к/хв")</f>
        <v>Фреза кінцева М21,3/М22к/хв</v>
      </c>
      <c r="D3007" s="15" t="s">
        <v>6</v>
      </c>
      <c r="E3007" s="15" t="s">
        <v>4008</v>
      </c>
      <c r="F3007" s="91" t="s">
        <v>106</v>
      </c>
      <c r="G3007" s="4"/>
      <c r="H3007" s="4"/>
      <c r="I3007" s="4"/>
    </row>
    <row r="3008" spans="1:9" ht="15">
      <c r="A3008" s="21">
        <f t="shared" si="54"/>
        <v>35</v>
      </c>
      <c r="B3008" s="14" t="s">
        <v>4009</v>
      </c>
      <c r="C3008" s="85" t="str">
        <f ca="1">IFERROR(__xludf.DUMMYFUNCTION("GOOGLETRANSLATE(B3008:B3023,""RU"",""UK"")"),"Фреза кінцева М22х60удл.к/хв/М22х90удл.")</f>
        <v>Фреза кінцева М22х60удл.к/хв/М22х90удл.</v>
      </c>
      <c r="D3008" s="15" t="s">
        <v>6</v>
      </c>
      <c r="E3008" s="15" t="s">
        <v>4010</v>
      </c>
      <c r="F3008" s="91" t="s">
        <v>27</v>
      </c>
      <c r="G3008" s="4"/>
      <c r="H3008" s="4"/>
      <c r="I3008" s="4"/>
    </row>
    <row r="3009" spans="1:9" ht="15">
      <c r="A3009" s="21">
        <f t="shared" si="54"/>
        <v>36</v>
      </c>
      <c r="B3009" s="16" t="s">
        <v>4011</v>
      </c>
      <c r="C3009" s="85" t="str">
        <f ca="1">IFERROR(__xludf.DUMMYFUNCTION("GOOGLETRANSLATE(B3009:B3024,""RU"",""UK"")"),"Фреза кінцева М24к/хв 3х пров.")</f>
        <v>Фреза кінцева М24к/хв 3х пров.</v>
      </c>
      <c r="D3009" s="17" t="s">
        <v>6</v>
      </c>
      <c r="E3009" s="17">
        <v>3</v>
      </c>
      <c r="F3009" s="92" t="s">
        <v>22</v>
      </c>
      <c r="G3009" s="4"/>
      <c r="H3009" s="4"/>
      <c r="I3009" s="4"/>
    </row>
    <row r="3010" spans="1:9" ht="15">
      <c r="A3010" s="21">
        <f t="shared" si="54"/>
        <v>37</v>
      </c>
      <c r="B3010" s="14" t="s">
        <v>4012</v>
      </c>
      <c r="C3010" s="85" t="str">
        <f ca="1">IFERROR(__xludf.DUMMYFUNCTION("GOOGLETRANSLATE(B3010:B3025,""RU"",""UK"")"),"Фреза кінцева М25ц/хв")</f>
        <v>Фреза кінцева М25ц/хв</v>
      </c>
      <c r="D3010" s="15" t="s">
        <v>6</v>
      </c>
      <c r="E3010" s="15">
        <v>11</v>
      </c>
      <c r="F3010" s="91" t="s">
        <v>22</v>
      </c>
      <c r="G3010" s="4"/>
      <c r="H3010" s="4"/>
      <c r="I3010" s="4"/>
    </row>
    <row r="3011" spans="1:9" ht="15">
      <c r="A3011" s="21">
        <f t="shared" si="54"/>
        <v>38</v>
      </c>
      <c r="B3011" s="14" t="s">
        <v>4013</v>
      </c>
      <c r="C3011" s="85" t="str">
        <f ca="1">IFERROR(__xludf.DUMMYFUNCTION("GOOGLETRANSLATE(B3011:B3026,""RU"",""UK"")"),"Фреза кінцева М25к/хв Z3/Z5")</f>
        <v>Фреза кінцева М25к/хв Z3/Z5</v>
      </c>
      <c r="D3011" s="15" t="s">
        <v>6</v>
      </c>
      <c r="E3011" s="15" t="s">
        <v>4014</v>
      </c>
      <c r="F3011" s="91" t="s">
        <v>22</v>
      </c>
      <c r="G3011" s="4"/>
      <c r="H3011" s="4"/>
      <c r="I3011" s="4"/>
    </row>
    <row r="3012" spans="1:9" ht="15">
      <c r="A3012" s="21">
        <f t="shared" si="54"/>
        <v>39</v>
      </c>
      <c r="B3012" s="14" t="s">
        <v>4015</v>
      </c>
      <c r="C3012" s="85" t="str">
        <f ca="1">IFERROR(__xludf.DUMMYFUNCTION("GOOGLETRANSLATE(B3012:B3027,""RU"",""UK"")"),"Фреза кінцева М25х50 Z5 КМ3 Р18/М25х70 Z5 к/хв")</f>
        <v>Фреза кінцева М25х50 Z5 КМ3 Р18/М25х70 Z5 к/хв</v>
      </c>
      <c r="D3012" s="15" t="s">
        <v>6</v>
      </c>
      <c r="E3012" s="15" t="s">
        <v>749</v>
      </c>
      <c r="F3012" s="91" t="s">
        <v>413</v>
      </c>
      <c r="G3012" s="4"/>
      <c r="H3012" s="4"/>
      <c r="I3012" s="4"/>
    </row>
    <row r="3013" spans="1:9" ht="15">
      <c r="A3013" s="21">
        <f t="shared" si="54"/>
        <v>40</v>
      </c>
      <c r="B3013" s="14" t="s">
        <v>4016</v>
      </c>
      <c r="C3013" s="85" t="str">
        <f ca="1">IFERROR(__xludf.DUMMYFUNCTION("GOOGLETRANSLATE(B3013:B3028,""RU"",""UK"")"),"Фреза кінцева М25х185(80) удл.")</f>
        <v>Фреза кінцева М25х185(80) удл.</v>
      </c>
      <c r="D3013" s="15" t="s">
        <v>6</v>
      </c>
      <c r="E3013" s="15">
        <v>1</v>
      </c>
      <c r="F3013" s="91" t="s">
        <v>53</v>
      </c>
      <c r="G3013" s="4"/>
      <c r="H3013" s="4"/>
      <c r="I3013" s="4"/>
    </row>
    <row r="3014" spans="1:9" ht="15">
      <c r="A3014" s="21">
        <f t="shared" si="54"/>
        <v>41</v>
      </c>
      <c r="B3014" s="14" t="s">
        <v>4017</v>
      </c>
      <c r="C3014" s="85" t="str">
        <f ca="1">IFERROR(__xludf.DUMMYFUNCTION("GOOGLETRANSLATE(B3014:B3029,""RU"",""UK"")"),"Фреза кінцева М25х80 удл.")</f>
        <v>Фреза кінцева М25х80 удл.</v>
      </c>
      <c r="D3014" s="15" t="s">
        <v>6</v>
      </c>
      <c r="E3014" s="15">
        <v>1</v>
      </c>
      <c r="F3014" s="91" t="s">
        <v>53</v>
      </c>
      <c r="G3014" s="4"/>
      <c r="H3014" s="4"/>
      <c r="I3014" s="4"/>
    </row>
    <row r="3015" spans="1:9" ht="15">
      <c r="A3015" s="21">
        <f t="shared" si="54"/>
        <v>42</v>
      </c>
      <c r="B3015" s="14" t="s">
        <v>4018</v>
      </c>
      <c r="C3015" s="85" t="str">
        <f ca="1">IFERROR(__xludf.DUMMYFUNCTION("GOOGLETRANSLATE(B3015:B3030,""RU"",""UK"")"),"Фреза кінцева М25х100 удл.")</f>
        <v>Фреза кінцева М25х100 удл.</v>
      </c>
      <c r="D3015" s="15" t="s">
        <v>6</v>
      </c>
      <c r="E3015" s="15">
        <v>12</v>
      </c>
      <c r="F3015" s="91" t="s">
        <v>78</v>
      </c>
      <c r="G3015" s="4"/>
      <c r="H3015" s="4"/>
      <c r="I3015" s="4"/>
    </row>
    <row r="3016" spans="1:9" ht="15">
      <c r="A3016" s="21">
        <f t="shared" si="54"/>
        <v>43</v>
      </c>
      <c r="B3016" s="16" t="s">
        <v>4019</v>
      </c>
      <c r="C3016" s="85" t="str">
        <f ca="1">IFERROR(__xludf.DUMMYFUNCTION("GOOGLETRANSLATE(B3016:B3031,""RU"",""UK"")"),"Фреза кінцева М26к/хв")</f>
        <v>Фреза кінцева М26к/хв</v>
      </c>
      <c r="D3016" s="15" t="s">
        <v>6</v>
      </c>
      <c r="E3016" s="15">
        <v>1</v>
      </c>
      <c r="F3016" s="91" t="s">
        <v>272</v>
      </c>
      <c r="G3016" s="4"/>
      <c r="H3016" s="4"/>
      <c r="I3016" s="4"/>
    </row>
    <row r="3017" spans="1:9" ht="15">
      <c r="A3017" s="21">
        <f t="shared" si="54"/>
        <v>44</v>
      </c>
      <c r="B3017" s="16" t="s">
        <v>4020</v>
      </c>
      <c r="C3017" s="85" t="str">
        <f ca="1">IFERROR(__xludf.DUMMYFUNCTION("GOOGLETRANSLATE(B3017:B3032,""RU"",""UK"")"),"Фреза кінцева М26х240 (100) КМ4 удл.")</f>
        <v>Фреза кінцева М26х240 (100) КМ4 удл.</v>
      </c>
      <c r="D3017" s="15" t="s">
        <v>6</v>
      </c>
      <c r="E3017" s="15">
        <v>1</v>
      </c>
      <c r="F3017" s="91" t="s">
        <v>27</v>
      </c>
      <c r="G3017" s="4"/>
      <c r="H3017" s="4"/>
      <c r="I3017" s="4"/>
    </row>
    <row r="3018" spans="1:9" ht="15">
      <c r="A3018" s="21">
        <f t="shared" si="54"/>
        <v>45</v>
      </c>
      <c r="B3018" s="16" t="s">
        <v>4021</v>
      </c>
      <c r="C3018" s="85" t="str">
        <f ca="1">IFERROR(__xludf.DUMMYFUNCTION("GOOGLETRANSLATE(B3018:B3033,""RU"",""UK"")"),"Фреза кінцева М26х260 (120) КМ4 удл.")</f>
        <v>Фреза кінцева М26х260 (120) КМ4 удл.</v>
      </c>
      <c r="D3018" s="15" t="s">
        <v>6</v>
      </c>
      <c r="E3018" s="15">
        <v>6</v>
      </c>
      <c r="F3018" s="91" t="s">
        <v>78</v>
      </c>
      <c r="G3018" s="4"/>
      <c r="H3018" s="4"/>
      <c r="I3018" s="4"/>
    </row>
    <row r="3019" spans="1:9" ht="15">
      <c r="A3019" s="21">
        <f t="shared" si="54"/>
        <v>46</v>
      </c>
      <c r="B3019" s="14" t="s">
        <v>4022</v>
      </c>
      <c r="C3019" s="85" t="str">
        <f ca="1">IFERROR(__xludf.DUMMYFUNCTION("GOOGLETRANSLATE(B3019:B3034,""RU"",""UK"")"),"Фреза кінцева М28к/хв")</f>
        <v>Фреза кінцева М28к/хв</v>
      </c>
      <c r="D3019" s="15" t="s">
        <v>6</v>
      </c>
      <c r="E3019" s="15">
        <v>99</v>
      </c>
      <c r="F3019" s="91" t="s">
        <v>272</v>
      </c>
      <c r="G3019" s="4"/>
      <c r="H3019" s="4"/>
      <c r="I3019" s="4"/>
    </row>
    <row r="3020" spans="1:9" ht="15">
      <c r="A3020" s="21">
        <f t="shared" si="54"/>
        <v>47</v>
      </c>
      <c r="B3020" s="14" t="s">
        <v>4023</v>
      </c>
      <c r="C3020" s="85" t="str">
        <f ca="1">IFERROR(__xludf.DUMMYFUNCTION("GOOGLETRANSLATE(B3020:B3035,""RU"",""UK"")"),"Фреза кінцева М28х70удл. к/хв/М28х90удл. КМ4 Z3")</f>
        <v>Фреза кінцева М28х70удл. к/хв/М28х90удл. КМ4 Z3</v>
      </c>
      <c r="D3020" s="15" t="s">
        <v>6</v>
      </c>
      <c r="E3020" s="15" t="s">
        <v>749</v>
      </c>
      <c r="F3020" s="91" t="s">
        <v>4024</v>
      </c>
      <c r="G3020" s="4"/>
      <c r="H3020" s="4"/>
      <c r="I3020" s="4"/>
    </row>
    <row r="3021" spans="1:9" ht="15">
      <c r="A3021" s="21">
        <f t="shared" si="54"/>
        <v>48</v>
      </c>
      <c r="B3021" s="16" t="s">
        <v>4025</v>
      </c>
      <c r="C3021" s="85" t="str">
        <f ca="1">IFERROR(__xludf.DUMMYFUNCTION("GOOGLETRANSLATE(B3021:B3036,""RU"",""UK"")"),"Фреза кінцева М28х100удл. до/хв")</f>
        <v>Фреза кінцева М28х100удл. до/хв</v>
      </c>
      <c r="D3021" s="15" t="s">
        <v>6</v>
      </c>
      <c r="E3021" s="17">
        <v>1</v>
      </c>
      <c r="F3021" s="91" t="s">
        <v>4026</v>
      </c>
      <c r="G3021" s="4"/>
      <c r="H3021" s="4"/>
      <c r="I3021" s="4"/>
    </row>
    <row r="3022" spans="1:9" ht="15">
      <c r="A3022" s="21">
        <f t="shared" si="54"/>
        <v>49</v>
      </c>
      <c r="B3022" s="14" t="s">
        <v>4027</v>
      </c>
      <c r="C3022" s="85" t="str">
        <f ca="1">IFERROR(__xludf.DUMMYFUNCTION("GOOGLETRANSLATE(B3022:B3037,""RU"",""UK"")"),"Фреза кінцева М28х280удл.Z4 КМ4")</f>
        <v>Фреза кінцева М28х280удл.Z4 КМ4</v>
      </c>
      <c r="D3022" s="15" t="s">
        <v>6</v>
      </c>
      <c r="E3022" s="17">
        <v>1</v>
      </c>
      <c r="F3022" s="91" t="s">
        <v>4026</v>
      </c>
      <c r="G3022" s="4"/>
      <c r="H3022" s="4"/>
      <c r="I3022" s="4"/>
    </row>
    <row r="3023" spans="1:9" ht="15">
      <c r="A3023" s="21">
        <f t="shared" si="54"/>
        <v>50</v>
      </c>
      <c r="B3023" s="16" t="s">
        <v>4028</v>
      </c>
      <c r="C3023" s="85" t="str">
        <f ca="1">IFERROR(__xludf.DUMMYFUNCTION("GOOGLETRANSLATE(B3023:B3038,""RU"",""UK"")"),"Фреза кінцева М30 Z4 КМ4 Р6М5/М30 Z6 КМ4 Р18")</f>
        <v>Фреза кінцева М30 Z4 КМ4 Р6М5/М30 Z6 КМ4 Р18</v>
      </c>
      <c r="D3023" s="15" t="s">
        <v>6</v>
      </c>
      <c r="E3023" s="17" t="s">
        <v>774</v>
      </c>
      <c r="F3023" s="91" t="s">
        <v>138</v>
      </c>
      <c r="G3023" s="4"/>
      <c r="H3023" s="4"/>
      <c r="I3023" s="4"/>
    </row>
    <row r="3024" spans="1:9" ht="15">
      <c r="A3024" s="21">
        <f t="shared" si="54"/>
        <v>51</v>
      </c>
      <c r="B3024" s="14" t="s">
        <v>4029</v>
      </c>
      <c r="C3024" s="85" t="str">
        <f ca="1">IFERROR(__xludf.DUMMYFUNCTION("GOOGLETRANSLATE(B3024:B3039,""RU"",""UK"")"),"Фреза кінцева М30х70 Z4 КМ4 удл.")</f>
        <v>Фреза кінцева М30х70 Z4 КМ4 удл.</v>
      </c>
      <c r="D3024" s="15" t="s">
        <v>6</v>
      </c>
      <c r="E3024" s="15">
        <v>1</v>
      </c>
      <c r="F3024" s="91" t="s">
        <v>33</v>
      </c>
      <c r="G3024" s="4"/>
      <c r="H3024" s="4"/>
      <c r="I3024" s="4"/>
    </row>
    <row r="3025" spans="1:9" ht="15">
      <c r="A3025" s="21">
        <f t="shared" si="54"/>
        <v>52</v>
      </c>
      <c r="B3025" s="14" t="s">
        <v>4030</v>
      </c>
      <c r="C3025" s="85" t="str">
        <f ca="1">IFERROR(__xludf.DUMMYFUNCTION("GOOGLETRANSLATE(B3025:B3040,""RU"",""UK"")"),"Фреза кінцева М30х130к/хв удл.")</f>
        <v>Фреза кінцева М30х130к/хв удл.</v>
      </c>
      <c r="D3025" s="15" t="s">
        <v>6</v>
      </c>
      <c r="E3025" s="15">
        <v>1</v>
      </c>
      <c r="F3025" s="91" t="s">
        <v>283</v>
      </c>
      <c r="G3025" s="4"/>
      <c r="H3025" s="4"/>
      <c r="I3025" s="4"/>
    </row>
    <row r="3026" spans="1:9" ht="15">
      <c r="A3026" s="21">
        <f t="shared" si="54"/>
        <v>53</v>
      </c>
      <c r="B3026" s="14" t="s">
        <v>4031</v>
      </c>
      <c r="C3026" s="85" t="str">
        <f ca="1">IFERROR(__xludf.DUMMYFUNCTION("GOOGLETRANSLATE(B3026:B3041,""RU"",""UK"")"),"Фреза кінцева М30х150к/хв удл")</f>
        <v>Фреза кінцева М30х150к/хв удл</v>
      </c>
      <c r="D3026" s="15" t="s">
        <v>6</v>
      </c>
      <c r="E3026" s="15">
        <v>3</v>
      </c>
      <c r="F3026" s="91" t="s">
        <v>102</v>
      </c>
      <c r="G3026" s="4"/>
      <c r="H3026" s="4"/>
      <c r="I3026" s="4"/>
    </row>
    <row r="3027" spans="1:9" ht="15">
      <c r="A3027" s="21">
        <f t="shared" si="54"/>
        <v>54</v>
      </c>
      <c r="B3027" s="14" t="s">
        <v>4032</v>
      </c>
      <c r="C3027" s="85" t="str">
        <f ca="1">IFERROR(__xludf.DUMMYFUNCTION("GOOGLETRANSLATE(B3027:B3042,""RU"",""UK"")"),"Фреза кінцева М30х200к/хв удл.")</f>
        <v>Фреза кінцева М30х200к/хв удл.</v>
      </c>
      <c r="D3027" s="15" t="s">
        <v>6</v>
      </c>
      <c r="E3027" s="15">
        <v>4</v>
      </c>
      <c r="F3027" s="91" t="s">
        <v>88</v>
      </c>
      <c r="G3027" s="4"/>
      <c r="H3027" s="4"/>
      <c r="I3027" s="4"/>
    </row>
    <row r="3028" spans="1:9" ht="15">
      <c r="A3028" s="21">
        <f t="shared" si="54"/>
        <v>55</v>
      </c>
      <c r="B3028" s="14" t="s">
        <v>4033</v>
      </c>
      <c r="C3028" s="85" t="str">
        <f ca="1">IFERROR(__xludf.DUMMYFUNCTION("GOOGLETRANSLATE(B3028:B3043,""RU"",""UK"")"),"Фреза кінцева М32к/хв/32 ц/хв")</f>
        <v>Фреза кінцева М32к/хв/32 ц/хв</v>
      </c>
      <c r="D3028" s="15" t="s">
        <v>6</v>
      </c>
      <c r="E3028" s="15" t="s">
        <v>4034</v>
      </c>
      <c r="F3028" s="91" t="s">
        <v>413</v>
      </c>
      <c r="G3028" s="4"/>
      <c r="H3028" s="4"/>
      <c r="I3028" s="4"/>
    </row>
    <row r="3029" spans="1:9" ht="15">
      <c r="A3029" s="21">
        <f t="shared" si="54"/>
        <v>56</v>
      </c>
      <c r="B3029" s="14" t="s">
        <v>4035</v>
      </c>
      <c r="C3029" s="85" t="str">
        <f ca="1">IFERROR(__xludf.DUMMYFUNCTION("GOOGLETRANSLATE(B3029:B3044,""RU"",""UK"")"),"Фреза кінцева М32 Z6 КМ4")</f>
        <v>Фреза кінцева М32 Z6 КМ4</v>
      </c>
      <c r="D3029" s="15" t="s">
        <v>6</v>
      </c>
      <c r="E3029" s="15">
        <v>2</v>
      </c>
      <c r="F3029" s="91" t="s">
        <v>413</v>
      </c>
      <c r="G3029" s="4"/>
      <c r="H3029" s="4"/>
      <c r="I3029" s="4"/>
    </row>
    <row r="3030" spans="1:9" ht="15">
      <c r="A3030" s="21">
        <f t="shared" si="54"/>
        <v>57</v>
      </c>
      <c r="B3030" s="14" t="s">
        <v>4036</v>
      </c>
      <c r="C3030" s="85" t="str">
        <f ca="1">IFERROR(__xludf.DUMMYFUNCTION("GOOGLETRANSLATE(B3030:B3045,""RU"",""UK"")"),"Фреза кінцева М32х160удл.")</f>
        <v>Фреза кінцева М32х160удл.</v>
      </c>
      <c r="D3030" s="15" t="s">
        <v>6</v>
      </c>
      <c r="E3030" s="15">
        <v>5</v>
      </c>
      <c r="F3030" s="91" t="s">
        <v>4026</v>
      </c>
      <c r="G3030" s="4"/>
      <c r="H3030" s="4"/>
      <c r="I3030" s="4"/>
    </row>
    <row r="3031" spans="1:9" ht="15">
      <c r="A3031" s="21">
        <f t="shared" si="54"/>
        <v>58</v>
      </c>
      <c r="B3031" s="14" t="s">
        <v>4037</v>
      </c>
      <c r="C3031" s="85" t="str">
        <f ca="1">IFERROR(__xludf.DUMMYFUNCTION("GOOGLETRANSLATE(B3031:B3046,""RU"",""UK"")"),"Фреза кінцева М34 КМ4 Z4")</f>
        <v>Фреза кінцева М34 КМ4 Z4</v>
      </c>
      <c r="D3031" s="15" t="s">
        <v>6</v>
      </c>
      <c r="E3031" s="15">
        <v>3</v>
      </c>
      <c r="F3031" s="91" t="s">
        <v>53</v>
      </c>
      <c r="G3031" s="4"/>
      <c r="H3031" s="4"/>
      <c r="I3031" s="4"/>
    </row>
    <row r="3032" spans="1:9" ht="15">
      <c r="A3032" s="21">
        <f t="shared" si="54"/>
        <v>59</v>
      </c>
      <c r="B3032" s="14" t="s">
        <v>4038</v>
      </c>
      <c r="C3032" s="85" t="str">
        <f ca="1">IFERROR(__xludf.DUMMYFUNCTION("GOOGLETRANSLATE(B3032:B3047,""RU"",""UK"")"),"Фреза кінцева М35к/хв")</f>
        <v>Фреза кінцева М35к/хв</v>
      </c>
      <c r="D3032" s="15" t="s">
        <v>6</v>
      </c>
      <c r="E3032" s="15">
        <v>24</v>
      </c>
      <c r="F3032" s="91" t="s">
        <v>53</v>
      </c>
      <c r="G3032" s="4"/>
      <c r="H3032" s="4"/>
      <c r="I3032" s="4"/>
    </row>
    <row r="3033" spans="1:9" ht="15">
      <c r="A3033" s="21">
        <f t="shared" si="54"/>
        <v>60</v>
      </c>
      <c r="B3033" s="14" t="s">
        <v>4039</v>
      </c>
      <c r="C3033" s="85" t="str">
        <f ca="1">IFERROR(__xludf.DUMMYFUNCTION("GOOGLETRANSLATE(B3033:B3048,""RU"",""UK"")"),"Фреза кінцева М35удл. до/хв")</f>
        <v>Фреза кінцева М35удл. до/хв</v>
      </c>
      <c r="D3033" s="15" t="s">
        <v>6</v>
      </c>
      <c r="E3033" s="15">
        <v>4</v>
      </c>
      <c r="F3033" s="91" t="s">
        <v>100</v>
      </c>
      <c r="G3033" s="4"/>
      <c r="H3033" s="4"/>
      <c r="I3033" s="4"/>
    </row>
    <row r="3034" spans="1:9" ht="15">
      <c r="A3034" s="21">
        <f t="shared" si="54"/>
        <v>61</v>
      </c>
      <c r="B3034" s="14" t="s">
        <v>4040</v>
      </c>
      <c r="C3034" s="85" t="str">
        <f ca="1">IFERROR(__xludf.DUMMYFUNCTION("GOOGLETRANSLATE(B3034:B3049,""RU"",""UK"")"),"Фреза кінцева М36к/хв.")</f>
        <v>Фреза кінцева М36к/хв.</v>
      </c>
      <c r="D3034" s="15" t="s">
        <v>6</v>
      </c>
      <c r="E3034" s="15">
        <v>117</v>
      </c>
      <c r="F3034" s="91" t="s">
        <v>36</v>
      </c>
      <c r="G3034" s="4"/>
      <c r="H3034" s="4"/>
      <c r="I3034" s="4"/>
    </row>
    <row r="3035" spans="1:9" ht="15">
      <c r="A3035" s="21">
        <f t="shared" si="54"/>
        <v>62</v>
      </c>
      <c r="B3035" s="14" t="s">
        <v>4041</v>
      </c>
      <c r="C3035" s="85" t="str">
        <f ca="1">IFERROR(__xludf.DUMMYFUNCTION("GOOGLETRANSLATE(B3035:B3050,""RU"",""UK"")"),"Фреза кінцева М36удл. до/хв")</f>
        <v>Фреза кінцева М36удл. до/хв</v>
      </c>
      <c r="D3035" s="15" t="s">
        <v>6</v>
      </c>
      <c r="E3035" s="15">
        <v>40</v>
      </c>
      <c r="F3035" s="91" t="s">
        <v>100</v>
      </c>
      <c r="G3035" s="4"/>
      <c r="H3035" s="4"/>
      <c r="I3035" s="4"/>
    </row>
    <row r="3036" spans="1:9" ht="15">
      <c r="A3036" s="21">
        <f t="shared" si="54"/>
        <v>63</v>
      </c>
      <c r="B3036" s="14" t="s">
        <v>4042</v>
      </c>
      <c r="C3036" s="85" t="str">
        <f ca="1">IFERROR(__xludf.DUMMYFUNCTION("GOOGLETRANSLATE(B3036:B3051,""RU"",""UK"")"),"Фреза кінцева М36х140удл. до/хв Z4")</f>
        <v>Фреза кінцева М36х140удл. до/хв Z4</v>
      </c>
      <c r="D3036" s="15" t="s">
        <v>6</v>
      </c>
      <c r="E3036" s="15">
        <v>2</v>
      </c>
      <c r="F3036" s="91" t="s">
        <v>100</v>
      </c>
      <c r="G3036" s="4"/>
      <c r="H3036" s="4"/>
      <c r="I3036" s="4"/>
    </row>
    <row r="3037" spans="1:9" ht="15">
      <c r="A3037" s="21">
        <f t="shared" si="54"/>
        <v>64</v>
      </c>
      <c r="B3037" s="14" t="s">
        <v>4043</v>
      </c>
      <c r="C3037" s="85" t="str">
        <f ca="1">IFERROR(__xludf.DUMMYFUNCTION("GOOGLETRANSLATE(B3037:B3052,""RU"",""UK"")"),"Фреза кінцева М36, 8х100удл. до/хв")</f>
        <v>Фреза кінцева М36, 8х100удл. до/хв</v>
      </c>
      <c r="D3037" s="15" t="s">
        <v>6</v>
      </c>
      <c r="E3037" s="15">
        <v>1</v>
      </c>
      <c r="F3037" s="91" t="s">
        <v>100</v>
      </c>
      <c r="G3037" s="4"/>
      <c r="H3037" s="4"/>
      <c r="I3037" s="4"/>
    </row>
    <row r="3038" spans="1:9" ht="15">
      <c r="A3038" s="21">
        <f t="shared" si="54"/>
        <v>65</v>
      </c>
      <c r="B3038" s="14" t="s">
        <v>4044</v>
      </c>
      <c r="C3038" s="85" t="str">
        <f ca="1">IFERROR(__xludf.DUMMYFUNCTION("GOOGLETRANSLATE(B3038:B3053,""RU"",""UK"")"),"Фреза кінцева М38 (225х100) удл. до/хв")</f>
        <v>Фреза кінцева М38 (225х100) удл. до/хв</v>
      </c>
      <c r="D3038" s="15" t="s">
        <v>6</v>
      </c>
      <c r="E3038" s="15">
        <v>3</v>
      </c>
      <c r="F3038" s="91" t="s">
        <v>283</v>
      </c>
      <c r="G3038" s="4"/>
      <c r="H3038" s="4"/>
      <c r="I3038" s="4"/>
    </row>
    <row r="3039" spans="1:9" ht="15">
      <c r="A3039" s="21">
        <f t="shared" si="54"/>
        <v>66</v>
      </c>
      <c r="B3039" s="14" t="s">
        <v>4045</v>
      </c>
      <c r="C3039" s="85" t="str">
        <f ca="1">IFERROR(__xludf.DUMMYFUNCTION("GOOGLETRANSLATE(B3039:B3054,""RU"",""UK"")"),"Фреза кінцева М40к/хв/М40ц/хв")</f>
        <v>Фреза кінцева М40к/хв/М40ц/хв</v>
      </c>
      <c r="D3039" s="15" t="s">
        <v>6</v>
      </c>
      <c r="E3039" s="15" t="s">
        <v>4046</v>
      </c>
      <c r="F3039" s="91" t="s">
        <v>842</v>
      </c>
      <c r="G3039" s="4"/>
      <c r="H3039" s="4"/>
      <c r="I3039" s="4"/>
    </row>
    <row r="3040" spans="1:9" ht="15">
      <c r="A3040" s="21">
        <f t="shared" ref="A3040:A3056" si="55">A3039+1</f>
        <v>67</v>
      </c>
      <c r="B3040" s="14" t="s">
        <v>4047</v>
      </c>
      <c r="C3040" s="85" t="str">
        <f ca="1">IFERROR(__xludf.DUMMYFUNCTION("GOOGLETRANSLATE(B3040:B3055,""RU"",""UK"")"),"Фреза кінцева М40удл. до/хв / М40х100 до/хв")</f>
        <v>Фреза кінцева М40удл. до/хв / М40х100 до/хв</v>
      </c>
      <c r="D3040" s="15" t="s">
        <v>6</v>
      </c>
      <c r="E3040" s="15" t="s">
        <v>4048</v>
      </c>
      <c r="F3040" s="91" t="s">
        <v>1874</v>
      </c>
      <c r="G3040" s="4"/>
      <c r="H3040" s="4"/>
      <c r="I3040" s="4"/>
    </row>
    <row r="3041" spans="1:9" ht="15">
      <c r="A3041" s="21">
        <f t="shared" si="55"/>
        <v>68</v>
      </c>
      <c r="B3041" s="16" t="s">
        <v>4049</v>
      </c>
      <c r="C3041" s="85" t="str">
        <f ca="1">IFERROR(__xludf.DUMMYFUNCTION("GOOGLETRANSLATE(B3041:B3056,""RU"",""UK"")"),"Фреза кінцева М43удл/хв / М45к/хв")</f>
        <v>Фреза кінцева М43удл/хв / М45к/хв</v>
      </c>
      <c r="D3041" s="15" t="s">
        <v>6</v>
      </c>
      <c r="E3041" s="15" t="s">
        <v>4050</v>
      </c>
      <c r="F3041" s="91" t="s">
        <v>4051</v>
      </c>
      <c r="G3041" s="4"/>
      <c r="H3041" s="4"/>
      <c r="I3041" s="4"/>
    </row>
    <row r="3042" spans="1:9" ht="15">
      <c r="A3042" s="21">
        <f t="shared" si="55"/>
        <v>69</v>
      </c>
      <c r="B3042" s="14" t="s">
        <v>4052</v>
      </c>
      <c r="C3042" s="85" t="str">
        <f ca="1">IFERROR(__xludf.DUMMYFUNCTION("GOOGLETRANSLATE(B3042:B3057,""RU"",""UK"")"),"Фреза кінцева М45х70 Z6 КМ4 Р18")</f>
        <v>Фреза кінцева М45х70 Z6 КМ4 Р18</v>
      </c>
      <c r="D3042" s="15" t="s">
        <v>6</v>
      </c>
      <c r="E3042" s="15">
        <v>1</v>
      </c>
      <c r="F3042" s="91" t="s">
        <v>100</v>
      </c>
      <c r="G3042" s="4"/>
      <c r="H3042" s="4"/>
      <c r="I3042" s="4"/>
    </row>
    <row r="3043" spans="1:9" ht="15">
      <c r="A3043" s="21">
        <f t="shared" si="55"/>
        <v>70</v>
      </c>
      <c r="B3043" s="14" t="s">
        <v>4053</v>
      </c>
      <c r="C3043" s="85" t="str">
        <f ca="1">IFERROR(__xludf.DUMMYFUNCTION("GOOGLETRANSLATE(B3043:B3058,""RU"",""UK"")"),"Фреза кінцева М45удл. до/хв")</f>
        <v>Фреза кінцева М45удл. до/хв</v>
      </c>
      <c r="D3043" s="15" t="s">
        <v>6</v>
      </c>
      <c r="E3043" s="15">
        <v>38</v>
      </c>
      <c r="F3043" s="91" t="s">
        <v>231</v>
      </c>
      <c r="G3043" s="4"/>
      <c r="H3043" s="4"/>
      <c r="I3043" s="4"/>
    </row>
    <row r="3044" spans="1:9" ht="15">
      <c r="A3044" s="21">
        <f t="shared" si="55"/>
        <v>71</v>
      </c>
      <c r="B3044" s="14" t="s">
        <v>4054</v>
      </c>
      <c r="C3044" s="85" t="str">
        <f ca="1">IFERROR(__xludf.DUMMYFUNCTION("GOOGLETRANSLATE(B3044:B3059,""RU"",""UK"")"),"Фреза кінцева М48к/хв")</f>
        <v>Фреза кінцева М48к/хв</v>
      </c>
      <c r="D3044" s="15" t="s">
        <v>6</v>
      </c>
      <c r="E3044" s="15">
        <v>1</v>
      </c>
      <c r="F3044" s="91" t="s">
        <v>283</v>
      </c>
      <c r="G3044" s="4"/>
      <c r="H3044" s="4"/>
      <c r="I3044" s="4"/>
    </row>
    <row r="3045" spans="1:9" ht="15">
      <c r="A3045" s="21">
        <f t="shared" si="55"/>
        <v>72</v>
      </c>
      <c r="B3045" s="14" t="s">
        <v>4055</v>
      </c>
      <c r="C3045" s="85" t="str">
        <f ca="1">IFERROR(__xludf.DUMMYFUNCTION("GOOGLETRANSLATE(B3045:B3060,""RU"",""UK"")"),"Фреза кінцева М50 Z6 КМ4/КМ5")</f>
        <v>Фреза кінцева М50 Z6 КМ4/КМ5</v>
      </c>
      <c r="D3045" s="15" t="s">
        <v>6</v>
      </c>
      <c r="E3045" s="15" t="s">
        <v>3995</v>
      </c>
      <c r="F3045" s="91" t="s">
        <v>102</v>
      </c>
      <c r="G3045" s="4"/>
      <c r="H3045" s="4"/>
      <c r="I3045" s="4"/>
    </row>
    <row r="3046" spans="1:9" ht="15">
      <c r="A3046" s="21">
        <f t="shared" si="55"/>
        <v>73</v>
      </c>
      <c r="B3046" s="14" t="s">
        <v>4056</v>
      </c>
      <c r="C3046" s="85" t="str">
        <f ca="1">IFERROR(__xludf.DUMMYFUNCTION("GOOGLETRANSLATE(B3046:B3061,""RU"",""UK"")"),"Фреза кінцева М50х80мм удл. КМ5")</f>
        <v>Фреза кінцева М50х80мм удл. КМ5</v>
      </c>
      <c r="D3046" s="15" t="s">
        <v>6</v>
      </c>
      <c r="E3046" s="15">
        <v>4</v>
      </c>
      <c r="F3046" s="91" t="s">
        <v>80</v>
      </c>
      <c r="G3046" s="4"/>
      <c r="H3046" s="4"/>
      <c r="I3046" s="4"/>
    </row>
    <row r="3047" spans="1:9" ht="15">
      <c r="A3047" s="21">
        <f t="shared" si="55"/>
        <v>74</v>
      </c>
      <c r="B3047" s="14" t="s">
        <v>4057</v>
      </c>
      <c r="C3047" s="85" t="str">
        <f ca="1">IFERROR(__xludf.DUMMYFUNCTION("GOOGLETRANSLATE(B3047:B3062,""RU"",""UK"")"),"Фреза кінцева М50х200 удл. КМ5/М50х300(90раб) удл. КМ5")</f>
        <v>Фреза кінцева М50х200 удл. КМ5/М50х300(90раб) удл. КМ5</v>
      </c>
      <c r="D3047" s="15" t="s">
        <v>6</v>
      </c>
      <c r="E3047" s="15" t="s">
        <v>749</v>
      </c>
      <c r="F3047" s="91" t="s">
        <v>80</v>
      </c>
      <c r="G3047" s="4"/>
      <c r="H3047" s="4"/>
      <c r="I3047" s="4"/>
    </row>
    <row r="3048" spans="1:9" ht="15">
      <c r="A3048" s="21">
        <f t="shared" si="55"/>
        <v>75</v>
      </c>
      <c r="B3048" s="14" t="s">
        <v>4058</v>
      </c>
      <c r="C3048" s="85" t="str">
        <f ca="1">IFERROR(__xludf.DUMMYFUNCTION("GOOGLETRANSLATE(B3048:B3063,""RU"",""UK"")"),"Фреза кінцева М50х260(110раб) Z5 удл. КМ5")</f>
        <v>Фреза кінцева М50х260(110раб) Z5 удл. КМ5</v>
      </c>
      <c r="D3048" s="15" t="s">
        <v>6</v>
      </c>
      <c r="E3048" s="15">
        <v>1</v>
      </c>
      <c r="F3048" s="91" t="s">
        <v>88</v>
      </c>
      <c r="G3048" s="4"/>
      <c r="H3048" s="4"/>
      <c r="I3048" s="4"/>
    </row>
    <row r="3049" spans="1:9" ht="15">
      <c r="A3049" s="21">
        <f t="shared" si="55"/>
        <v>76</v>
      </c>
      <c r="B3049" s="14" t="s">
        <v>4059</v>
      </c>
      <c r="C3049" s="85" t="str">
        <f ca="1">IFERROR(__xludf.DUMMYFUNCTION("GOOGLETRANSLATE(B3049:B3064,""RU"",""UK"")"),"Фреза кінцева М50х360(200раб) Z8 удл. КМ4")</f>
        <v>Фреза кінцева М50х360(200раб) Z8 удл. КМ4</v>
      </c>
      <c r="D3049" s="15" t="s">
        <v>6</v>
      </c>
      <c r="E3049" s="15">
        <v>1</v>
      </c>
      <c r="F3049" s="91" t="s">
        <v>80</v>
      </c>
      <c r="G3049" s="4"/>
      <c r="H3049" s="4"/>
      <c r="I3049" s="4"/>
    </row>
    <row r="3050" spans="1:9" ht="15">
      <c r="A3050" s="21">
        <f t="shared" si="55"/>
        <v>77</v>
      </c>
      <c r="B3050" s="14" t="s">
        <v>4060</v>
      </c>
      <c r="C3050" s="85" t="str">
        <f ca="1">IFERROR(__xludf.DUMMYFUNCTION("GOOGLETRANSLATE(B3050:B3065,""RU"",""UK"")"),"Фреза кінцева М50х390(200раб) Z6 удл. КМ5")</f>
        <v>Фреза кінцева М50х390(200раб) Z6 удл. КМ5</v>
      </c>
      <c r="D3050" s="15" t="s">
        <v>6</v>
      </c>
      <c r="E3050" s="15">
        <v>1</v>
      </c>
      <c r="F3050" s="91" t="s">
        <v>80</v>
      </c>
      <c r="G3050" s="4"/>
      <c r="H3050" s="4"/>
      <c r="I3050" s="4"/>
    </row>
    <row r="3051" spans="1:9" ht="15">
      <c r="A3051" s="21">
        <f t="shared" si="55"/>
        <v>78</v>
      </c>
      <c r="B3051" s="14" t="s">
        <v>4061</v>
      </c>
      <c r="C3051" s="85" t="str">
        <f ca="1">IFERROR(__xludf.DUMMYFUNCTION("GOOGLETRANSLATE(B3051:B3066,""RU"",""UK"")"),"Фреза кінцева М55удл.к/хв")</f>
        <v>Фреза кінцева М55удл.к/хв</v>
      </c>
      <c r="D3051" s="15" t="s">
        <v>6</v>
      </c>
      <c r="E3051" s="15">
        <v>2</v>
      </c>
      <c r="F3051" s="91" t="s">
        <v>1113</v>
      </c>
      <c r="G3051" s="4"/>
      <c r="H3051" s="4"/>
      <c r="I3051" s="4"/>
    </row>
    <row r="3052" spans="1:9" ht="15">
      <c r="A3052" s="21">
        <f t="shared" si="55"/>
        <v>79</v>
      </c>
      <c r="B3052" s="16" t="s">
        <v>4062</v>
      </c>
      <c r="C3052" s="85" t="str">
        <f ca="1">IFERROR(__xludf.DUMMYFUNCTION("GOOGLETRANSLATE(B3052:B3067,""RU"",""UK"")"),"Фреза кінцева М55к/хв")</f>
        <v>Фреза кінцева М55к/хв</v>
      </c>
      <c r="D3052" s="15" t="s">
        <v>6</v>
      </c>
      <c r="E3052" s="15">
        <v>4</v>
      </c>
      <c r="F3052" s="91" t="s">
        <v>88</v>
      </c>
      <c r="G3052" s="4"/>
      <c r="H3052" s="4"/>
      <c r="I3052" s="4"/>
    </row>
    <row r="3053" spans="1:9" ht="15">
      <c r="A3053" s="21">
        <f t="shared" si="55"/>
        <v>80</v>
      </c>
      <c r="B3053" s="16" t="s">
        <v>4063</v>
      </c>
      <c r="C3053" s="85" t="str">
        <f ca="1">IFERROR(__xludf.DUMMYFUNCTION("GOOGLETRANSLATE(B3053:B3068,""RU"",""UK"")"),"Фреза кінцева М59х80удл Z8 КМ5")</f>
        <v>Фреза кінцева М59х80удл Z8 КМ5</v>
      </c>
      <c r="D3053" s="17" t="s">
        <v>6</v>
      </c>
      <c r="E3053" s="17">
        <v>1</v>
      </c>
      <c r="F3053" s="92" t="s">
        <v>4064</v>
      </c>
      <c r="G3053" s="4"/>
      <c r="H3053" s="4"/>
      <c r="I3053" s="4"/>
    </row>
    <row r="3054" spans="1:9" ht="15">
      <c r="A3054" s="21">
        <f t="shared" si="55"/>
        <v>81</v>
      </c>
      <c r="B3054" s="16" t="s">
        <v>4065</v>
      </c>
      <c r="C3054" s="85" t="str">
        <f ca="1">IFERROR(__xludf.DUMMYFUNCTION("GOOGLETRANSLATE(B3054:B3069,""RU"",""UK"")"),"Фреза кінцева М60х70удл Z5 КМ5")</f>
        <v>Фреза кінцева М60х70удл Z5 КМ5</v>
      </c>
      <c r="D3054" s="17" t="s">
        <v>6</v>
      </c>
      <c r="E3054" s="17">
        <v>1</v>
      </c>
      <c r="F3054" s="92" t="s">
        <v>1088</v>
      </c>
      <c r="G3054" s="4"/>
      <c r="H3054" s="4"/>
      <c r="I3054" s="4"/>
    </row>
    <row r="3055" spans="1:9" ht="15">
      <c r="A3055" s="21">
        <f t="shared" si="55"/>
        <v>82</v>
      </c>
      <c r="B3055" s="14" t="s">
        <v>4066</v>
      </c>
      <c r="C3055" s="85" t="str">
        <f ca="1">IFERROR(__xludf.DUMMYFUNCTION("GOOGLETRANSLATE(B3055:B3070,""RU"",""UK"")"),"Фреза кінцева М65 КМ5")</f>
        <v>Фреза кінцева М65 КМ5</v>
      </c>
      <c r="D3055" s="15" t="s">
        <v>6</v>
      </c>
      <c r="E3055" s="15">
        <v>1</v>
      </c>
      <c r="F3055" s="91" t="s">
        <v>80</v>
      </c>
      <c r="G3055" s="4"/>
      <c r="H3055" s="4"/>
      <c r="I3055" s="4"/>
    </row>
    <row r="3056" spans="1:9" ht="15">
      <c r="A3056" s="21">
        <f t="shared" si="55"/>
        <v>83</v>
      </c>
      <c r="B3056" s="14" t="s">
        <v>4067</v>
      </c>
      <c r="C3056" s="85" t="str">
        <f ca="1">IFERROR(__xludf.DUMMYFUNCTION("GOOGLETRANSLATE(B3056:B3071,""RU"",""UK"")"),"Фреза кінцева М70удл.")</f>
        <v>Фреза кінцева М70удл.</v>
      </c>
      <c r="D3056" s="15" t="s">
        <v>6</v>
      </c>
      <c r="E3056" s="15">
        <v>2</v>
      </c>
      <c r="F3056" s="91" t="s">
        <v>4068</v>
      </c>
      <c r="G3056" s="4"/>
      <c r="H3056" s="4"/>
      <c r="I3056" s="4"/>
    </row>
    <row r="3057" spans="1:9" ht="15">
      <c r="A3057" s="68"/>
      <c r="B3057" s="69"/>
      <c r="C3057" s="110" t="s">
        <v>6044</v>
      </c>
      <c r="D3057" s="69"/>
      <c r="E3057" s="69"/>
      <c r="F3057" s="106"/>
      <c r="G3057" s="4"/>
      <c r="H3057" s="4"/>
      <c r="I3057" s="4"/>
    </row>
    <row r="3058" spans="1:9" ht="15">
      <c r="A3058" s="13">
        <v>1</v>
      </c>
      <c r="B3058" s="14" t="s">
        <v>4069</v>
      </c>
      <c r="C3058" s="85" t="str">
        <f ca="1">IFERROR(__xludf.DUMMYFUNCTION("GOOGLETRANSLATE(B3058:B3073,""RU"",""UK"")"),"Фреза 3-х стор. 50х5/50х6")</f>
        <v>Фреза 3-х стор. 50х5/50х6</v>
      </c>
      <c r="D3058" s="15" t="s">
        <v>6</v>
      </c>
      <c r="E3058" s="15" t="s">
        <v>4070</v>
      </c>
      <c r="F3058" s="91" t="s">
        <v>567</v>
      </c>
      <c r="G3058" s="4"/>
      <c r="H3058" s="4"/>
      <c r="I3058" s="4"/>
    </row>
    <row r="3059" spans="1:9" ht="15">
      <c r="A3059" s="13">
        <f>A3058+1</f>
        <v>2</v>
      </c>
      <c r="B3059" s="14" t="s">
        <v>4071</v>
      </c>
      <c r="C3059" s="85" t="str">
        <f ca="1">IFERROR(__xludf.DUMMYFUNCTION("GOOGLETRANSLATE(B3059:B3074,""RU"",""UK"")"),"Фреза 3-х стор. 63х6/63х8")</f>
        <v>Фреза 3-х стор. 63х6/63х8</v>
      </c>
      <c r="D3059" s="15" t="s">
        <v>6</v>
      </c>
      <c r="E3059" s="15" t="s">
        <v>4072</v>
      </c>
      <c r="F3059" s="91" t="s">
        <v>119</v>
      </c>
      <c r="G3059" s="4"/>
      <c r="H3059" s="4"/>
      <c r="I3059" s="4"/>
    </row>
    <row r="3060" spans="1:9" ht="15">
      <c r="A3060" s="21">
        <f t="shared" ref="A3060:A3092" si="56">A3059+1</f>
        <v>3</v>
      </c>
      <c r="B3060" s="14" t="s">
        <v>4073</v>
      </c>
      <c r="C3060" s="85" t="str">
        <f ca="1">IFERROR(__xludf.DUMMYFUNCTION("GOOGLETRANSLATE(B3060:B3075,""RU"",""UK"")"),"Фреза 3-х стор. 63х10/60х12/63х12")</f>
        <v>Фреза 3-х стор. 63х10/60х12/63х12</v>
      </c>
      <c r="D3060" s="15" t="s">
        <v>6</v>
      </c>
      <c r="E3060" s="15" t="s">
        <v>4074</v>
      </c>
      <c r="F3060" s="91" t="s">
        <v>327</v>
      </c>
      <c r="G3060" s="4"/>
      <c r="H3060" s="4"/>
      <c r="I3060" s="4"/>
    </row>
    <row r="3061" spans="1:9" ht="15">
      <c r="A3061" s="21">
        <f t="shared" si="56"/>
        <v>4</v>
      </c>
      <c r="B3061" s="14" t="s">
        <v>4075</v>
      </c>
      <c r="C3061" s="85" t="str">
        <f ca="1">IFERROR(__xludf.DUMMYFUNCTION("GOOGLETRANSLATE(B3061:B3076,""RU"",""UK"")"),"Фреза 3-х стор. 75х8/75х14")</f>
        <v>Фреза 3-х стор. 75х8/75х14</v>
      </c>
      <c r="D3061" s="15" t="s">
        <v>6</v>
      </c>
      <c r="E3061" s="15" t="s">
        <v>3217</v>
      </c>
      <c r="F3061" s="91" t="s">
        <v>519</v>
      </c>
      <c r="G3061" s="4"/>
      <c r="H3061" s="4"/>
      <c r="I3061" s="4"/>
    </row>
    <row r="3062" spans="1:9" ht="15">
      <c r="A3062" s="21">
        <f t="shared" si="56"/>
        <v>5</v>
      </c>
      <c r="B3062" s="14" t="s">
        <v>4076</v>
      </c>
      <c r="C3062" s="85" t="str">
        <f ca="1">IFERROR(__xludf.DUMMYFUNCTION("GOOGLETRANSLATE(B3062:B3077,""RU"",""UK"")"),"Фреза 3-х стор. 80х3,5")</f>
        <v>Фреза 3-х стор. 80х3,5</v>
      </c>
      <c r="D3062" s="15" t="s">
        <v>6</v>
      </c>
      <c r="E3062" s="15">
        <v>1</v>
      </c>
      <c r="F3062" s="91" t="s">
        <v>140</v>
      </c>
      <c r="G3062" s="4"/>
      <c r="H3062" s="4"/>
      <c r="I3062" s="4"/>
    </row>
    <row r="3063" spans="1:9" ht="15">
      <c r="A3063" s="21">
        <f t="shared" si="56"/>
        <v>6</v>
      </c>
      <c r="B3063" s="14" t="s">
        <v>4077</v>
      </c>
      <c r="C3063" s="85" t="str">
        <f ca="1">IFERROR(__xludf.DUMMYFUNCTION("GOOGLETRANSLATE(B3063:B3078,""RU"",""UK"")"),"Фреза 3-х стор. 80х8/80х10")</f>
        <v>Фреза 3-х стор. 80х8/80х10</v>
      </c>
      <c r="D3063" s="15" t="s">
        <v>6</v>
      </c>
      <c r="E3063" s="15" t="s">
        <v>4078</v>
      </c>
      <c r="F3063" s="91" t="s">
        <v>20</v>
      </c>
      <c r="G3063" s="4"/>
      <c r="H3063" s="4"/>
      <c r="I3063" s="4"/>
    </row>
    <row r="3064" spans="1:9" ht="15">
      <c r="A3064" s="21">
        <f t="shared" si="56"/>
        <v>7</v>
      </c>
      <c r="B3064" s="14" t="s">
        <v>4079</v>
      </c>
      <c r="C3064" s="85" t="str">
        <f ca="1">IFERROR(__xludf.DUMMYFUNCTION("GOOGLETRANSLATE(B3064:B3079,""RU"",""UK"")"),"Фреза 3-х стор. 80х12/80х14")</f>
        <v>Фреза 3-х стор. 80х12/80х14</v>
      </c>
      <c r="D3064" s="15" t="s">
        <v>6</v>
      </c>
      <c r="E3064" s="15" t="s">
        <v>4080</v>
      </c>
      <c r="F3064" s="91" t="s">
        <v>24</v>
      </c>
      <c r="G3064" s="4"/>
      <c r="H3064" s="4"/>
      <c r="I3064" s="4"/>
    </row>
    <row r="3065" spans="1:9" ht="15">
      <c r="A3065" s="21">
        <f t="shared" si="56"/>
        <v>8</v>
      </c>
      <c r="B3065" s="14" t="s">
        <v>4081</v>
      </c>
      <c r="C3065" s="85" t="str">
        <f ca="1">IFERROR(__xludf.DUMMYFUNCTION("GOOGLETRANSLATE(B3065:B3080,""RU"",""UK"")"),"Фреза 3-х стор. 90х16 вст.ножи Р6М5 / 90х18 вст.ножі Р6М5")</f>
        <v>Фреза 3-х стор. 90х16 вст.ножи Р6М5 / 90х18 вст.ножі Р6М5</v>
      </c>
      <c r="D3065" s="15" t="s">
        <v>6</v>
      </c>
      <c r="E3065" s="15" t="s">
        <v>793</v>
      </c>
      <c r="F3065" s="91" t="s">
        <v>162</v>
      </c>
      <c r="G3065" s="4"/>
      <c r="H3065" s="4"/>
      <c r="I3065" s="4"/>
    </row>
    <row r="3066" spans="1:9" ht="15">
      <c r="A3066" s="21">
        <f t="shared" si="56"/>
        <v>9</v>
      </c>
      <c r="B3066" s="14" t="s">
        <v>4082</v>
      </c>
      <c r="C3066" s="85" t="str">
        <f ca="1">IFERROR(__xludf.DUMMYFUNCTION("GOOGLETRANSLATE(B3066:B3081,""RU"",""UK"")"),"Фреза 3-х стор. 90х22 вст.ножи Р6М5")</f>
        <v>Фреза 3-х стор. 90х22 вст.ножи Р6М5</v>
      </c>
      <c r="D3066" s="15" t="s">
        <v>6</v>
      </c>
      <c r="E3066" s="15">
        <v>1</v>
      </c>
      <c r="F3066" s="91" t="s">
        <v>16</v>
      </c>
      <c r="G3066" s="4"/>
      <c r="H3066" s="4"/>
      <c r="I3066" s="4"/>
    </row>
    <row r="3067" spans="1:9" ht="15">
      <c r="A3067" s="21">
        <f t="shared" si="56"/>
        <v>10</v>
      </c>
      <c r="B3067" s="14" t="s">
        <v>4083</v>
      </c>
      <c r="C3067" s="85" t="str">
        <f ca="1">IFERROR(__xludf.DUMMYFUNCTION("GOOGLETRANSLATE(B3067:B3082,""RU"",""UK"")"),"Фреза 2-х стор. 94х7")</f>
        <v>Фреза 2-х стор. 94х7</v>
      </c>
      <c r="D3067" s="15" t="s">
        <v>6</v>
      </c>
      <c r="E3067" s="15">
        <v>14</v>
      </c>
      <c r="F3067" s="91" t="s">
        <v>1740</v>
      </c>
      <c r="G3067" s="4"/>
      <c r="H3067" s="4"/>
      <c r="I3067" s="4"/>
    </row>
    <row r="3068" spans="1:9" ht="15">
      <c r="A3068" s="21">
        <f t="shared" si="56"/>
        <v>11</v>
      </c>
      <c r="B3068" s="14" t="s">
        <v>4084</v>
      </c>
      <c r="C3068" s="85" t="str">
        <f ca="1">IFERROR(__xludf.DUMMYFUNCTION("GOOGLETRANSLATE(B3068:B3083,""RU"",""UK"")"),"Фреза 3-х стор. 100х10")</f>
        <v>Фреза 3-х стор. 100х10</v>
      </c>
      <c r="D3068" s="15" t="s">
        <v>6</v>
      </c>
      <c r="E3068" s="15">
        <v>7</v>
      </c>
      <c r="F3068" s="91" t="s">
        <v>413</v>
      </c>
      <c r="G3068" s="4"/>
      <c r="H3068" s="4"/>
      <c r="I3068" s="4"/>
    </row>
    <row r="3069" spans="1:9" ht="15">
      <c r="A3069" s="21">
        <f t="shared" si="56"/>
        <v>12</v>
      </c>
      <c r="B3069" s="14" t="s">
        <v>4085</v>
      </c>
      <c r="C3069" s="85" t="str">
        <f ca="1">IFERROR(__xludf.DUMMYFUNCTION("GOOGLETRANSLATE(B3069:B3084,""RU"",""UK"")"),"Фреза 3-х стор. 100х12/100х14")</f>
        <v>Фреза 3-х стор. 100х12/100х14</v>
      </c>
      <c r="D3069" s="15" t="s">
        <v>6</v>
      </c>
      <c r="E3069" s="15" t="s">
        <v>4086</v>
      </c>
      <c r="F3069" s="91" t="s">
        <v>413</v>
      </c>
      <c r="G3069" s="4"/>
      <c r="H3069" s="4"/>
      <c r="I3069" s="4"/>
    </row>
    <row r="3070" spans="1:9" ht="15">
      <c r="A3070" s="21">
        <f t="shared" si="56"/>
        <v>13</v>
      </c>
      <c r="B3070" s="14" t="s">
        <v>4087</v>
      </c>
      <c r="C3070" s="85" t="str">
        <f ca="1">IFERROR(__xludf.DUMMYFUNCTION("GOOGLETRANSLATE(B3070:B3085,""RU"",""UK"")"),"Фреза 3-х стор. 100х16/100х20")</f>
        <v>Фреза 3-х стор. 100х16/100х20</v>
      </c>
      <c r="D3070" s="15" t="s">
        <v>6</v>
      </c>
      <c r="E3070" s="15" t="s">
        <v>4088</v>
      </c>
      <c r="F3070" s="91" t="s">
        <v>53</v>
      </c>
      <c r="G3070" s="4"/>
      <c r="H3070" s="4"/>
      <c r="I3070" s="4"/>
    </row>
    <row r="3071" spans="1:9" ht="15">
      <c r="A3071" s="21">
        <f t="shared" si="56"/>
        <v>14</v>
      </c>
      <c r="B3071" s="14" t="s">
        <v>4089</v>
      </c>
      <c r="C3071" s="85" t="str">
        <f ca="1">IFERROR(__xludf.DUMMYFUNCTION("GOOGLETRANSLATE(B3071:B3086,""RU"",""UK"")"),"Фреза 3-х стор. 100х14вст.ножі Р6М5 / 100х15 вст.ножі Р6М5")</f>
        <v>Фреза 3-х стор. 100х14вст.ножі Р6М5 / 100х15 вст.ножі Р6М5</v>
      </c>
      <c r="D3071" s="15" t="s">
        <v>6</v>
      </c>
      <c r="E3071" s="15" t="s">
        <v>737</v>
      </c>
      <c r="F3071" s="91" t="s">
        <v>53</v>
      </c>
      <c r="G3071" s="4"/>
      <c r="H3071" s="4"/>
      <c r="I3071" s="4"/>
    </row>
    <row r="3072" spans="1:9" ht="15">
      <c r="A3072" s="21">
        <f t="shared" si="56"/>
        <v>15</v>
      </c>
      <c r="B3072" s="14" t="s">
        <v>4090</v>
      </c>
      <c r="C3072" s="85" t="str">
        <f ca="1">IFERROR(__xludf.DUMMYFUNCTION("GOOGLETRANSLATE(B3072:B3087,""RU"",""UK"")"),"Фреза 3-х стор 100х18 вст.ножи Р6М5 / 100х28 вст.ножи Р6М5")</f>
        <v>Фреза 3-х стор 100х18 вст.ножи Р6М5 / 100х28 вст.ножи Р6М5</v>
      </c>
      <c r="D3072" s="15" t="s">
        <v>6</v>
      </c>
      <c r="E3072" s="15" t="s">
        <v>1893</v>
      </c>
      <c r="F3072" s="91" t="s">
        <v>27</v>
      </c>
      <c r="G3072" s="4"/>
      <c r="H3072" s="4"/>
      <c r="I3072" s="4"/>
    </row>
    <row r="3073" spans="1:9" ht="15">
      <c r="A3073" s="21">
        <f t="shared" si="56"/>
        <v>16</v>
      </c>
      <c r="B3073" s="14" t="s">
        <v>4091</v>
      </c>
      <c r="C3073" s="85" t="str">
        <f ca="1">IFERROR(__xludf.DUMMYFUNCTION("GOOGLETRANSLATE(B3073:B3088,""RU"",""UK"")"),"Фреза 3-х стор. 105х14")</f>
        <v>Фреза 3-х стор. 105х14</v>
      </c>
      <c r="D3073" s="15" t="s">
        <v>6</v>
      </c>
      <c r="E3073" s="15">
        <v>1</v>
      </c>
      <c r="F3073" s="91" t="s">
        <v>53</v>
      </c>
      <c r="G3073" s="4"/>
      <c r="H3073" s="4"/>
      <c r="I3073" s="4"/>
    </row>
    <row r="3074" spans="1:9" ht="15">
      <c r="A3074" s="21">
        <f t="shared" si="56"/>
        <v>17</v>
      </c>
      <c r="B3074" s="14" t="s">
        <v>4092</v>
      </c>
      <c r="C3074" s="85" t="str">
        <f ca="1">IFERROR(__xludf.DUMMYFUNCTION("GOOGLETRANSLATE(B3074:B3089,""RU"",""UK"")"),"Фреза 3-х стор. 110х12вст.ножі Р6М5")</f>
        <v>Фреза 3-х стор. 110х12вст.ножі Р6М5</v>
      </c>
      <c r="D3074" s="15" t="s">
        <v>6</v>
      </c>
      <c r="E3074" s="15">
        <v>3</v>
      </c>
      <c r="F3074" s="91" t="s">
        <v>36</v>
      </c>
      <c r="G3074" s="4"/>
      <c r="H3074" s="4"/>
      <c r="I3074" s="4"/>
    </row>
    <row r="3075" spans="1:9" ht="15">
      <c r="A3075" s="21">
        <f t="shared" si="56"/>
        <v>18</v>
      </c>
      <c r="B3075" s="14" t="s">
        <v>4093</v>
      </c>
      <c r="C3075" s="85" t="str">
        <f ca="1">IFERROR(__xludf.DUMMYFUNCTION("GOOGLETRANSLATE(B3075:B3090,""RU"",""UK"")"),"Фреза 3-х стор. 110х14/110х16вст.ножі Р6М5")</f>
        <v>Фреза 3-х стор. 110х14/110х16вст.ножі Р6М5</v>
      </c>
      <c r="D3075" s="15" t="s">
        <v>6</v>
      </c>
      <c r="E3075" s="15" t="s">
        <v>700</v>
      </c>
      <c r="F3075" s="91" t="s">
        <v>27</v>
      </c>
      <c r="G3075" s="4"/>
      <c r="H3075" s="4"/>
      <c r="I3075" s="4"/>
    </row>
    <row r="3076" spans="1:9" ht="15">
      <c r="A3076" s="21">
        <f t="shared" si="56"/>
        <v>19</v>
      </c>
      <c r="B3076" s="14" t="s">
        <v>4094</v>
      </c>
      <c r="C3076" s="85" t="str">
        <f ca="1">IFERROR(__xludf.DUMMYFUNCTION("GOOGLETRANSLATE(B3076:B3091,""RU"",""UK"")"),"Фреза 3-х стор. 120х8")</f>
        <v>Фреза 3-х стор. 120х8</v>
      </c>
      <c r="D3076" s="15" t="s">
        <v>6</v>
      </c>
      <c r="E3076" s="15">
        <v>2</v>
      </c>
      <c r="F3076" s="91" t="s">
        <v>27</v>
      </c>
      <c r="G3076" s="4"/>
      <c r="H3076" s="4"/>
      <c r="I3076" s="4"/>
    </row>
    <row r="3077" spans="1:9" ht="15">
      <c r="A3077" s="21">
        <f t="shared" si="56"/>
        <v>20</v>
      </c>
      <c r="B3077" s="14" t="s">
        <v>4095</v>
      </c>
      <c r="C3077" s="85" t="str">
        <f ca="1">IFERROR(__xludf.DUMMYFUNCTION("GOOGLETRANSLATE(B3077:B3092,""RU"",""UK"")"),"Фреза 3-х стор. 125х9монол. Р6М5/125х14 монол. Р6М5")</f>
        <v>Фреза 3-х стор. 125х9монол. Р6М5/125х14 монол. Р6М5</v>
      </c>
      <c r="D3077" s="15" t="s">
        <v>6</v>
      </c>
      <c r="E3077" s="15" t="s">
        <v>749</v>
      </c>
      <c r="F3077" s="91" t="s">
        <v>100</v>
      </c>
      <c r="G3077" s="4"/>
      <c r="H3077" s="4"/>
      <c r="I3077" s="4"/>
    </row>
    <row r="3078" spans="1:9" ht="15">
      <c r="A3078" s="21">
        <f t="shared" si="56"/>
        <v>21</v>
      </c>
      <c r="B3078" s="14" t="s">
        <v>4096</v>
      </c>
      <c r="C3078" s="85" t="str">
        <f ca="1">IFERROR(__xludf.DUMMYFUNCTION("GOOGLETRANSLATE(B3078:B3093,""RU"",""UK"")"),"Фреза 3-х стор. 125х25 монол. Р6М5")</f>
        <v>Фреза 3-х стор. 125х25 монол. Р6М5</v>
      </c>
      <c r="D3078" s="15" t="s">
        <v>6</v>
      </c>
      <c r="E3078" s="15">
        <v>1</v>
      </c>
      <c r="F3078" s="91" t="s">
        <v>102</v>
      </c>
      <c r="G3078" s="4"/>
      <c r="H3078" s="4"/>
      <c r="I3078" s="4"/>
    </row>
    <row r="3079" spans="1:9" ht="15">
      <c r="A3079" s="21">
        <f t="shared" si="56"/>
        <v>22</v>
      </c>
      <c r="B3079" s="14" t="s">
        <v>4097</v>
      </c>
      <c r="C3079" s="85" t="str">
        <f ca="1">IFERROR(__xludf.DUMMYFUNCTION("GOOGLETRANSLATE(B3079:B3094,""RU"",""UK"")"),"Фреза 3-х стор. 125х12 вст.ножи Р6М5")</f>
        <v>Фреза 3-х стор. 125х12 вст.ножи Р6М5</v>
      </c>
      <c r="D3079" s="15" t="s">
        <v>6</v>
      </c>
      <c r="E3079" s="15">
        <v>22</v>
      </c>
      <c r="F3079" s="91" t="s">
        <v>22</v>
      </c>
      <c r="G3079" s="4"/>
      <c r="H3079" s="4"/>
      <c r="I3079" s="4"/>
    </row>
    <row r="3080" spans="1:9" ht="15">
      <c r="A3080" s="21">
        <f t="shared" si="56"/>
        <v>23</v>
      </c>
      <c r="B3080" s="14" t="s">
        <v>4098</v>
      </c>
      <c r="C3080" s="85" t="str">
        <f ca="1">IFERROR(__xludf.DUMMYFUNCTION("GOOGLETRANSLATE(B3080:B3095,""RU"",""UK"")"),"Фреза 3-х стор. 125х16 вст.ножи Р6М5")</f>
        <v>Фреза 3-х стор. 125х16 вст.ножи Р6М5</v>
      </c>
      <c r="D3080" s="15" t="s">
        <v>6</v>
      </c>
      <c r="E3080" s="15">
        <v>26</v>
      </c>
      <c r="F3080" s="91" t="s">
        <v>272</v>
      </c>
      <c r="G3080" s="4"/>
      <c r="H3080" s="4"/>
      <c r="I3080" s="4"/>
    </row>
    <row r="3081" spans="1:9" ht="15">
      <c r="A3081" s="21">
        <f t="shared" si="56"/>
        <v>24</v>
      </c>
      <c r="B3081" s="14" t="s">
        <v>4099</v>
      </c>
      <c r="C3081" s="85" t="str">
        <f ca="1">IFERROR(__xludf.DUMMYFUNCTION("GOOGLETRANSLATE(B3081:B3096,""RU"",""UK"")"),"Фреза 3-х стор. 125х19/125х20 вст.ножі Р6М5")</f>
        <v>Фреза 3-х стор. 125х19/125х20 вст.ножі Р6М5</v>
      </c>
      <c r="D3081" s="15" t="s">
        <v>6</v>
      </c>
      <c r="E3081" s="15" t="s">
        <v>686</v>
      </c>
      <c r="F3081" s="91" t="s">
        <v>18</v>
      </c>
      <c r="G3081" s="4"/>
      <c r="H3081" s="4"/>
      <c r="I3081" s="4"/>
    </row>
    <row r="3082" spans="1:9" ht="15">
      <c r="A3082" s="21">
        <f t="shared" si="56"/>
        <v>25</v>
      </c>
      <c r="B3082" s="14" t="s">
        <v>4100</v>
      </c>
      <c r="C3082" s="85" t="str">
        <f ca="1">IFERROR(__xludf.DUMMYFUNCTION("GOOGLETRANSLATE(B3082:B3097,""RU"",""UK"")"),"Фреза 3-х стор. 130х20 вст.ножі Р18")</f>
        <v>Фреза 3-х стор. 130х20 вст.ножі Р18</v>
      </c>
      <c r="D3082" s="15" t="s">
        <v>6</v>
      </c>
      <c r="E3082" s="15">
        <v>1</v>
      </c>
      <c r="F3082" s="91" t="s">
        <v>53</v>
      </c>
      <c r="G3082" s="4"/>
      <c r="H3082" s="4"/>
      <c r="I3082" s="4"/>
    </row>
    <row r="3083" spans="1:9" ht="15">
      <c r="A3083" s="21">
        <f t="shared" si="56"/>
        <v>26</v>
      </c>
      <c r="B3083" s="14" t="s">
        <v>4101</v>
      </c>
      <c r="C3083" s="85" t="str">
        <f ca="1">IFERROR(__xludf.DUMMYFUNCTION("GOOGLETRANSLATE(B3083:B3098,""RU"",""UK"")"),"Фреза 3-х стор. 150х15 монол. Р6М5/150х20 монол. Р6М5")</f>
        <v>Фреза 3-х стор. 150х15 монол. Р6М5/150х20 монол. Р6М5</v>
      </c>
      <c r="D3083" s="15" t="s">
        <v>6</v>
      </c>
      <c r="E3083" s="15" t="s">
        <v>3217</v>
      </c>
      <c r="F3083" s="91" t="s">
        <v>80</v>
      </c>
      <c r="G3083" s="4"/>
      <c r="H3083" s="4"/>
      <c r="I3083" s="4"/>
    </row>
    <row r="3084" spans="1:9" ht="15">
      <c r="A3084" s="21">
        <f t="shared" si="56"/>
        <v>27</v>
      </c>
      <c r="B3084" s="14" t="s">
        <v>4102</v>
      </c>
      <c r="C3084" s="85" t="str">
        <f ca="1">IFERROR(__xludf.DUMMYFUNCTION("GOOGLETRANSLATE(B3084:B3099,""RU"",""UK"")"),"Фреза 3-х стор. 150х16 ​​вст.ножи Р6М5")</f>
        <v>Фреза 3-х стор. 150х16 ​​вст.ножи Р6М5</v>
      </c>
      <c r="D3084" s="15" t="s">
        <v>6</v>
      </c>
      <c r="E3084" s="15">
        <v>2</v>
      </c>
      <c r="F3084" s="91" t="s">
        <v>413</v>
      </c>
      <c r="G3084" s="4"/>
      <c r="H3084" s="4"/>
      <c r="I3084" s="4"/>
    </row>
    <row r="3085" spans="1:9" ht="15">
      <c r="A3085" s="21">
        <f t="shared" si="56"/>
        <v>28</v>
      </c>
      <c r="B3085" s="14" t="s">
        <v>4103</v>
      </c>
      <c r="C3085" s="85" t="str">
        <f ca="1">IFERROR(__xludf.DUMMYFUNCTION("GOOGLETRANSLATE(B3085:B3100,""RU"",""UK"")"),"Фреза 3-х стор. 150х24вст.ніж Р18")</f>
        <v>Фреза 3-х стор. 150х24вст.ніж Р18</v>
      </c>
      <c r="D3085" s="15" t="s">
        <v>6</v>
      </c>
      <c r="E3085" s="15">
        <v>1</v>
      </c>
      <c r="F3085" s="91" t="s">
        <v>53</v>
      </c>
      <c r="G3085" s="4"/>
      <c r="H3085" s="4"/>
      <c r="I3085" s="4"/>
    </row>
    <row r="3086" spans="1:9" ht="15">
      <c r="A3086" s="21">
        <f t="shared" si="56"/>
        <v>29</v>
      </c>
      <c r="B3086" s="14" t="s">
        <v>4104</v>
      </c>
      <c r="C3086" s="85" t="str">
        <f ca="1">IFERROR(__xludf.DUMMYFUNCTION("GOOGLETRANSLATE(B3086:B3101,""RU"",""UK"")"),"Фреза 3-х стор. 160х18 вст.ножи Р6М5")</f>
        <v>Фреза 3-х стор. 160х18 вст.ножи Р6М5</v>
      </c>
      <c r="D3086" s="15" t="s">
        <v>6</v>
      </c>
      <c r="E3086" s="15">
        <v>4</v>
      </c>
      <c r="F3086" s="91" t="s">
        <v>36</v>
      </c>
      <c r="G3086" s="4"/>
      <c r="H3086" s="4"/>
      <c r="I3086" s="4"/>
    </row>
    <row r="3087" spans="1:9" ht="15">
      <c r="A3087" s="21">
        <f t="shared" si="56"/>
        <v>30</v>
      </c>
      <c r="B3087" s="14" t="s">
        <v>4105</v>
      </c>
      <c r="C3087" s="85" t="str">
        <f ca="1">IFERROR(__xludf.DUMMYFUNCTION("GOOGLETRANSLATE(B3087:B3102,""RU"",""UK"")"),"Фреза 3-х стор. 160х22х40 вст.ножи Р6М5")</f>
        <v>Фреза 3-х стор. 160х22х40 вст.ножи Р6М5</v>
      </c>
      <c r="D3087" s="15" t="s">
        <v>6</v>
      </c>
      <c r="E3087" s="15">
        <v>1</v>
      </c>
      <c r="F3087" s="91" t="s">
        <v>27</v>
      </c>
      <c r="G3087" s="4"/>
      <c r="H3087" s="4"/>
      <c r="I3087" s="4"/>
    </row>
    <row r="3088" spans="1:9" ht="15">
      <c r="A3088" s="21">
        <f t="shared" si="56"/>
        <v>31</v>
      </c>
      <c r="B3088" s="14" t="s">
        <v>4106</v>
      </c>
      <c r="C3088" s="85" t="str">
        <f ca="1">IFERROR(__xludf.DUMMYFUNCTION("GOOGLETRANSLATE(B3088:B3103,""RU"",""UK"")"),"Фреза 3-х стор. 160х28 вст.ножи Р6М5")</f>
        <v>Фреза 3-х стор. 160х28 вст.ножи Р6М5</v>
      </c>
      <c r="D3088" s="15" t="s">
        <v>6</v>
      </c>
      <c r="E3088" s="15">
        <v>24</v>
      </c>
      <c r="F3088" s="91" t="s">
        <v>842</v>
      </c>
      <c r="G3088" s="4"/>
      <c r="H3088" s="4"/>
      <c r="I3088" s="4"/>
    </row>
    <row r="3089" spans="1:9" ht="15">
      <c r="A3089" s="21">
        <f t="shared" si="56"/>
        <v>32</v>
      </c>
      <c r="B3089" s="14" t="s">
        <v>4107</v>
      </c>
      <c r="C3089" s="85" t="str">
        <f ca="1">IFERROR(__xludf.DUMMYFUNCTION("GOOGLETRANSLATE(B3089:B3104,""RU"",""UK"")"),"Фреза 3-х стор. 160х53 вст.ножи Р6М5")</f>
        <v>Фреза 3-х стор. 160х53 вст.ножи Р6М5</v>
      </c>
      <c r="D3089" s="15" t="s">
        <v>6</v>
      </c>
      <c r="E3089" s="15">
        <v>1</v>
      </c>
      <c r="F3089" s="91" t="s">
        <v>63</v>
      </c>
      <c r="G3089" s="4"/>
      <c r="H3089" s="4"/>
      <c r="I3089" s="4"/>
    </row>
    <row r="3090" spans="1:9" ht="15">
      <c r="A3090" s="21">
        <f t="shared" si="56"/>
        <v>33</v>
      </c>
      <c r="B3090" s="14" t="s">
        <v>4108</v>
      </c>
      <c r="C3090" s="85" t="str">
        <f ca="1">IFERROR(__xludf.DUMMYFUNCTION("GOOGLETRANSLATE(B3090:B3105,""RU"",""UK"")"),"Фреза 3-х стор. 200х16х50 вст.ножи Р6М5")</f>
        <v>Фреза 3-х стор. 200х16х50 вст.ножи Р6М5</v>
      </c>
      <c r="D3090" s="15" t="s">
        <v>6</v>
      </c>
      <c r="E3090" s="15">
        <v>1</v>
      </c>
      <c r="F3090" s="91" t="s">
        <v>63</v>
      </c>
      <c r="G3090" s="4"/>
      <c r="H3090" s="4"/>
      <c r="I3090" s="4"/>
    </row>
    <row r="3091" spans="1:9" ht="15">
      <c r="A3091" s="21">
        <f t="shared" si="56"/>
        <v>34</v>
      </c>
      <c r="B3091" s="14" t="s">
        <v>4109</v>
      </c>
      <c r="C3091" s="85" t="str">
        <f ca="1">IFERROR(__xludf.DUMMYFUNCTION("GOOGLETRANSLATE(B3091:B3106,""RU"",""UK"")"),"Фреза 3-х стор. 200х20х50 вст.ножі Р18")</f>
        <v>Фреза 3-х стор. 200х20х50 вст.ножі Р18</v>
      </c>
      <c r="D3091" s="15" t="s">
        <v>6</v>
      </c>
      <c r="E3091" s="15">
        <v>2</v>
      </c>
      <c r="F3091" s="91" t="s">
        <v>283</v>
      </c>
      <c r="G3091" s="4"/>
      <c r="H3091" s="4"/>
      <c r="I3091" s="4"/>
    </row>
    <row r="3092" spans="1:9" ht="15">
      <c r="A3092" s="21">
        <f t="shared" si="56"/>
        <v>35</v>
      </c>
      <c r="B3092" s="14" t="s">
        <v>4110</v>
      </c>
      <c r="C3092" s="85" t="str">
        <f ca="1">IFERROR(__xludf.DUMMYFUNCTION("GOOGLETRANSLATE(B3092:B3107,""RU"",""UK"")"),"Фреза 3-х стор. 200х32х50 вст.ножи Р6М5")</f>
        <v>Фреза 3-х стор. 200х32х50 вст.ножи Р6М5</v>
      </c>
      <c r="D3092" s="15" t="s">
        <v>6</v>
      </c>
      <c r="E3092" s="15">
        <v>3</v>
      </c>
      <c r="F3092" s="91" t="s">
        <v>102</v>
      </c>
      <c r="G3092" s="4"/>
      <c r="H3092" s="4"/>
      <c r="I3092" s="4"/>
    </row>
    <row r="3093" spans="1:9" ht="15">
      <c r="A3093" s="68"/>
      <c r="B3093" s="69"/>
      <c r="C3093" s="110" t="s">
        <v>6045</v>
      </c>
      <c r="D3093" s="69"/>
      <c r="E3093" s="69"/>
      <c r="F3093" s="106"/>
      <c r="G3093" s="4"/>
      <c r="H3093" s="4"/>
      <c r="I3093" s="4"/>
    </row>
    <row r="3094" spans="1:9" ht="15">
      <c r="A3094" s="13">
        <v>1</v>
      </c>
      <c r="B3094" s="19" t="s">
        <v>4111</v>
      </c>
      <c r="C3094" s="85" t="str">
        <f ca="1">IFERROR(__xludf.DUMMYFUNCTION("GOOGLETRANSLATE(B3094:B3109,""RU"",""UK"")"),"Фреза дискова (набірна 8шт) М0,5/М0,6/М0,7")</f>
        <v>Фреза дискова (набірна 8шт) М0,5/М0,6/М0,7</v>
      </c>
      <c r="D3094" s="15" t="s">
        <v>378</v>
      </c>
      <c r="E3094" s="15" t="s">
        <v>4112</v>
      </c>
      <c r="F3094" s="91" t="s">
        <v>88</v>
      </c>
      <c r="G3094" s="4"/>
      <c r="H3094" s="4"/>
      <c r="I3094" s="4"/>
    </row>
    <row r="3095" spans="1:9" ht="15">
      <c r="A3095" s="13">
        <f>A3094+1</f>
        <v>2</v>
      </c>
      <c r="B3095" s="16" t="s">
        <v>4113</v>
      </c>
      <c r="C3095" s="85" t="str">
        <f ca="1">IFERROR(__xludf.DUMMYFUNCTION("GOOGLETRANSLATE(B3095:B3110,""RU"",""UK"")"),"Фреза дискова (набірна 8шт) М1/М1,25")</f>
        <v>Фреза дискова (набірна 8шт) М1/М1,25</v>
      </c>
      <c r="D3095" s="15" t="s">
        <v>378</v>
      </c>
      <c r="E3095" s="17" t="s">
        <v>2581</v>
      </c>
      <c r="F3095" s="91" t="s">
        <v>71</v>
      </c>
      <c r="G3095" s="4"/>
      <c r="H3095" s="4"/>
      <c r="I3095" s="4"/>
    </row>
    <row r="3096" spans="1:9" ht="15">
      <c r="A3096" s="21">
        <f t="shared" ref="A3096:A3159" si="57">A3095+1</f>
        <v>3</v>
      </c>
      <c r="B3096" s="16" t="s">
        <v>4114</v>
      </c>
      <c r="C3096" s="85" t="str">
        <f ca="1">IFERROR(__xludf.DUMMYFUNCTION("GOOGLETRANSLATE(B3096:B3111,""RU"",""UK"")"),"Фреза дискова (набірна 8шт) М1.5/М1,75")</f>
        <v>Фреза дискова (набірна 8шт) М1.5/М1,75</v>
      </c>
      <c r="D3096" s="15" t="s">
        <v>378</v>
      </c>
      <c r="E3096" s="17" t="s">
        <v>3720</v>
      </c>
      <c r="F3096" s="91" t="s">
        <v>4115</v>
      </c>
      <c r="G3096" s="4"/>
      <c r="H3096" s="4"/>
      <c r="I3096" s="4"/>
    </row>
    <row r="3097" spans="1:9" ht="15">
      <c r="A3097" s="21">
        <f t="shared" si="57"/>
        <v>4</v>
      </c>
      <c r="B3097" s="16" t="s">
        <v>4116</v>
      </c>
      <c r="C3097" s="85" t="str">
        <f ca="1">IFERROR(__xludf.DUMMYFUNCTION("GOOGLETRANSLATE(B3097:B3112,""RU"",""UK"")"),"Фреза дискова (набірна 8шт) М2,0")</f>
        <v>Фреза дискова (набірна 8шт) М2,0</v>
      </c>
      <c r="D3097" s="15" t="s">
        <v>378</v>
      </c>
      <c r="E3097" s="17">
        <v>1</v>
      </c>
      <c r="F3097" s="91" t="s">
        <v>75</v>
      </c>
      <c r="G3097" s="4"/>
      <c r="H3097" s="4"/>
      <c r="I3097" s="4"/>
    </row>
    <row r="3098" spans="1:9" ht="15">
      <c r="A3098" s="21">
        <f t="shared" si="57"/>
        <v>5</v>
      </c>
      <c r="B3098" s="14" t="s">
        <v>4117</v>
      </c>
      <c r="C3098" s="85" t="str">
        <f ca="1">IFERROR(__xludf.DUMMYFUNCTION("GOOGLETRANSLATE(B3098:B3113,""RU"",""UK"")"),"Фреза дискова (набірна 8шт) М2,25/М2,5")</f>
        <v>Фреза дискова (набірна 8шт) М2,25/М2,5</v>
      </c>
      <c r="D3098" s="15" t="s">
        <v>378</v>
      </c>
      <c r="E3098" s="15" t="s">
        <v>3157</v>
      </c>
      <c r="F3098" s="91" t="s">
        <v>3527</v>
      </c>
      <c r="G3098" s="4"/>
      <c r="H3098" s="4"/>
      <c r="I3098" s="4"/>
    </row>
    <row r="3099" spans="1:9" ht="15">
      <c r="A3099" s="21">
        <f t="shared" si="57"/>
        <v>6</v>
      </c>
      <c r="B3099" s="14" t="s">
        <v>4118</v>
      </c>
      <c r="C3099" s="85" t="str">
        <f ca="1">IFERROR(__xludf.DUMMYFUNCTION("GOOGLETRANSLATE(B3099:B3114,""RU"",""UK"")"),"Фреза дискова (набірна 8шт) М2.75")</f>
        <v>Фреза дискова (набірна 8шт) М2.75</v>
      </c>
      <c r="D3099" s="15" t="s">
        <v>378</v>
      </c>
      <c r="E3099" s="15">
        <v>3</v>
      </c>
      <c r="F3099" s="91" t="s">
        <v>948</v>
      </c>
      <c r="G3099" s="4"/>
      <c r="H3099" s="4"/>
      <c r="I3099" s="4"/>
    </row>
    <row r="3100" spans="1:9" ht="15">
      <c r="A3100" s="21">
        <f t="shared" si="57"/>
        <v>7</v>
      </c>
      <c r="B3100" s="14" t="s">
        <v>4119</v>
      </c>
      <c r="C3100" s="85" t="str">
        <f ca="1">IFERROR(__xludf.DUMMYFUNCTION("GOOGLETRANSLATE(B3100:B3115,""RU"",""UK"")"),"Фреза дискова (набірна 8шт) М3,0")</f>
        <v>Фреза дискова (набірна 8шт) М3,0</v>
      </c>
      <c r="D3100" s="15" t="s">
        <v>378</v>
      </c>
      <c r="E3100" s="15">
        <v>2</v>
      </c>
      <c r="F3100" s="91" t="s">
        <v>2816</v>
      </c>
      <c r="G3100" s="4"/>
      <c r="H3100" s="4"/>
      <c r="I3100" s="4"/>
    </row>
    <row r="3101" spans="1:9" ht="15">
      <c r="A3101" s="21">
        <f t="shared" si="57"/>
        <v>8</v>
      </c>
      <c r="B3101" s="14" t="s">
        <v>4120</v>
      </c>
      <c r="C3101" s="85" t="str">
        <f ca="1">IFERROR(__xludf.DUMMYFUNCTION("GOOGLETRANSLATE(B3101:B3116,""RU"",""UK"")"),"Фреза дискова (набірна 8шт) М3,25")</f>
        <v>Фреза дискова (набірна 8шт) М3,25</v>
      </c>
      <c r="D3101" s="15" t="s">
        <v>378</v>
      </c>
      <c r="E3101" s="15">
        <v>3</v>
      </c>
      <c r="F3101" s="91" t="s">
        <v>3538</v>
      </c>
      <c r="G3101" s="4"/>
      <c r="H3101" s="4"/>
      <c r="I3101" s="4"/>
    </row>
    <row r="3102" spans="1:9" ht="15">
      <c r="A3102" s="21">
        <f t="shared" si="57"/>
        <v>9</v>
      </c>
      <c r="B3102" s="14" t="s">
        <v>4121</v>
      </c>
      <c r="C3102" s="85" t="str">
        <f ca="1">IFERROR(__xludf.DUMMYFUNCTION("GOOGLETRANSLATE(B3102:B3117,""RU"",""UK"")"),"Фреза дискова (набірна 8шт) М3,5/М3,75")</f>
        <v>Фреза дискова (набірна 8шт) М3,5/М3,75</v>
      </c>
      <c r="D3102" s="15" t="s">
        <v>378</v>
      </c>
      <c r="E3102" s="15" t="s">
        <v>4122</v>
      </c>
      <c r="F3102" s="91" t="s">
        <v>38</v>
      </c>
      <c r="G3102" s="4"/>
      <c r="H3102" s="4"/>
      <c r="I3102" s="4"/>
    </row>
    <row r="3103" spans="1:9" ht="15">
      <c r="A3103" s="21">
        <f t="shared" si="57"/>
        <v>10</v>
      </c>
      <c r="B3103" s="16" t="s">
        <v>4123</v>
      </c>
      <c r="C3103" s="85" t="str">
        <f ca="1">IFERROR(__xludf.DUMMYFUNCTION("GOOGLETRANSLATE(B3103:B3118,""RU"",""UK"")"),"Фреза дискова (набірна 8шт) М4,0")</f>
        <v>Фреза дискова (набірна 8шт) М4,0</v>
      </c>
      <c r="D3103" s="15" t="s">
        <v>378</v>
      </c>
      <c r="E3103" s="15">
        <v>2</v>
      </c>
      <c r="F3103" s="91" t="s">
        <v>3445</v>
      </c>
      <c r="G3103" s="4"/>
      <c r="H3103" s="4"/>
      <c r="I3103" s="4"/>
    </row>
    <row r="3104" spans="1:9" ht="15">
      <c r="A3104" s="21">
        <f t="shared" si="57"/>
        <v>11</v>
      </c>
      <c r="B3104" s="14" t="s">
        <v>4124</v>
      </c>
      <c r="C3104" s="85" t="str">
        <f ca="1">IFERROR(__xludf.DUMMYFUNCTION("GOOGLETRANSLATE(B3104:B3119,""RU"",""UK"")"),"Фреза дискова (набірна 8шт) М4,5")</f>
        <v>Фреза дискова (набірна 8шт) М4,5</v>
      </c>
      <c r="D3104" s="15" t="s">
        <v>378</v>
      </c>
      <c r="E3104" s="15">
        <v>8</v>
      </c>
      <c r="F3104" s="91" t="s">
        <v>3325</v>
      </c>
      <c r="G3104" s="4"/>
      <c r="H3104" s="4"/>
      <c r="I3104" s="4"/>
    </row>
    <row r="3105" spans="1:9" ht="15">
      <c r="A3105" s="21">
        <f t="shared" si="57"/>
        <v>12</v>
      </c>
      <c r="B3105" s="16" t="s">
        <v>4125</v>
      </c>
      <c r="C3105" s="85" t="str">
        <f ca="1">IFERROR(__xludf.DUMMYFUNCTION("GOOGLETRANSLATE(B3105:B3120,""RU"",""UK"")"),"Фреза дискова (набірна 8шт) М5/М5,5")</f>
        <v>Фреза дискова (набірна 8шт) М5/М5,5</v>
      </c>
      <c r="D3105" s="15" t="s">
        <v>378</v>
      </c>
      <c r="E3105" s="15" t="s">
        <v>211</v>
      </c>
      <c r="F3105" s="91" t="s">
        <v>3476</v>
      </c>
      <c r="G3105" s="4"/>
      <c r="H3105" s="4"/>
      <c r="I3105" s="4"/>
    </row>
    <row r="3106" spans="1:9" ht="15">
      <c r="A3106" s="21">
        <f t="shared" si="57"/>
        <v>13</v>
      </c>
      <c r="B3106" s="14" t="s">
        <v>4126</v>
      </c>
      <c r="C3106" s="85" t="str">
        <f ca="1">IFERROR(__xludf.DUMMYFUNCTION("GOOGLETRANSLATE(B3106:B3121,""RU"",""UK"")"),"Фреза дискова (набірна 8шт) М6/М7")</f>
        <v>Фреза дискова (набірна 8шт) М6/М7</v>
      </c>
      <c r="D3106" s="15" t="s">
        <v>378</v>
      </c>
      <c r="E3106" s="15" t="s">
        <v>749</v>
      </c>
      <c r="F3106" s="91" t="s">
        <v>97</v>
      </c>
      <c r="G3106" s="4"/>
      <c r="H3106" s="4"/>
      <c r="I3106" s="4"/>
    </row>
    <row r="3107" spans="1:9" ht="15">
      <c r="A3107" s="21">
        <f t="shared" si="57"/>
        <v>14</v>
      </c>
      <c r="B3107" s="16" t="s">
        <v>4127</v>
      </c>
      <c r="C3107" s="85" t="str">
        <f ca="1">IFERROR(__xludf.DUMMYFUNCTION("GOOGLETRANSLATE(B3107:B3122,""RU"",""UK"")"),"Фреза дискова (набірна 8шт) М8 (без №8)")</f>
        <v>Фреза дискова (набірна 8шт) М8 (без №8)</v>
      </c>
      <c r="D3107" s="15" t="s">
        <v>378</v>
      </c>
      <c r="E3107" s="15">
        <v>1</v>
      </c>
      <c r="F3107" s="91" t="s">
        <v>4128</v>
      </c>
      <c r="G3107" s="4"/>
      <c r="H3107" s="4"/>
      <c r="I3107" s="4"/>
    </row>
    <row r="3108" spans="1:9" ht="15">
      <c r="A3108" s="21">
        <f t="shared" si="57"/>
        <v>15</v>
      </c>
      <c r="B3108" s="14" t="s">
        <v>4129</v>
      </c>
      <c r="C3108" s="85" t="str">
        <f ca="1">IFERROR(__xludf.DUMMYFUNCTION("GOOGLETRANSLATE(B3108:B3123,""RU"",""UK"")"),"Фреза дискова (набірна) різні модульні")</f>
        <v>Фреза дискова (набірна) різні модульні</v>
      </c>
      <c r="D3108" s="15" t="s">
        <v>6</v>
      </c>
      <c r="E3108" s="15">
        <v>54</v>
      </c>
      <c r="F3108" s="91" t="s">
        <v>4130</v>
      </c>
      <c r="G3108" s="4"/>
      <c r="H3108" s="4"/>
      <c r="I3108" s="4"/>
    </row>
    <row r="3109" spans="1:9" ht="15">
      <c r="A3109" s="21">
        <f t="shared" si="57"/>
        <v>16</v>
      </c>
      <c r="B3109" s="14" t="s">
        <v>4131</v>
      </c>
      <c r="C3109" s="85" t="str">
        <f ca="1">IFERROR(__xludf.DUMMYFUNCTION("GOOGLETRANSLATE(B3109:B3124,""RU"",""UK"")"),"Фреза дискова радіусна опукла 40R1,6/50R1,5/50R1,6")</f>
        <v>Фреза дискова радіусна опукла 40R1,6/50R1,5/50R1,6</v>
      </c>
      <c r="D3109" s="15" t="s">
        <v>6</v>
      </c>
      <c r="E3109" s="15" t="s">
        <v>4132</v>
      </c>
      <c r="F3109" s="91" t="s">
        <v>119</v>
      </c>
      <c r="G3109" s="4"/>
      <c r="H3109" s="4"/>
      <c r="I3109" s="4"/>
    </row>
    <row r="3110" spans="1:9" ht="15">
      <c r="A3110" s="21">
        <f t="shared" si="57"/>
        <v>17</v>
      </c>
      <c r="B3110" s="14" t="s">
        <v>4133</v>
      </c>
      <c r="C3110" s="85" t="str">
        <f ca="1">IFERROR(__xludf.DUMMYFUNCTION("GOOGLETRANSLATE(B3110:B3125,""RU"",""UK"")"),"Фреза дискова радіусна опукла 50R2,0/50R2,5")</f>
        <v>Фреза дискова радіусна опукла 50R2,0/50R2,5</v>
      </c>
      <c r="D3110" s="15" t="s">
        <v>6</v>
      </c>
      <c r="E3110" s="15" t="s">
        <v>211</v>
      </c>
      <c r="F3110" s="91" t="s">
        <v>327</v>
      </c>
      <c r="G3110" s="4"/>
      <c r="H3110" s="4"/>
      <c r="I3110" s="4"/>
    </row>
    <row r="3111" spans="1:9" ht="15">
      <c r="A3111" s="21">
        <f t="shared" si="57"/>
        <v>18</v>
      </c>
      <c r="B3111" s="14" t="s">
        <v>4134</v>
      </c>
      <c r="C3111" s="85" t="str">
        <f ca="1">IFERROR(__xludf.DUMMYFUNCTION("GOOGLETRANSLATE(B3111:B3126,""RU"",""UK"")"),"Фреза дискова радіусна опукла 63R2,5/63R3/63R4")</f>
        <v>Фреза дискова радіусна опукла 63R2,5/63R3/63R4</v>
      </c>
      <c r="D3111" s="15" t="s">
        <v>6</v>
      </c>
      <c r="E3111" s="15" t="s">
        <v>4135</v>
      </c>
      <c r="F3111" s="91" t="s">
        <v>140</v>
      </c>
      <c r="G3111" s="4"/>
      <c r="H3111" s="4"/>
      <c r="I3111" s="4"/>
    </row>
    <row r="3112" spans="1:9" ht="15">
      <c r="A3112" s="21">
        <f t="shared" si="57"/>
        <v>19</v>
      </c>
      <c r="B3112" s="14" t="s">
        <v>4136</v>
      </c>
      <c r="C3112" s="85" t="str">
        <f ca="1">IFERROR(__xludf.DUMMYFUNCTION("GOOGLETRANSLATE(B3112:B3127,""RU"",""UK"")"),"Фреза дискова радіусна опукла 75R14")</f>
        <v>Фреза дискова радіусна опукла 75R14</v>
      </c>
      <c r="D3112" s="15" t="s">
        <v>6</v>
      </c>
      <c r="E3112" s="15">
        <v>1</v>
      </c>
      <c r="F3112" s="91" t="s">
        <v>106</v>
      </c>
      <c r="G3112" s="4"/>
      <c r="H3112" s="4"/>
      <c r="I3112" s="4"/>
    </row>
    <row r="3113" spans="1:9" ht="15">
      <c r="A3113" s="21">
        <f t="shared" si="57"/>
        <v>20</v>
      </c>
      <c r="B3113" s="14" t="s">
        <v>4137</v>
      </c>
      <c r="C3113" s="85" t="str">
        <f ca="1">IFERROR(__xludf.DUMMYFUNCTION("GOOGLETRANSLATE(B3113:B3128,""RU"",""UK"")"),"Фреза дискова радіусна опукла 80R4/80R5/80R6")</f>
        <v>Фреза дискова радіусна опукла 80R4/80R5/80R6</v>
      </c>
      <c r="D3113" s="15" t="s">
        <v>6</v>
      </c>
      <c r="E3113" s="15" t="s">
        <v>4138</v>
      </c>
      <c r="F3113" s="91" t="s">
        <v>24</v>
      </c>
      <c r="G3113" s="4"/>
      <c r="H3113" s="4"/>
      <c r="I3113" s="4"/>
    </row>
    <row r="3114" spans="1:9" ht="15">
      <c r="A3114" s="21">
        <f t="shared" si="57"/>
        <v>21</v>
      </c>
      <c r="B3114" s="16" t="s">
        <v>4139</v>
      </c>
      <c r="C3114" s="85" t="str">
        <f ca="1">IFERROR(__xludf.DUMMYFUNCTION("GOOGLETRANSLATE(B3114:B3129,""RU"",""UK"")"),"Фреза дискова радіусна опукла 80R8/80R9")</f>
        <v>Фреза дискова радіусна опукла 80R8/80R9</v>
      </c>
      <c r="D3114" s="15" t="s">
        <v>6</v>
      </c>
      <c r="E3114" s="17" t="s">
        <v>3187</v>
      </c>
      <c r="F3114" s="91" t="s">
        <v>106</v>
      </c>
      <c r="G3114" s="4"/>
      <c r="H3114" s="4"/>
      <c r="I3114" s="4"/>
    </row>
    <row r="3115" spans="1:9" ht="15">
      <c r="A3115" s="21">
        <f t="shared" si="57"/>
        <v>22</v>
      </c>
      <c r="B3115" s="14" t="s">
        <v>4140</v>
      </c>
      <c r="C3115" s="85" t="str">
        <f ca="1">IFERROR(__xludf.DUMMYFUNCTION("GOOGLETRANSLATE(B3115:B3130,""RU"",""UK"")"),"Фреза дискова радіусна опукла 80(вн27) R14,5 Р18 / 90 R4")</f>
        <v>Фреза дискова радіусна опукла 80(вн27) R14,5 Р18 / 90 R4</v>
      </c>
      <c r="D3115" s="15" t="s">
        <v>6</v>
      </c>
      <c r="E3115" s="15" t="s">
        <v>749</v>
      </c>
      <c r="F3115" s="91" t="s">
        <v>16</v>
      </c>
      <c r="G3115" s="4"/>
      <c r="H3115" s="4"/>
      <c r="I3115" s="4"/>
    </row>
    <row r="3116" spans="1:9" ht="15">
      <c r="A3116" s="21">
        <f t="shared" si="57"/>
        <v>23</v>
      </c>
      <c r="B3116" s="14" t="s">
        <v>4141</v>
      </c>
      <c r="C3116" s="85" t="str">
        <f ca="1">IFERROR(__xludf.DUMMYFUNCTION("GOOGLETRANSLATE(B3116:B3131,""RU"",""UK"")"),"Фреза радіусна дискова опукла 90 R8 / 90 R10")</f>
        <v>Фреза радіусна дискова опукла 90 R8 / 90 R10</v>
      </c>
      <c r="D3116" s="15" t="s">
        <v>6</v>
      </c>
      <c r="E3116" s="15" t="s">
        <v>3720</v>
      </c>
      <c r="F3116" s="91" t="s">
        <v>22</v>
      </c>
      <c r="G3116" s="4"/>
      <c r="H3116" s="4"/>
      <c r="I3116" s="4"/>
    </row>
    <row r="3117" spans="1:9" ht="15">
      <c r="A3117" s="21">
        <f t="shared" si="57"/>
        <v>24</v>
      </c>
      <c r="B3117" s="14" t="s">
        <v>4142</v>
      </c>
      <c r="C3117" s="85" t="str">
        <f ca="1">IFERROR(__xludf.DUMMYFUNCTION("GOOGLETRANSLATE(B3117:B3132,""RU"",""UK"")"),"Фреза дискова радіусна опукла 100R8/100R10")</f>
        <v>Фреза дискова радіусна опукла 100R8/100R10</v>
      </c>
      <c r="D3117" s="15" t="s">
        <v>6</v>
      </c>
      <c r="E3117" s="15" t="s">
        <v>438</v>
      </c>
      <c r="F3117" s="91" t="s">
        <v>22</v>
      </c>
      <c r="G3117" s="4"/>
      <c r="H3117" s="4"/>
      <c r="I3117" s="4"/>
    </row>
    <row r="3118" spans="1:9" ht="15">
      <c r="A3118" s="21">
        <f t="shared" si="57"/>
        <v>25</v>
      </c>
      <c r="B3118" s="14" t="s">
        <v>4143</v>
      </c>
      <c r="C3118" s="85" t="str">
        <f ca="1">IFERROR(__xludf.DUMMYFUNCTION("GOOGLETRANSLATE(B3118:B3133,""RU"",""UK"")"),"Фреза дискова радіусна опукла 100R12/110R12")</f>
        <v>Фреза дискова радіусна опукла 100R12/110R12</v>
      </c>
      <c r="D3118" s="15" t="s">
        <v>6</v>
      </c>
      <c r="E3118" s="15" t="s">
        <v>1970</v>
      </c>
      <c r="F3118" s="91" t="s">
        <v>272</v>
      </c>
      <c r="G3118" s="4"/>
      <c r="H3118" s="4"/>
      <c r="I3118" s="4"/>
    </row>
    <row r="3119" spans="1:9" ht="15">
      <c r="A3119" s="21">
        <f t="shared" si="57"/>
        <v>26</v>
      </c>
      <c r="B3119" s="16" t="s">
        <v>4144</v>
      </c>
      <c r="C3119" s="85" t="str">
        <f ca="1">IFERROR(__xludf.DUMMYFUNCTION("GOOGLETRANSLATE(B3119:B3134,""RU"",""UK"")"),"Фреза дискова радіусна опукла 125R12/125R14/125R16")</f>
        <v>Фреза дискова радіусна опукла 125R12/125R14/125R16</v>
      </c>
      <c r="D3119" s="15" t="s">
        <v>6</v>
      </c>
      <c r="E3119" s="15" t="s">
        <v>4145</v>
      </c>
      <c r="F3119" s="91" t="s">
        <v>53</v>
      </c>
      <c r="G3119" s="4"/>
      <c r="H3119" s="4"/>
      <c r="I3119" s="4"/>
    </row>
    <row r="3120" spans="1:9" ht="15">
      <c r="A3120" s="21">
        <f t="shared" si="57"/>
        <v>27</v>
      </c>
      <c r="B3120" s="14" t="s">
        <v>4146</v>
      </c>
      <c r="C3120" s="85" t="str">
        <f ca="1">IFERROR(__xludf.DUMMYFUNCTION("GOOGLETRANSLATE(B3120:B3135,""RU"",""UK"")"),"Фреза дискова радіусна опукла 145х60")</f>
        <v>Фреза дискова радіусна опукла 145х60</v>
      </c>
      <c r="D3120" s="15" t="s">
        <v>6</v>
      </c>
      <c r="E3120" s="15">
        <v>1</v>
      </c>
      <c r="F3120" s="91" t="s">
        <v>53</v>
      </c>
      <c r="G3120" s="4"/>
      <c r="H3120" s="4"/>
      <c r="I3120" s="4"/>
    </row>
    <row r="3121" spans="1:9" ht="15">
      <c r="A3121" s="21">
        <f t="shared" si="57"/>
        <v>28</v>
      </c>
      <c r="B3121" s="14" t="s">
        <v>4147</v>
      </c>
      <c r="C3121" s="85" t="str">
        <f ca="1">IFERROR(__xludf.DUMMYFUNCTION("GOOGLETRANSLATE(B3121:B3136,""RU"",""UK"")"),"Фреза дискова радіусна увігнута 30R1,6")</f>
        <v>Фреза дискова радіусна увігнута 30R1,6</v>
      </c>
      <c r="D3121" s="15" t="s">
        <v>6</v>
      </c>
      <c r="E3121" s="15">
        <v>1</v>
      </c>
      <c r="F3121" s="91" t="s">
        <v>319</v>
      </c>
      <c r="G3121" s="4"/>
      <c r="H3121" s="4"/>
      <c r="I3121" s="4"/>
    </row>
    <row r="3122" spans="1:9" ht="15">
      <c r="A3122" s="21">
        <f t="shared" si="57"/>
        <v>29</v>
      </c>
      <c r="B3122" s="14" t="s">
        <v>4148</v>
      </c>
      <c r="C3122" s="85" t="str">
        <f ca="1">IFERROR(__xludf.DUMMYFUNCTION("GOOGLETRANSLATE(B3122:B3137,""RU"",""UK"")"),"Фреза дискова радіусна увігнута 40R1,5/45R1,5/50R1,5")</f>
        <v>Фреза дискова радіусна увігнута 40R1,5/45R1,5/50R1,5</v>
      </c>
      <c r="D3122" s="15" t="s">
        <v>6</v>
      </c>
      <c r="E3122" s="15" t="s">
        <v>4149</v>
      </c>
      <c r="F3122" s="91" t="s">
        <v>119</v>
      </c>
      <c r="G3122" s="4"/>
      <c r="H3122" s="4"/>
      <c r="I3122" s="4"/>
    </row>
    <row r="3123" spans="1:9" ht="15">
      <c r="A3123" s="21">
        <f t="shared" si="57"/>
        <v>30</v>
      </c>
      <c r="B3123" s="14" t="s">
        <v>4150</v>
      </c>
      <c r="C3123" s="85" t="str">
        <f ca="1">IFERROR(__xludf.DUMMYFUNCTION("GOOGLETRANSLATE(B3123:B3138,""RU"",""UK"")"),"Фреза дискова радіусна увігнута 50R1,6/50R2,0/50R2,5")</f>
        <v>Фреза дискова радіусна увігнута 50R1,6/50R2,0/50R2,5</v>
      </c>
      <c r="D3123" s="15" t="s">
        <v>6</v>
      </c>
      <c r="E3123" s="15" t="s">
        <v>4151</v>
      </c>
      <c r="F3123" s="91" t="s">
        <v>327</v>
      </c>
      <c r="G3123" s="4"/>
      <c r="H3123" s="4"/>
      <c r="I3123" s="4"/>
    </row>
    <row r="3124" spans="1:9" ht="15">
      <c r="A3124" s="21">
        <f t="shared" si="57"/>
        <v>31</v>
      </c>
      <c r="B3124" s="14" t="s">
        <v>4152</v>
      </c>
      <c r="C3124" s="85" t="str">
        <f ca="1">IFERROR(__xludf.DUMMYFUNCTION("GOOGLETRANSLATE(B3124:B3139,""RU"",""UK"")"),"Фреза радіусна дискова вог. 55мм d24-25,5/60мм d30-32/60мм d36-38")</f>
        <v>Фреза радіусна дискова вог. 55мм d24-25,5/60мм d30-32/60мм d36-38</v>
      </c>
      <c r="D3124" s="15" t="s">
        <v>6</v>
      </c>
      <c r="E3124" s="15" t="s">
        <v>2037</v>
      </c>
      <c r="F3124" s="91" t="s">
        <v>508</v>
      </c>
      <c r="G3124" s="4"/>
      <c r="H3124" s="4"/>
      <c r="I3124" s="4"/>
    </row>
    <row r="3125" spans="1:9" ht="15">
      <c r="A3125" s="21">
        <f t="shared" si="57"/>
        <v>32</v>
      </c>
      <c r="B3125" s="14" t="s">
        <v>4153</v>
      </c>
      <c r="C3125" s="85" t="str">
        <f ca="1">IFERROR(__xludf.DUMMYFUNCTION("GOOGLETRANSLATE(B3125:B3140,""RU"",""UK"")"),"Фреза дискова радіусна увігнута 63R2,5/63R3/63R4")</f>
        <v>Фреза дискова радіусна увігнута 63R2,5/63R3/63R4</v>
      </c>
      <c r="D3125" s="15" t="s">
        <v>6</v>
      </c>
      <c r="E3125" s="15" t="s">
        <v>4154</v>
      </c>
      <c r="F3125" s="91" t="s">
        <v>140</v>
      </c>
      <c r="G3125" s="4"/>
      <c r="H3125" s="4"/>
      <c r="I3125" s="4"/>
    </row>
    <row r="3126" spans="1:9" ht="15">
      <c r="A3126" s="21">
        <f t="shared" si="57"/>
        <v>33</v>
      </c>
      <c r="B3126" s="14" t="s">
        <v>4155</v>
      </c>
      <c r="C3126" s="85" t="str">
        <f ca="1">IFERROR(__xludf.DUMMYFUNCTION("GOOGLETRANSLATE(B3126:B3141,""RU"",""UK"")"),"Фреза дискова радіусна увігнута 65R6")</f>
        <v>Фреза дискова радіусна увігнута 65R6</v>
      </c>
      <c r="D3126" s="15" t="s">
        <v>6</v>
      </c>
      <c r="E3126" s="15">
        <v>2</v>
      </c>
      <c r="F3126" s="91" t="s">
        <v>140</v>
      </c>
      <c r="G3126" s="4"/>
      <c r="H3126" s="4"/>
      <c r="I3126" s="4"/>
    </row>
    <row r="3127" spans="1:9" ht="15">
      <c r="A3127" s="21">
        <f t="shared" si="57"/>
        <v>34</v>
      </c>
      <c r="B3127" s="14" t="s">
        <v>4156</v>
      </c>
      <c r="C3127" s="85" t="str">
        <f ca="1">IFERROR(__xludf.DUMMYFUNCTION("GOOGLETRANSLATE(B3127:B3142,""RU"",""UK"")"),"Фреза дискова радіусна увігнута 75R8")</f>
        <v>Фреза дискова радіусна увігнута 75R8</v>
      </c>
      <c r="D3127" s="15" t="s">
        <v>6</v>
      </c>
      <c r="E3127" s="15">
        <v>3</v>
      </c>
      <c r="F3127" s="91" t="s">
        <v>20</v>
      </c>
      <c r="G3127" s="4"/>
      <c r="H3127" s="4"/>
      <c r="I3127" s="4"/>
    </row>
    <row r="3128" spans="1:9" ht="15">
      <c r="A3128" s="21">
        <f t="shared" si="57"/>
        <v>35</v>
      </c>
      <c r="B3128" s="14" t="s">
        <v>4157</v>
      </c>
      <c r="C3128" s="85" t="str">
        <f ca="1">IFERROR(__xludf.DUMMYFUNCTION("GOOGLETRANSLATE(B3128:B3143,""RU"",""UK"")"),"Фреза дискова радіусна увігнута 80R4/80R5")</f>
        <v>Фреза дискова радіусна увігнута 80R4/80R5</v>
      </c>
      <c r="D3128" s="15" t="s">
        <v>6</v>
      </c>
      <c r="E3128" s="15" t="s">
        <v>1443</v>
      </c>
      <c r="F3128" s="91" t="s">
        <v>24</v>
      </c>
      <c r="G3128" s="4"/>
      <c r="H3128" s="4"/>
      <c r="I3128" s="4"/>
    </row>
    <row r="3129" spans="1:9" ht="15">
      <c r="A3129" s="21">
        <f t="shared" si="57"/>
        <v>36</v>
      </c>
      <c r="B3129" s="14" t="s">
        <v>4158</v>
      </c>
      <c r="C3129" s="85" t="str">
        <f ca="1">IFERROR(__xludf.DUMMYFUNCTION("GOOGLETRANSLATE(B3129:B3144,""RU"",""UK"")"),"Фреза дискова радіусна увігнута 80R6/80R8")</f>
        <v>Фреза дискова радіусна увігнута 80R6/80R8</v>
      </c>
      <c r="D3129" s="15" t="s">
        <v>6</v>
      </c>
      <c r="E3129" s="15" t="s">
        <v>698</v>
      </c>
      <c r="F3129" s="91" t="s">
        <v>24</v>
      </c>
      <c r="G3129" s="4"/>
      <c r="H3129" s="4"/>
      <c r="I3129" s="4"/>
    </row>
    <row r="3130" spans="1:9" ht="15">
      <c r="A3130" s="21">
        <f t="shared" si="57"/>
        <v>37</v>
      </c>
      <c r="B3130" s="14" t="s">
        <v>4159</v>
      </c>
      <c r="C3130" s="85" t="str">
        <f ca="1">IFERROR(__xludf.DUMMYFUNCTION("GOOGLETRANSLATE(B3130:B3145,""RU"",""UK"")"),"Фреза дискова радіусна увігнута 85R10/90х30R8/96R25,5")</f>
        <v>Фреза дискова радіусна увігнута 85R10/90х30R8/96R25,5</v>
      </c>
      <c r="D3130" s="15" t="s">
        <v>6</v>
      </c>
      <c r="E3130" s="15" t="s">
        <v>2037</v>
      </c>
      <c r="F3130" s="91" t="s">
        <v>162</v>
      </c>
      <c r="G3130" s="4"/>
      <c r="H3130" s="4"/>
      <c r="I3130" s="4"/>
    </row>
    <row r="3131" spans="1:9" ht="15">
      <c r="A3131" s="21">
        <f t="shared" si="57"/>
        <v>38</v>
      </c>
      <c r="B3131" s="14" t="s">
        <v>4160</v>
      </c>
      <c r="C3131" s="85" t="str">
        <f ca="1">IFERROR(__xludf.DUMMYFUNCTION("GOOGLETRANSLATE(B3131:B3146,""RU"",""UK"")"),"Фреза дискова радіусна увігнута 100R8/100R9/100R10/100R12")</f>
        <v>Фреза дискова радіусна увігнута 100R8/100R9/100R10/100R12</v>
      </c>
      <c r="D3131" s="15" t="s">
        <v>6</v>
      </c>
      <c r="E3131" s="15" t="s">
        <v>4161</v>
      </c>
      <c r="F3131" s="91" t="s">
        <v>272</v>
      </c>
      <c r="G3131" s="4"/>
      <c r="H3131" s="4"/>
      <c r="I3131" s="4"/>
    </row>
    <row r="3132" spans="1:9" ht="15">
      <c r="A3132" s="21">
        <f t="shared" si="57"/>
        <v>39</v>
      </c>
      <c r="B3132" s="14" t="s">
        <v>4162</v>
      </c>
      <c r="C3132" s="85" t="str">
        <f ca="1">IFERROR(__xludf.DUMMYFUNCTION("GOOGLETRANSLATE(B3132:B3147,""RU"",""UK"")"),"Фреза дискова радіусна увігнута 112R18 Р18")</f>
        <v>Фреза дискова радіусна увігнута 112R18 Р18</v>
      </c>
      <c r="D3132" s="15" t="s">
        <v>6</v>
      </c>
      <c r="E3132" s="15">
        <v>1</v>
      </c>
      <c r="F3132" s="91" t="s">
        <v>18</v>
      </c>
      <c r="G3132" s="4"/>
      <c r="H3132" s="4"/>
      <c r="I3132" s="4"/>
    </row>
    <row r="3133" spans="1:9" ht="15">
      <c r="A3133" s="21">
        <f t="shared" si="57"/>
        <v>40</v>
      </c>
      <c r="B3133" s="16" t="s">
        <v>4163</v>
      </c>
      <c r="C3133" s="85" t="str">
        <f ca="1">IFERROR(__xludf.DUMMYFUNCTION("GOOGLETRANSLATE(B3133:B3148,""RU"",""UK"")"),"Фреза дискова радіусна увігнута 125R12/125R12,5")</f>
        <v>Фреза дискова радіусна увігнута 125R12/125R12,5</v>
      </c>
      <c r="D3133" s="15" t="s">
        <v>6</v>
      </c>
      <c r="E3133" s="15" t="s">
        <v>211</v>
      </c>
      <c r="F3133" s="91" t="s">
        <v>53</v>
      </c>
      <c r="G3133" s="4"/>
      <c r="H3133" s="4"/>
      <c r="I3133" s="4"/>
    </row>
    <row r="3134" spans="1:9" ht="15">
      <c r="A3134" s="21">
        <f t="shared" si="57"/>
        <v>41</v>
      </c>
      <c r="B3134" s="16" t="s">
        <v>4164</v>
      </c>
      <c r="C3134" s="85" t="str">
        <f ca="1">IFERROR(__xludf.DUMMYFUNCTION("GOOGLETRANSLATE(B3134:B3149,""RU"",""UK"")"),"Фреза дискова радіусна увігнута 125R14/125R16")</f>
        <v>Фреза дискова радіусна увігнута 125R14/125R16</v>
      </c>
      <c r="D3134" s="15" t="s">
        <v>6</v>
      </c>
      <c r="E3134" s="15" t="s">
        <v>1005</v>
      </c>
      <c r="F3134" s="91" t="s">
        <v>36</v>
      </c>
      <c r="G3134" s="4"/>
      <c r="H3134" s="4"/>
      <c r="I3134" s="4"/>
    </row>
    <row r="3135" spans="1:9" ht="15">
      <c r="A3135" s="21">
        <f t="shared" si="57"/>
        <v>42</v>
      </c>
      <c r="B3135" s="14" t="s">
        <v>4165</v>
      </c>
      <c r="C3135" s="85" t="str">
        <f ca="1">IFERROR(__xludf.DUMMYFUNCTION("GOOGLETRANSLATE(B3135:B3150,""RU"",""UK"")"),"Фреза дискова однокутна 40х6х50*/40х8х50*/40х12х90*")</f>
        <v>Фреза дискова однокутна 40х6х50*/40х8х50*/40х12х90*</v>
      </c>
      <c r="D3135" s="15" t="s">
        <v>6</v>
      </c>
      <c r="E3135" s="15" t="s">
        <v>4166</v>
      </c>
      <c r="F3135" s="91" t="s">
        <v>119</v>
      </c>
      <c r="G3135" s="4"/>
      <c r="H3135" s="4"/>
      <c r="I3135" s="4"/>
    </row>
    <row r="3136" spans="1:9" ht="15">
      <c r="A3136" s="21">
        <f t="shared" si="57"/>
        <v>43</v>
      </c>
      <c r="B3136" s="14" t="s">
        <v>4167</v>
      </c>
      <c r="C3136" s="85" t="str">
        <f ca="1">IFERROR(__xludf.DUMMYFUNCTION("GOOGLETRANSLATE(B3136:B3151,""RU"",""UK"")"),"Фреза дискова однокутна 45х13х75*/45х13х80*/45х13х85*")</f>
        <v>Фреза дискова однокутна 45х13х75*/45х13х80*/45х13х85*</v>
      </c>
      <c r="D3136" s="15" t="s">
        <v>6</v>
      </c>
      <c r="E3136" s="15" t="s">
        <v>4168</v>
      </c>
      <c r="F3136" s="91" t="s">
        <v>196</v>
      </c>
      <c r="G3136" s="4"/>
      <c r="H3136" s="4"/>
      <c r="I3136" s="4"/>
    </row>
    <row r="3137" spans="1:9" ht="15">
      <c r="A3137" s="21">
        <f t="shared" si="57"/>
        <v>44</v>
      </c>
      <c r="B3137" s="14" t="s">
        <v>4169</v>
      </c>
      <c r="C3137" s="85" t="str">
        <f ca="1">IFERROR(__xludf.DUMMYFUNCTION("GOOGLETRANSLATE(B3137:B3152,""RU"",""UK"")"),"Фреза дискова однокутна 45х18х85*/50х10х50*")</f>
        <v>Фреза дискова однокутна 45х18х85*/50х10х50*</v>
      </c>
      <c r="D3137" s="15" t="s">
        <v>6</v>
      </c>
      <c r="E3137" s="15" t="s">
        <v>749</v>
      </c>
      <c r="F3137" s="91" t="s">
        <v>220</v>
      </c>
      <c r="G3137" s="4"/>
      <c r="H3137" s="4"/>
      <c r="I3137" s="4"/>
    </row>
    <row r="3138" spans="1:9" ht="15">
      <c r="A3138" s="21">
        <f t="shared" si="57"/>
        <v>45</v>
      </c>
      <c r="B3138" s="14" t="s">
        <v>4170</v>
      </c>
      <c r="C3138" s="85" t="str">
        <f ca="1">IFERROR(__xludf.DUMMYFUNCTION("GOOGLETRANSLATE(B3138:B3153,""RU"",""UK"")"),"Фреза дискова однокутна 50х12х55*/50х12х60*/50х16х75*")</f>
        <v>Фреза дискова однокутна 50х12х55*/50х12х60*/50х16х75*</v>
      </c>
      <c r="D3138" s="15" t="s">
        <v>6</v>
      </c>
      <c r="E3138" s="15" t="s">
        <v>4168</v>
      </c>
      <c r="F3138" s="91" t="s">
        <v>276</v>
      </c>
      <c r="G3138" s="4"/>
      <c r="H3138" s="4"/>
      <c r="I3138" s="4"/>
    </row>
    <row r="3139" spans="1:9" ht="15">
      <c r="A3139" s="21">
        <f t="shared" si="57"/>
        <v>46</v>
      </c>
      <c r="B3139" s="14" t="s">
        <v>4171</v>
      </c>
      <c r="C3139" s="85" t="str">
        <f ca="1">IFERROR(__xludf.DUMMYFUNCTION("GOOGLETRANSLATE(B3139:B3154,""RU"",""UK"")"),"Фреза дискова однокутна 60х11х55* / 60х20х80*/ 60х20х85*")</f>
        <v>Фреза дискова однокутна 60х11х55* / 60х20х80*/ 60х20х85*</v>
      </c>
      <c r="D3139" s="15" t="s">
        <v>6</v>
      </c>
      <c r="E3139" s="15" t="s">
        <v>4172</v>
      </c>
      <c r="F3139" s="91" t="s">
        <v>327</v>
      </c>
      <c r="G3139" s="4"/>
      <c r="H3139" s="4"/>
      <c r="I3139" s="4"/>
    </row>
    <row r="3140" spans="1:9" ht="15">
      <c r="A3140" s="21">
        <f t="shared" si="57"/>
        <v>47</v>
      </c>
      <c r="B3140" s="14" t="s">
        <v>4173</v>
      </c>
      <c r="C3140" s="85" t="str">
        <f ca="1">IFERROR(__xludf.DUMMYFUNCTION("GOOGLETRANSLATE(B3140:B3155,""RU"",""UK"")"),"Фреза однокутна дискова 60х20х90* / 60х25х70*")</f>
        <v>Фреза однокутна дискова 60х20х90* / 60х25х70*</v>
      </c>
      <c r="D3140" s="15" t="s">
        <v>6</v>
      </c>
      <c r="E3140" s="15" t="s">
        <v>2361</v>
      </c>
      <c r="F3140" s="91" t="s">
        <v>327</v>
      </c>
      <c r="G3140" s="4"/>
      <c r="H3140" s="4"/>
      <c r="I3140" s="4"/>
    </row>
    <row r="3141" spans="1:9" ht="15">
      <c r="A3141" s="21">
        <f t="shared" si="57"/>
        <v>48</v>
      </c>
      <c r="B3141" s="14" t="s">
        <v>4174</v>
      </c>
      <c r="C3141" s="85" t="str">
        <f ca="1">IFERROR(__xludf.DUMMYFUNCTION("GOOGLETRANSLATE(B3141:B3156,""RU"",""UK"")"),"Фреза однокутна дискова 63х13х65*")</f>
        <v>Фреза однокутна дискова 63х13х65*</v>
      </c>
      <c r="D3141" s="15" t="s">
        <v>6</v>
      </c>
      <c r="E3141" s="15">
        <v>1</v>
      </c>
      <c r="F3141" s="91" t="s">
        <v>3018</v>
      </c>
      <c r="G3141" s="4"/>
      <c r="H3141" s="4"/>
      <c r="I3141" s="4"/>
    </row>
    <row r="3142" spans="1:9" ht="15">
      <c r="A3142" s="21">
        <f t="shared" si="57"/>
        <v>49</v>
      </c>
      <c r="B3142" s="14" t="s">
        <v>4175</v>
      </c>
      <c r="C3142" s="85" t="str">
        <f ca="1">IFERROR(__xludf.DUMMYFUNCTION("GOOGLETRANSLATE(B3142:B3157,""RU"",""UK"")"),"Фреза однокутна дискова 63х20х75* / 63х20х80*")</f>
        <v>Фреза однокутна дискова 63х20х75* / 63х20х80*</v>
      </c>
      <c r="D3142" s="15" t="s">
        <v>6</v>
      </c>
      <c r="E3142" s="15" t="s">
        <v>1631</v>
      </c>
      <c r="F3142" s="91" t="s">
        <v>140</v>
      </c>
      <c r="G3142" s="4"/>
      <c r="H3142" s="4"/>
      <c r="I3142" s="4"/>
    </row>
    <row r="3143" spans="1:9" ht="15">
      <c r="A3143" s="21">
        <f t="shared" si="57"/>
        <v>50</v>
      </c>
      <c r="B3143" s="16" t="s">
        <v>4176</v>
      </c>
      <c r="C3143" s="85" t="str">
        <f ca="1">IFERROR(__xludf.DUMMYFUNCTION("GOOGLETRANSLATE(B3143:B3158,""RU"",""UK"")"),"Фреза однокутна дискова 63х20х85*")</f>
        <v>Фреза однокутна дискова 63х20х85*</v>
      </c>
      <c r="D3143" s="15" t="s">
        <v>6</v>
      </c>
      <c r="E3143" s="15">
        <v>1</v>
      </c>
      <c r="F3143" s="91" t="s">
        <v>140</v>
      </c>
      <c r="G3143" s="4"/>
      <c r="H3143" s="4"/>
      <c r="I3143" s="4"/>
    </row>
    <row r="3144" spans="1:9" ht="15">
      <c r="A3144" s="21">
        <f t="shared" si="57"/>
        <v>51</v>
      </c>
      <c r="B3144" s="14" t="s">
        <v>4177</v>
      </c>
      <c r="C3144" s="85" t="str">
        <f ca="1">IFERROR(__xludf.DUMMYFUNCTION("GOOGLETRANSLATE(B3144:B3159,""RU"",""UK"")"),"Фреза дискова двокутова 26х55*/40х6х65*")</f>
        <v>Фреза дискова двокутова 26х55*/40х6х65*</v>
      </c>
      <c r="D3144" s="15" t="s">
        <v>6</v>
      </c>
      <c r="E3144" s="15" t="s">
        <v>737</v>
      </c>
      <c r="F3144" s="91" t="s">
        <v>136</v>
      </c>
      <c r="G3144" s="4"/>
      <c r="H3144" s="4"/>
      <c r="I3144" s="4"/>
    </row>
    <row r="3145" spans="1:9" ht="15">
      <c r="A3145" s="21">
        <f t="shared" si="57"/>
        <v>52</v>
      </c>
      <c r="B3145" s="14" t="s">
        <v>4178</v>
      </c>
      <c r="C3145" s="85" t="str">
        <f ca="1">IFERROR(__xludf.DUMMYFUNCTION("GOOGLETRANSLATE(B3145:B3160,""RU"",""UK"")"),"Фреза дискова двокутова 60х16х85*х15*/60х16х90*х20*")</f>
        <v>Фреза дискова двокутова 60х16х85*х15*/60х16х90*х20*</v>
      </c>
      <c r="D3145" s="15" t="s">
        <v>6</v>
      </c>
      <c r="E3145" s="15" t="s">
        <v>749</v>
      </c>
      <c r="F3145" s="91" t="s">
        <v>3018</v>
      </c>
      <c r="G3145" s="4"/>
      <c r="H3145" s="4"/>
      <c r="I3145" s="4"/>
    </row>
    <row r="3146" spans="1:9" ht="15">
      <c r="A3146" s="21">
        <f t="shared" si="57"/>
        <v>53</v>
      </c>
      <c r="B3146" s="14" t="s">
        <v>4179</v>
      </c>
      <c r="C3146" s="85" t="str">
        <f ca="1">IFERROR(__xludf.DUMMYFUNCTION("GOOGLETRANSLATE(B3146:B3161,""RU"",""UK"")"),"Фреза дискова двокутова 60х10х60*х15*/60х13х75*х15*")</f>
        <v>Фреза дискова двокутова 60х10х60*х15*/60х13х75*х15*</v>
      </c>
      <c r="D3146" s="15" t="s">
        <v>6</v>
      </c>
      <c r="E3146" s="15" t="s">
        <v>749</v>
      </c>
      <c r="F3146" s="91" t="s">
        <v>140</v>
      </c>
      <c r="G3146" s="4"/>
      <c r="H3146" s="4"/>
      <c r="I3146" s="4"/>
    </row>
    <row r="3147" spans="1:9" ht="15">
      <c r="A3147" s="21">
        <f t="shared" si="57"/>
        <v>54</v>
      </c>
      <c r="B3147" s="14" t="s">
        <v>4180</v>
      </c>
      <c r="C3147" s="85" t="str">
        <f ca="1">IFERROR(__xludf.DUMMYFUNCTION("GOOGLETRANSLATE(B3147:B3162,""RU"",""UK"")"),"Фреза дискова двокутова 63х10х55*")</f>
        <v>Фреза дискова двокутова 63х10х55*</v>
      </c>
      <c r="D3147" s="15" t="s">
        <v>6</v>
      </c>
      <c r="E3147" s="15">
        <v>2</v>
      </c>
      <c r="F3147" s="91" t="s">
        <v>140</v>
      </c>
      <c r="G3147" s="4"/>
      <c r="H3147" s="4"/>
      <c r="I3147" s="4"/>
    </row>
    <row r="3148" spans="1:9" ht="15">
      <c r="A3148" s="21">
        <f t="shared" si="57"/>
        <v>55</v>
      </c>
      <c r="B3148" s="14" t="s">
        <v>4181</v>
      </c>
      <c r="C3148" s="85" t="str">
        <f ca="1">IFERROR(__xludf.DUMMYFUNCTION("GOOGLETRANSLATE(B3148:B3163,""RU"",""UK"")"),"Фреза дискова двокутова 63х16х85*х15*/63х16х80*/63х12х75*")</f>
        <v>Фреза дискова двокутова 63х16х85*х15*/63х16х80*/63х12х75*</v>
      </c>
      <c r="D3148" s="15" t="s">
        <v>6</v>
      </c>
      <c r="E3148" s="15" t="s">
        <v>4182</v>
      </c>
      <c r="F3148" s="91" t="s">
        <v>140</v>
      </c>
      <c r="G3148" s="4"/>
      <c r="H3148" s="4"/>
      <c r="I3148" s="4"/>
    </row>
    <row r="3149" spans="1:9" ht="15">
      <c r="A3149" s="21">
        <f t="shared" si="57"/>
        <v>56</v>
      </c>
      <c r="B3149" s="14" t="s">
        <v>4183</v>
      </c>
      <c r="C3149" s="85" t="str">
        <f ca="1">IFERROR(__xludf.DUMMYFUNCTION("GOOGLETRANSLATE(B3149:B3164,""RU"",""UK"")"),"Фреза дискова двокутова 75х16х65*х15*/ 75х22х50* / 75х20х70*")</f>
        <v>Фреза дискова двокутова 75х16х65*х15*/ 75х22х50* / 75х20х70*</v>
      </c>
      <c r="D3149" s="15" t="s">
        <v>6</v>
      </c>
      <c r="E3149" s="15" t="s">
        <v>4184</v>
      </c>
      <c r="F3149" s="91" t="s">
        <v>20</v>
      </c>
      <c r="G3149" s="4"/>
      <c r="H3149" s="4"/>
      <c r="I3149" s="4"/>
    </row>
    <row r="3150" spans="1:9" ht="15">
      <c r="A3150" s="21">
        <f t="shared" si="57"/>
        <v>57</v>
      </c>
      <c r="B3150" s="14" t="s">
        <v>4185</v>
      </c>
      <c r="C3150" s="85" t="str">
        <f ca="1">IFERROR(__xludf.DUMMYFUNCTION("GOOGLETRANSLATE(B3150:B3165,""RU"",""UK"")"),"Фреза дискова двокутова 80х22х16х60*х15*/ 80х16х75* / 80х20х65*")</f>
        <v>Фреза дискова двокутова 80х22х16х60*х15*/ 80х16х75* / 80х20х65*</v>
      </c>
      <c r="D3150" s="15" t="s">
        <v>6</v>
      </c>
      <c r="E3150" s="15" t="s">
        <v>3184</v>
      </c>
      <c r="F3150" s="91" t="s">
        <v>24</v>
      </c>
      <c r="G3150" s="4"/>
      <c r="H3150" s="4"/>
      <c r="I3150" s="4"/>
    </row>
    <row r="3151" spans="1:9" ht="15">
      <c r="A3151" s="21">
        <f t="shared" si="57"/>
        <v>58</v>
      </c>
      <c r="B3151" s="14" t="s">
        <v>4186</v>
      </c>
      <c r="C3151" s="85" t="str">
        <f ca="1">IFERROR(__xludf.DUMMYFUNCTION("GOOGLETRANSLATE(B3151:B3166,""RU"",""UK"")"),"Фреза дискова двокутова 80х20х85*/80х25х70*/90х30х75*х15*")</f>
        <v>Фреза дискова двокутова 80х20х85*/80х25х70*/90х30х75*х15*</v>
      </c>
      <c r="D3151" s="15" t="s">
        <v>6</v>
      </c>
      <c r="E3151" s="15" t="s">
        <v>3184</v>
      </c>
      <c r="F3151" s="91" t="s">
        <v>162</v>
      </c>
      <c r="G3151" s="4"/>
      <c r="H3151" s="4"/>
      <c r="I3151" s="4"/>
    </row>
    <row r="3152" spans="1:9" ht="15">
      <c r="A3152" s="21">
        <f t="shared" si="57"/>
        <v>59</v>
      </c>
      <c r="B3152" s="14" t="s">
        <v>4187</v>
      </c>
      <c r="C3152" s="85" t="str">
        <f ca="1">IFERROR(__xludf.DUMMYFUNCTION("GOOGLETRANSLATE(B3152:B3167,""RU"",""UK"")"),"Фреза дискова 20х50 ц/хв")</f>
        <v>Фреза дискова 20х50 ц/хв</v>
      </c>
      <c r="D3152" s="15" t="s">
        <v>6</v>
      </c>
      <c r="E3152" s="15">
        <v>1</v>
      </c>
      <c r="F3152" s="91" t="s">
        <v>319</v>
      </c>
      <c r="G3152" s="4"/>
      <c r="H3152" s="4"/>
      <c r="I3152" s="4"/>
    </row>
    <row r="3153" spans="1:9" ht="15">
      <c r="A3153" s="21">
        <f t="shared" si="57"/>
        <v>60</v>
      </c>
      <c r="B3153" s="16" t="s">
        <v>4188</v>
      </c>
      <c r="C3153" s="85" t="str">
        <f ca="1">IFERROR(__xludf.DUMMYFUNCTION("GOOGLETRANSLATE(B3153:B3168,""RU"",""UK"")"),"Фреза дискова циліндрична d40х30мм/d45х25мм/d40х40мм")</f>
        <v>Фреза дискова циліндрична d40х30мм/d45х25мм/d40х40мм</v>
      </c>
      <c r="D3153" s="15" t="s">
        <v>6</v>
      </c>
      <c r="E3153" s="15" t="s">
        <v>4189</v>
      </c>
      <c r="F3153" s="91" t="s">
        <v>140</v>
      </c>
      <c r="G3153" s="4"/>
      <c r="H3153" s="4"/>
      <c r="I3153" s="4"/>
    </row>
    <row r="3154" spans="1:9" ht="15">
      <c r="A3154" s="21">
        <f t="shared" si="57"/>
        <v>61</v>
      </c>
      <c r="B3154" s="14" t="s">
        <v>4190</v>
      </c>
      <c r="C3154" s="85" t="str">
        <f ca="1">IFERROR(__xludf.DUMMYFUNCTION("GOOGLETRANSLATE(B3154:B3169,""RU"",""UK"")"),"Фреза дискова циліндрична d40х50мм/d40х60мм/d40х63мм")</f>
        <v>Фреза дискова циліндрична d40х50мм/d40х60мм/d40х63мм</v>
      </c>
      <c r="D3154" s="15" t="s">
        <v>6</v>
      </c>
      <c r="E3154" s="15" t="s">
        <v>4191</v>
      </c>
      <c r="F3154" s="91" t="s">
        <v>20</v>
      </c>
      <c r="G3154" s="4"/>
      <c r="H3154" s="4"/>
      <c r="I3154" s="4"/>
    </row>
    <row r="3155" spans="1:9" ht="15">
      <c r="A3155" s="21">
        <f t="shared" si="57"/>
        <v>62</v>
      </c>
      <c r="B3155" s="14" t="s">
        <v>4192</v>
      </c>
      <c r="C3155" s="85" t="str">
        <f ca="1">IFERROR(__xludf.DUMMYFUNCTION("GOOGLETRANSLATE(B3155:B3170,""RU"",""UK"")"),"Фреза дискова циліндрична d50х50ммZ12/d50х80мм")</f>
        <v>Фреза дискова циліндрична d50х50ммZ12/d50х80мм</v>
      </c>
      <c r="D3155" s="15" t="s">
        <v>6</v>
      </c>
      <c r="E3155" s="15" t="s">
        <v>4193</v>
      </c>
      <c r="F3155" s="91" t="s">
        <v>24</v>
      </c>
      <c r="G3155" s="4"/>
      <c r="H3155" s="4"/>
      <c r="I3155" s="4"/>
    </row>
    <row r="3156" spans="1:9" ht="15">
      <c r="A3156" s="21">
        <f t="shared" si="57"/>
        <v>63</v>
      </c>
      <c r="B3156" s="14" t="s">
        <v>4194</v>
      </c>
      <c r="C3156" s="85" t="str">
        <f ca="1">IFERROR(__xludf.DUMMYFUNCTION("GOOGLETRANSLATE(B3156:B3171,""RU"",""UK"")"),"Фреза дискова циліндрична d60х50мм/d63х50мм/d63х63мм Z14")</f>
        <v>Фреза дискова циліндрична d60х50мм/d63х50мм/d63х63мм Z14</v>
      </c>
      <c r="D3156" s="15" t="s">
        <v>6</v>
      </c>
      <c r="E3156" s="15" t="s">
        <v>4195</v>
      </c>
      <c r="F3156" s="91" t="s">
        <v>106</v>
      </c>
      <c r="G3156" s="4"/>
      <c r="H3156" s="4"/>
      <c r="I3156" s="4"/>
    </row>
    <row r="3157" spans="1:9" ht="15">
      <c r="A3157" s="21">
        <f t="shared" si="57"/>
        <v>64</v>
      </c>
      <c r="B3157" s="14" t="s">
        <v>4196</v>
      </c>
      <c r="C3157" s="85" t="str">
        <f ca="1">IFERROR(__xludf.DUMMYFUNCTION("GOOGLETRANSLATE(B3157:B3172,""RU"",""UK"")"),"Фреза дискова циліндрична d63х80мм Z14/d63х100х27мм")</f>
        <v>Фреза дискова циліндрична d63х80мм Z14/d63х100х27мм</v>
      </c>
      <c r="D3157" s="15" t="s">
        <v>6</v>
      </c>
      <c r="E3157" s="15" t="s">
        <v>749</v>
      </c>
      <c r="F3157" s="91" t="s">
        <v>272</v>
      </c>
      <c r="G3157" s="4"/>
      <c r="H3157" s="4"/>
      <c r="I3157" s="4"/>
    </row>
    <row r="3158" spans="1:9" ht="15">
      <c r="A3158" s="21">
        <f t="shared" si="57"/>
        <v>65</v>
      </c>
      <c r="B3158" s="14" t="s">
        <v>4197</v>
      </c>
      <c r="C3158" s="85" t="str">
        <f ca="1">IFERROR(__xludf.DUMMYFUNCTION("GOOGLETRANSLATE(B3158:B3173,""RU"",""UK"")"),"Фреза дискова циліндрична d80х63мм/d80х80мм")</f>
        <v>Фреза дискова циліндрична d80х63мм/d80х80мм</v>
      </c>
      <c r="D3158" s="15" t="s">
        <v>6</v>
      </c>
      <c r="E3158" s="15" t="s">
        <v>4014</v>
      </c>
      <c r="F3158" s="91" t="s">
        <v>18</v>
      </c>
      <c r="G3158" s="4"/>
      <c r="H3158" s="4"/>
      <c r="I3158" s="4"/>
    </row>
    <row r="3159" spans="1:9" ht="15">
      <c r="A3159" s="21">
        <f t="shared" si="57"/>
        <v>66</v>
      </c>
      <c r="B3159" s="16" t="s">
        <v>4198</v>
      </c>
      <c r="C3159" s="85" t="str">
        <f ca="1">IFERROR(__xludf.DUMMYFUNCTION("GOOGLETRANSLATE(B3159:B3174,""RU"",""UK"")"),"Фреза дискова циліндрична d100х80х40мм Z16")</f>
        <v>Фреза дискова циліндрична d100х80х40мм Z16</v>
      </c>
      <c r="D3159" s="15" t="s">
        <v>6</v>
      </c>
      <c r="E3159" s="15">
        <v>1</v>
      </c>
      <c r="F3159" s="91" t="s">
        <v>413</v>
      </c>
      <c r="G3159" s="4"/>
      <c r="H3159" s="4"/>
      <c r="I3159" s="4"/>
    </row>
    <row r="3160" spans="1:9" ht="15">
      <c r="A3160" s="21">
        <f t="shared" ref="A3160:A3178" si="58">A3159+1</f>
        <v>67</v>
      </c>
      <c r="B3160" s="14" t="s">
        <v>4199</v>
      </c>
      <c r="C3160" s="85" t="str">
        <f ca="1">IFERROR(__xludf.DUMMYFUNCTION("GOOGLETRANSLATE(B3160:B3175,""RU"",""UK"")"),"Фреза дискова циліндрична d100х150мм")</f>
        <v>Фреза дискова циліндрична d100х150мм</v>
      </c>
      <c r="D3160" s="15" t="s">
        <v>6</v>
      </c>
      <c r="E3160" s="15">
        <v>1</v>
      </c>
      <c r="F3160" s="91" t="s">
        <v>138</v>
      </c>
      <c r="G3160" s="4"/>
      <c r="H3160" s="4"/>
      <c r="I3160" s="4"/>
    </row>
    <row r="3161" spans="1:9" ht="15">
      <c r="A3161" s="21">
        <f t="shared" si="58"/>
        <v>68</v>
      </c>
      <c r="B3161" s="14" t="s">
        <v>4200</v>
      </c>
      <c r="C3161" s="85" t="str">
        <f ca="1">IFERROR(__xludf.DUMMYFUNCTION("GOOGLETRANSLATE(B3161:B3176,""RU"",""UK"")"),"Фреза торценасадна Р6М5 40х32мм/40х40мм")</f>
        <v>Фреза торценасадна Р6М5 40х32мм/40х40мм</v>
      </c>
      <c r="D3161" s="15" t="s">
        <v>6</v>
      </c>
      <c r="E3161" s="15" t="s">
        <v>993</v>
      </c>
      <c r="F3161" s="91" t="s">
        <v>140</v>
      </c>
      <c r="G3161" s="4"/>
      <c r="H3161" s="4"/>
      <c r="I3161" s="4"/>
    </row>
    <row r="3162" spans="1:9" ht="15">
      <c r="A3162" s="21">
        <f t="shared" si="58"/>
        <v>69</v>
      </c>
      <c r="B3162" s="14" t="s">
        <v>4201</v>
      </c>
      <c r="C3162" s="85" t="str">
        <f ca="1">IFERROR(__xludf.DUMMYFUNCTION("GOOGLETRANSLATE(B3162:B3177,""RU"",""UK"")"),"Фреза торценасадна Р6М5 45х30мм Р18")</f>
        <v>Фреза торценасадна Р6М5 45х30мм Р18</v>
      </c>
      <c r="D3162" s="15" t="s">
        <v>6</v>
      </c>
      <c r="E3162" s="15">
        <v>1</v>
      </c>
      <c r="F3162" s="91" t="s">
        <v>24</v>
      </c>
      <c r="G3162" s="4"/>
      <c r="H3162" s="4"/>
      <c r="I3162" s="4"/>
    </row>
    <row r="3163" spans="1:9" ht="15">
      <c r="A3163" s="21">
        <f t="shared" si="58"/>
        <v>70</v>
      </c>
      <c r="B3163" s="14" t="s">
        <v>4202</v>
      </c>
      <c r="C3163" s="85" t="str">
        <f ca="1">IFERROR(__xludf.DUMMYFUNCTION("GOOGLETRANSLATE(B3163:B3178,""RU"",""UK"")"),"Фреза торценасадна Р6М5 50х36мм")</f>
        <v>Фреза торценасадна Р6М5 50х36мм</v>
      </c>
      <c r="D3163" s="15" t="s">
        <v>6</v>
      </c>
      <c r="E3163" s="15">
        <v>1</v>
      </c>
      <c r="F3163" s="91" t="s">
        <v>106</v>
      </c>
      <c r="G3163" s="4"/>
      <c r="H3163" s="4"/>
      <c r="I3163" s="4"/>
    </row>
    <row r="3164" spans="1:9" ht="15">
      <c r="A3164" s="21">
        <f t="shared" si="58"/>
        <v>71</v>
      </c>
      <c r="B3164" s="14" t="s">
        <v>4203</v>
      </c>
      <c r="C3164" s="85" t="str">
        <f ca="1">IFERROR(__xludf.DUMMYFUNCTION("GOOGLETRANSLATE(B3164:B3179,""RU"",""UK"")"),"Фреза торценасадна Р6М5 63х40мм")</f>
        <v>Фреза торценасадна Р6М5 63х40мм</v>
      </c>
      <c r="D3164" s="15" t="s">
        <v>6</v>
      </c>
      <c r="E3164" s="15">
        <v>3</v>
      </c>
      <c r="F3164" s="91" t="s">
        <v>22</v>
      </c>
      <c r="G3164" s="4"/>
      <c r="H3164" s="4"/>
      <c r="I3164" s="4"/>
    </row>
    <row r="3165" spans="1:9" ht="15">
      <c r="A3165" s="21">
        <f t="shared" si="58"/>
        <v>72</v>
      </c>
      <c r="B3165" s="14" t="s">
        <v>4204</v>
      </c>
      <c r="C3165" s="85" t="str">
        <f ca="1">IFERROR(__xludf.DUMMYFUNCTION("GOOGLETRANSLATE(B3165:B3180,""RU"",""UK"")"),"Фреза торценасадна Р6М5 80х40мм/80х45мм")</f>
        <v>Фреза торценасадна Р6М5 80х40мм/80х45мм</v>
      </c>
      <c r="D3165" s="15" t="s">
        <v>6</v>
      </c>
      <c r="E3165" s="15" t="s">
        <v>912</v>
      </c>
      <c r="F3165" s="91" t="s">
        <v>18</v>
      </c>
      <c r="G3165" s="4"/>
      <c r="H3165" s="4"/>
      <c r="I3165" s="4"/>
    </row>
    <row r="3166" spans="1:9" ht="15">
      <c r="A3166" s="21">
        <f t="shared" si="58"/>
        <v>73</v>
      </c>
      <c r="B3166" s="14" t="s">
        <v>4205</v>
      </c>
      <c r="C3166" s="85" t="str">
        <f ca="1">IFERROR(__xludf.DUMMYFUNCTION("GOOGLETRANSLATE(B3166:B3181,""RU"",""UK"")"),"Фреза торценасадна Р6М5 90х35мм")</f>
        <v>Фреза торценасадна Р6М5 90х35мм</v>
      </c>
      <c r="D3166" s="15" t="s">
        <v>6</v>
      </c>
      <c r="E3166" s="15">
        <v>1</v>
      </c>
      <c r="F3166" s="91" t="s">
        <v>413</v>
      </c>
      <c r="G3166" s="4"/>
      <c r="H3166" s="4"/>
      <c r="I3166" s="4"/>
    </row>
    <row r="3167" spans="1:9" ht="15">
      <c r="A3167" s="21">
        <f t="shared" si="58"/>
        <v>74</v>
      </c>
      <c r="B3167" s="14" t="s">
        <v>4206</v>
      </c>
      <c r="C3167" s="85" t="str">
        <f ca="1">IFERROR(__xludf.DUMMYFUNCTION("GOOGLETRANSLATE(B3167:B3182,""RU"",""UK"")"),"Фреза торценасадна Р6М5 100х45мм Z18/100х50мм")</f>
        <v>Фреза торценасадна Р6М5 100х45мм Z18/100х50мм</v>
      </c>
      <c r="D3167" s="15" t="s">
        <v>6</v>
      </c>
      <c r="E3167" s="15" t="s">
        <v>2027</v>
      </c>
      <c r="F3167" s="91" t="s">
        <v>78</v>
      </c>
      <c r="G3167" s="4"/>
      <c r="H3167" s="4"/>
      <c r="I3167" s="4"/>
    </row>
    <row r="3168" spans="1:9" ht="15">
      <c r="A3168" s="21">
        <f t="shared" si="58"/>
        <v>75</v>
      </c>
      <c r="B3168" s="14" t="s">
        <v>4207</v>
      </c>
      <c r="C3168" s="85" t="str">
        <f ca="1">IFERROR(__xludf.DUMMYFUNCTION("GOOGLETRANSLATE(B3168:B3183,""RU"",""UK"")"),"Фреза торцева (риф.ніж Р6М5) 100мм/125мм")</f>
        <v>Фреза торцева (риф.ніж Р6М5) 100мм/125мм</v>
      </c>
      <c r="D3168" s="15" t="s">
        <v>6</v>
      </c>
      <c r="E3168" s="15" t="s">
        <v>438</v>
      </c>
      <c r="F3168" s="91" t="s">
        <v>4208</v>
      </c>
      <c r="G3168" s="4"/>
      <c r="H3168" s="4"/>
      <c r="I3168" s="4"/>
    </row>
    <row r="3169" spans="1:9" ht="15">
      <c r="A3169" s="21">
        <f t="shared" si="58"/>
        <v>76</v>
      </c>
      <c r="B3169" s="14" t="s">
        <v>4209</v>
      </c>
      <c r="C3169" s="85" t="str">
        <f ca="1">IFERROR(__xludf.DUMMYFUNCTION("GOOGLETRANSLATE(B3169:B3184,""RU"",""UK"")"),"Фреза торцева (риф.ніж Р6М5) 160мм")</f>
        <v>Фреза торцева (риф.ніж Р6М5) 160мм</v>
      </c>
      <c r="D3169" s="15" t="s">
        <v>6</v>
      </c>
      <c r="E3169" s="15">
        <v>1</v>
      </c>
      <c r="F3169" s="91" t="s">
        <v>3920</v>
      </c>
      <c r="G3169" s="4"/>
      <c r="H3169" s="4"/>
      <c r="I3169" s="4"/>
    </row>
    <row r="3170" spans="1:9" ht="15">
      <c r="A3170" s="21">
        <f t="shared" si="58"/>
        <v>77</v>
      </c>
      <c r="B3170" s="14" t="s">
        <v>4210</v>
      </c>
      <c r="C3170" s="85" t="str">
        <f ca="1">IFERROR(__xludf.DUMMYFUNCTION("GOOGLETRANSLATE(B3170:B3185,""RU"",""UK"")"),"Фреза різьбова гребінчаста крок 1,5 d55х30мм")</f>
        <v>Фреза різьбова гребінчаста крок 1,5 d55х30мм</v>
      </c>
      <c r="D3170" s="15" t="s">
        <v>6</v>
      </c>
      <c r="E3170" s="15">
        <v>4</v>
      </c>
      <c r="F3170" s="91" t="s">
        <v>319</v>
      </c>
      <c r="G3170" s="4"/>
      <c r="H3170" s="4"/>
      <c r="I3170" s="4"/>
    </row>
    <row r="3171" spans="1:9" ht="15">
      <c r="A3171" s="21">
        <f t="shared" si="58"/>
        <v>78</v>
      </c>
      <c r="B3171" s="14" t="s">
        <v>4211</v>
      </c>
      <c r="C3171" s="85" t="str">
        <f ca="1">IFERROR(__xludf.DUMMYFUNCTION("GOOGLETRANSLATE(B3171:B3186,""RU"",""UK"")"),"Фреза пазова 12х12/40х7")</f>
        <v>Фреза пазова 12х12/40х7</v>
      </c>
      <c r="D3171" s="15" t="s">
        <v>6</v>
      </c>
      <c r="E3171" s="15" t="s">
        <v>686</v>
      </c>
      <c r="F3171" s="91" t="s">
        <v>136</v>
      </c>
      <c r="G3171" s="4"/>
      <c r="H3171" s="4"/>
      <c r="I3171" s="4"/>
    </row>
    <row r="3172" spans="1:9" ht="15">
      <c r="A3172" s="21">
        <f t="shared" si="58"/>
        <v>79</v>
      </c>
      <c r="B3172" s="14" t="s">
        <v>4212</v>
      </c>
      <c r="C3172" s="85" t="str">
        <f ca="1">IFERROR(__xludf.DUMMYFUNCTION("GOOGLETRANSLATE(B3172:B3187,""RU"",""UK"")"),"Фреза пазова 50х3/50х4")</f>
        <v>Фреза пазова 50х3/50х4</v>
      </c>
      <c r="D3172" s="15" t="s">
        <v>6</v>
      </c>
      <c r="E3172" s="15" t="s">
        <v>4213</v>
      </c>
      <c r="F3172" s="91" t="s">
        <v>319</v>
      </c>
      <c r="G3172" s="4"/>
      <c r="H3172" s="4"/>
      <c r="I3172" s="4"/>
    </row>
    <row r="3173" spans="1:9" ht="15">
      <c r="A3173" s="21">
        <f t="shared" si="58"/>
        <v>80</v>
      </c>
      <c r="B3173" s="14" t="s">
        <v>4214</v>
      </c>
      <c r="C3173" s="85" t="str">
        <f ca="1">IFERROR(__xludf.DUMMYFUNCTION("GOOGLETRANSLATE(B3173:B3188,""RU"",""UK"")"),"Фреза пазова 50х6/60х6/60х8/63х5")</f>
        <v>Фреза пазова 50х6/60х6/60х8/63х5</v>
      </c>
      <c r="D3173" s="15" t="s">
        <v>6</v>
      </c>
      <c r="E3173" s="15" t="s">
        <v>4215</v>
      </c>
      <c r="F3173" s="91" t="s">
        <v>1570</v>
      </c>
      <c r="G3173" s="4"/>
      <c r="H3173" s="4"/>
      <c r="I3173" s="4"/>
    </row>
    <row r="3174" spans="1:9" ht="15">
      <c r="A3174" s="21">
        <f t="shared" si="58"/>
        <v>81</v>
      </c>
      <c r="B3174" s="14" t="s">
        <v>4216</v>
      </c>
      <c r="C3174" s="85" t="str">
        <f ca="1">IFERROR(__xludf.DUMMYFUNCTION("GOOGLETRANSLATE(B3174:B3189,""RU"",""UK"")"),"Фреза пазова 63х6/63х7/63х8")</f>
        <v>Фреза пазова 63х6/63х7/63х8</v>
      </c>
      <c r="D3174" s="15" t="s">
        <v>6</v>
      </c>
      <c r="E3174" s="15" t="s">
        <v>4217</v>
      </c>
      <c r="F3174" s="91" t="s">
        <v>119</v>
      </c>
      <c r="G3174" s="4"/>
      <c r="H3174" s="4"/>
      <c r="I3174" s="4"/>
    </row>
    <row r="3175" spans="1:9" ht="15">
      <c r="A3175" s="21">
        <f t="shared" si="58"/>
        <v>82</v>
      </c>
      <c r="B3175" s="14" t="s">
        <v>4218</v>
      </c>
      <c r="C3175" s="85" t="str">
        <f ca="1">IFERROR(__xludf.DUMMYFUNCTION("GOOGLETRANSLATE(B3175:B3190,""RU"",""UK"")"),"Фреза пазова 80х8/80х10")</f>
        <v>Фреза пазова 80х8/80х10</v>
      </c>
      <c r="D3175" s="15" t="s">
        <v>6</v>
      </c>
      <c r="E3175" s="15" t="s">
        <v>4219</v>
      </c>
      <c r="F3175" s="91" t="s">
        <v>327</v>
      </c>
      <c r="G3175" s="4"/>
      <c r="H3175" s="4"/>
      <c r="I3175" s="4"/>
    </row>
    <row r="3176" spans="1:9" ht="15">
      <c r="A3176" s="21">
        <f t="shared" si="58"/>
        <v>83</v>
      </c>
      <c r="B3176" s="14" t="s">
        <v>4220</v>
      </c>
      <c r="C3176" s="85" t="str">
        <f ca="1">IFERROR(__xludf.DUMMYFUNCTION("GOOGLETRANSLATE(B3176:B3191,""RU"",""UK"")"),"Фреза пазова 80х12/90х14/90х16")</f>
        <v>Фреза пазова 80х12/90х14/90х16</v>
      </c>
      <c r="D3176" s="15" t="s">
        <v>6</v>
      </c>
      <c r="E3176" s="15" t="s">
        <v>4221</v>
      </c>
      <c r="F3176" s="91" t="s">
        <v>140</v>
      </c>
      <c r="G3176" s="4"/>
      <c r="H3176" s="4"/>
      <c r="I3176" s="4"/>
    </row>
    <row r="3177" spans="1:9" ht="15">
      <c r="A3177" s="21">
        <f t="shared" si="58"/>
        <v>84</v>
      </c>
      <c r="B3177" s="14" t="s">
        <v>4222</v>
      </c>
      <c r="C3177" s="85" t="str">
        <f ca="1">IFERROR(__xludf.DUMMYFUNCTION("GOOGLETRANSLATE(B3177:B3192,""RU"",""UK"")"),"Фреза пазова 100х10/100х12")</f>
        <v>Фреза пазова 100х10/100х12</v>
      </c>
      <c r="D3177" s="15" t="s">
        <v>6</v>
      </c>
      <c r="E3177" s="15" t="s">
        <v>1627</v>
      </c>
      <c r="F3177" s="91" t="s">
        <v>20</v>
      </c>
      <c r="G3177" s="4"/>
      <c r="H3177" s="4"/>
      <c r="I3177" s="4"/>
    </row>
    <row r="3178" spans="1:9" ht="15">
      <c r="A3178" s="21">
        <f t="shared" si="58"/>
        <v>85</v>
      </c>
      <c r="B3178" s="14" t="s">
        <v>4223</v>
      </c>
      <c r="C3178" s="115" t="str">
        <f ca="1">IFERROR(__xludf.DUMMYFUNCTION("GOOGLETRANSLATE(B3178:B3193,""RU"",""UK"")"),"Фреза пазова 100х14/100х16")</f>
        <v>Фреза пазова 100х14/100х16</v>
      </c>
      <c r="D3178" s="15" t="s">
        <v>6</v>
      </c>
      <c r="E3178" s="15" t="s">
        <v>4224</v>
      </c>
      <c r="F3178" s="91" t="s">
        <v>24</v>
      </c>
      <c r="G3178" s="4"/>
      <c r="H3178" s="4"/>
      <c r="I3178" s="4"/>
    </row>
    <row r="3179" spans="1:9" ht="15">
      <c r="A3179" s="68"/>
      <c r="B3179" s="69"/>
      <c r="C3179" s="119" t="s">
        <v>6046</v>
      </c>
      <c r="D3179" s="69"/>
      <c r="E3179" s="69"/>
      <c r="F3179" s="106"/>
      <c r="G3179" s="4"/>
      <c r="H3179" s="4"/>
      <c r="I3179" s="4"/>
    </row>
    <row r="3180" spans="1:9" ht="15">
      <c r="A3180" s="13">
        <v>1</v>
      </c>
      <c r="B3180" s="36" t="s">
        <v>4225</v>
      </c>
      <c r="C3180" s="47" t="str">
        <f ca="1">IFERROR(__xludf.DUMMYFUNCTION("GOOGLETRANSLATE(B3180:B3195,""RU"",""UK"")"),"Фреза шпонкова М6,5 ВК10 ц/хв")</f>
        <v>Фреза шпонкова М6,5 ВК10 ц/хв</v>
      </c>
      <c r="D3180" s="15" t="s">
        <v>6</v>
      </c>
      <c r="E3180" s="15">
        <v>3</v>
      </c>
      <c r="F3180" s="91" t="s">
        <v>319</v>
      </c>
      <c r="G3180" s="4"/>
      <c r="H3180" s="4"/>
      <c r="I3180" s="4"/>
    </row>
    <row r="3181" spans="1:9" ht="15">
      <c r="A3181" s="21">
        <f>A3180+1</f>
        <v>2</v>
      </c>
      <c r="B3181" s="14" t="s">
        <v>4226</v>
      </c>
      <c r="C3181" s="85" t="str">
        <f ca="1">IFERROR(__xludf.DUMMYFUNCTION("GOOGLETRANSLATE(B3181:B3196,""RU"",""UK"")"),"Фреза шпонкова М12 ВК8 ц/хв")</f>
        <v>Фреза шпонкова М12 ВК8 ц/хв</v>
      </c>
      <c r="D3181" s="15" t="s">
        <v>6</v>
      </c>
      <c r="E3181" s="15">
        <v>38</v>
      </c>
      <c r="F3181" s="91" t="s">
        <v>4227</v>
      </c>
      <c r="G3181" s="4"/>
      <c r="H3181" s="4"/>
      <c r="I3181" s="4"/>
    </row>
    <row r="3182" spans="1:9" ht="15">
      <c r="A3182" s="21">
        <f t="shared" ref="A3182:A3245" si="59">A3181+1</f>
        <v>3</v>
      </c>
      <c r="B3182" s="14" t="s">
        <v>4228</v>
      </c>
      <c r="C3182" s="85" t="str">
        <f ca="1">IFERROR(__xludf.DUMMYFUNCTION("GOOGLETRANSLATE(B3182:B3197,""RU"",""UK"")"),"Фреза шпонкова М13 ВК8 ц/хв")</f>
        <v>Фреза шпонкова М13 ВК8 ц/хв</v>
      </c>
      <c r="D3182" s="15" t="s">
        <v>6</v>
      </c>
      <c r="E3182" s="15">
        <v>8</v>
      </c>
      <c r="F3182" s="91" t="s">
        <v>3018</v>
      </c>
      <c r="G3182" s="4"/>
      <c r="H3182" s="4"/>
      <c r="I3182" s="4"/>
    </row>
    <row r="3183" spans="1:9" ht="15">
      <c r="A3183" s="21">
        <f t="shared" si="59"/>
        <v>4</v>
      </c>
      <c r="B3183" s="14" t="s">
        <v>4229</v>
      </c>
      <c r="C3183" s="85" t="str">
        <f ca="1">IFERROR(__xludf.DUMMYFUNCTION("GOOGLETRANSLATE(B3183:B3198,""RU"",""UK"")"),"Фреза шпонкова М13 ВК8 к/хв")</f>
        <v>Фреза шпонкова М13 ВК8 к/хв</v>
      </c>
      <c r="D3183" s="15" t="s">
        <v>6</v>
      </c>
      <c r="E3183" s="15">
        <v>10</v>
      </c>
      <c r="F3183" s="91" t="s">
        <v>3018</v>
      </c>
      <c r="G3183" s="4"/>
      <c r="H3183" s="4"/>
      <c r="I3183" s="4"/>
    </row>
    <row r="3184" spans="1:9" ht="15">
      <c r="A3184" s="21">
        <f t="shared" si="59"/>
        <v>5</v>
      </c>
      <c r="B3184" s="14" t="s">
        <v>4230</v>
      </c>
      <c r="C3184" s="85" t="str">
        <f ca="1">IFERROR(__xludf.DUMMYFUNCTION("GOOGLETRANSLATE(B3184:B3199,""RU"",""UK"")"),"Фреза шпонкова М14 ВК8 ц/хв")</f>
        <v>Фреза шпонкова М14 ВК8 ц/хв</v>
      </c>
      <c r="D3184" s="15" t="s">
        <v>6</v>
      </c>
      <c r="E3184" s="15">
        <v>57</v>
      </c>
      <c r="F3184" s="91" t="s">
        <v>140</v>
      </c>
      <c r="G3184" s="4"/>
      <c r="H3184" s="4"/>
      <c r="I3184" s="4"/>
    </row>
    <row r="3185" spans="1:9" ht="15">
      <c r="A3185" s="21">
        <f t="shared" si="59"/>
        <v>6</v>
      </c>
      <c r="B3185" s="14" t="s">
        <v>4231</v>
      </c>
      <c r="C3185" s="85" t="str">
        <f ca="1">IFERROR(__xludf.DUMMYFUNCTION("GOOGLETRANSLATE(B3185:B3200,""RU"",""UK"")"),"Фреза шпонкова М14 ВК8 к/хв / М14,5 ВК8 к/хв")</f>
        <v>Фреза шпонкова М14 ВК8 к/хв / М14,5 ВК8 к/хв</v>
      </c>
      <c r="D3185" s="15" t="s">
        <v>6</v>
      </c>
      <c r="E3185" s="15" t="s">
        <v>2039</v>
      </c>
      <c r="F3185" s="91" t="s">
        <v>140</v>
      </c>
      <c r="G3185" s="4"/>
      <c r="H3185" s="4"/>
      <c r="I3185" s="4"/>
    </row>
    <row r="3186" spans="1:9" ht="15">
      <c r="A3186" s="21">
        <f t="shared" si="59"/>
        <v>7</v>
      </c>
      <c r="B3186" s="14" t="s">
        <v>4232</v>
      </c>
      <c r="C3186" s="85" t="str">
        <f ca="1">IFERROR(__xludf.DUMMYFUNCTION("GOOGLETRANSLATE(B3186:B3201,""RU"",""UK"")"),"Фреза шпонкова М16 ВК8 ц/хв")</f>
        <v>Фреза шпонкова М16 ВК8 ц/хв</v>
      </c>
      <c r="D3186" s="15" t="s">
        <v>6</v>
      </c>
      <c r="E3186" s="15">
        <v>134</v>
      </c>
      <c r="F3186" s="91" t="s">
        <v>569</v>
      </c>
      <c r="G3186" s="4"/>
      <c r="H3186" s="4"/>
      <c r="I3186" s="4"/>
    </row>
    <row r="3187" spans="1:9" ht="15">
      <c r="A3187" s="21">
        <f t="shared" si="59"/>
        <v>8</v>
      </c>
      <c r="B3187" s="14" t="s">
        <v>4233</v>
      </c>
      <c r="C3187" s="85" t="str">
        <f ca="1">IFERROR(__xludf.DUMMYFUNCTION("GOOGLETRANSLATE(B3187:B3202,""RU"",""UK"")"),"Фреза шпонкова М16 ВК8 к/хв")</f>
        <v>Фреза шпонкова М16 ВК8 к/хв</v>
      </c>
      <c r="D3187" s="15" t="s">
        <v>6</v>
      </c>
      <c r="E3187" s="15">
        <v>31</v>
      </c>
      <c r="F3187" s="91" t="s">
        <v>20</v>
      </c>
      <c r="G3187" s="4"/>
      <c r="H3187" s="4"/>
      <c r="I3187" s="4"/>
    </row>
    <row r="3188" spans="1:9" ht="15">
      <c r="A3188" s="21">
        <f t="shared" si="59"/>
        <v>9</v>
      </c>
      <c r="B3188" s="14" t="s">
        <v>4234</v>
      </c>
      <c r="C3188" s="85" t="str">
        <f ca="1">IFERROR(__xludf.DUMMYFUNCTION("GOOGLETRANSLATE(B3188:B3203,""RU"",""UK"")"),"Фреза шпонкова М20 ВК8 ц/хв")</f>
        <v>Фреза шпонкова М20 ВК8 ц/хв</v>
      </c>
      <c r="D3188" s="15" t="s">
        <v>6</v>
      </c>
      <c r="E3188" s="15">
        <v>24</v>
      </c>
      <c r="F3188" s="91" t="s">
        <v>24</v>
      </c>
      <c r="G3188" s="4"/>
      <c r="H3188" s="4"/>
      <c r="I3188" s="4"/>
    </row>
    <row r="3189" spans="1:9" ht="15">
      <c r="A3189" s="21">
        <f t="shared" si="59"/>
        <v>10</v>
      </c>
      <c r="B3189" s="14" t="s">
        <v>4235</v>
      </c>
      <c r="C3189" s="85" t="str">
        <f ca="1">IFERROR(__xludf.DUMMYFUNCTION("GOOGLETRANSLATE(B3189:B3204,""RU"",""UK"")"),"Фреза шпонкова М20 ВК8 к/хв/М20 Т5К10 к/хв/М20т/с к/хв")</f>
        <v>Фреза шпонкова М20 ВК8 к/хв/М20 Т5К10 к/хв/М20т/с к/хв</v>
      </c>
      <c r="D3189" s="15" t="s">
        <v>6</v>
      </c>
      <c r="E3189" s="15" t="s">
        <v>4236</v>
      </c>
      <c r="F3189" s="91" t="s">
        <v>162</v>
      </c>
      <c r="G3189" s="4"/>
      <c r="H3189" s="4"/>
      <c r="I3189" s="4"/>
    </row>
    <row r="3190" spans="1:9" ht="15">
      <c r="A3190" s="21">
        <f t="shared" si="59"/>
        <v>11</v>
      </c>
      <c r="B3190" s="14" t="s">
        <v>4237</v>
      </c>
      <c r="C3190" s="85" t="str">
        <f ca="1">IFERROR(__xludf.DUMMYFUNCTION("GOOGLETRANSLATE(B3190:B3205,""RU"",""UK"")"),"Фреза шпонкова М22 ВК8 к/хв")</f>
        <v>Фреза шпонкова М22 ВК8 к/хв</v>
      </c>
      <c r="D3190" s="15" t="s">
        <v>6</v>
      </c>
      <c r="E3190" s="15">
        <v>15</v>
      </c>
      <c r="F3190" s="91" t="s">
        <v>106</v>
      </c>
      <c r="G3190" s="4"/>
      <c r="H3190" s="4"/>
      <c r="I3190" s="4"/>
    </row>
    <row r="3191" spans="1:9" ht="15">
      <c r="A3191" s="21">
        <f t="shared" si="59"/>
        <v>12</v>
      </c>
      <c r="B3191" s="14" t="s">
        <v>4238</v>
      </c>
      <c r="C3191" s="85" t="str">
        <f ca="1">IFERROR(__xludf.DUMMYFUNCTION("GOOGLETRANSLATE(B3191:B3206,""RU"",""UK"")"),"Фреза шпонкова М25 Т5К10 к/хв / М25 BК8 к/хв")</f>
        <v>Фреза шпонкова М25 Т5К10 к/хв / М25 BК8 к/хв</v>
      </c>
      <c r="D3191" s="15" t="s">
        <v>6</v>
      </c>
      <c r="E3191" s="15" t="s">
        <v>700</v>
      </c>
      <c r="F3191" s="91" t="s">
        <v>16</v>
      </c>
      <c r="G3191" s="4"/>
      <c r="H3191" s="4"/>
      <c r="I3191" s="4"/>
    </row>
    <row r="3192" spans="1:9" ht="15">
      <c r="A3192" s="21">
        <f t="shared" si="59"/>
        <v>13</v>
      </c>
      <c r="B3192" s="14" t="s">
        <v>4239</v>
      </c>
      <c r="C3192" s="85" t="str">
        <f ca="1">IFERROR(__xludf.DUMMYFUNCTION("GOOGLETRANSLATE(B3192:B3207,""RU"",""UK"")"),"Фреза шпонкова М28 ВК8 к/хв / М28 Т5К10 к/хв")</f>
        <v>Фреза шпонкова М28 ВК8 к/хв / М28 Т5К10 к/хв</v>
      </c>
      <c r="D3192" s="15" t="s">
        <v>6</v>
      </c>
      <c r="E3192" s="15" t="s">
        <v>4240</v>
      </c>
      <c r="F3192" s="91" t="s">
        <v>22</v>
      </c>
      <c r="G3192" s="4"/>
      <c r="H3192" s="4"/>
      <c r="I3192" s="4"/>
    </row>
    <row r="3193" spans="1:9" ht="15">
      <c r="A3193" s="21">
        <f t="shared" si="59"/>
        <v>14</v>
      </c>
      <c r="B3193" s="14" t="s">
        <v>4241</v>
      </c>
      <c r="C3193" s="85" t="str">
        <f ca="1">IFERROR(__xludf.DUMMYFUNCTION("GOOGLETRANSLATE(B3193:B3208,""RU"",""UK"")"),"Фреза шпонкова М32 ВК8 к/хв / М32 Т5К10 к/хв")</f>
        <v>Фреза шпонкова М32 ВК8 к/хв / М32 Т5К10 к/хв</v>
      </c>
      <c r="D3193" s="15" t="s">
        <v>6</v>
      </c>
      <c r="E3193" s="15" t="s">
        <v>1005</v>
      </c>
      <c r="F3193" s="91" t="s">
        <v>4242</v>
      </c>
      <c r="G3193" s="4"/>
      <c r="H3193" s="4"/>
      <c r="I3193" s="4"/>
    </row>
    <row r="3194" spans="1:9" ht="15">
      <c r="A3194" s="21">
        <f t="shared" si="59"/>
        <v>15</v>
      </c>
      <c r="B3194" s="14" t="s">
        <v>4243</v>
      </c>
      <c r="C3194" s="85" t="str">
        <f ca="1">IFERROR(__xludf.DUMMYFUNCTION("GOOGLETRANSLATE(B3194:B3209,""RU"",""UK"")"),"Фреза шпонкова М36 ВК8 к/хв")</f>
        <v>Фреза шпонкова М36 ВК8 к/хв</v>
      </c>
      <c r="D3194" s="15" t="s">
        <v>6</v>
      </c>
      <c r="E3194" s="15">
        <v>12</v>
      </c>
      <c r="F3194" s="91" t="s">
        <v>3916</v>
      </c>
      <c r="G3194" s="4"/>
      <c r="H3194" s="4"/>
      <c r="I3194" s="4"/>
    </row>
    <row r="3195" spans="1:9" ht="15">
      <c r="A3195" s="21">
        <f t="shared" si="59"/>
        <v>16</v>
      </c>
      <c r="B3195" s="14" t="s">
        <v>4244</v>
      </c>
      <c r="C3195" s="85" t="str">
        <f ca="1">IFERROR(__xludf.DUMMYFUNCTION("GOOGLETRANSLATE(B3195:B3210,""RU"",""UK"")"),"Фреза шпонкова М40 ВК8 к/хв / М40 Т5К10 к/хв")</f>
        <v>Фреза шпонкова М40 ВК8 к/хв / М40 Т5К10 к/хв</v>
      </c>
      <c r="D3195" s="15" t="s">
        <v>6</v>
      </c>
      <c r="E3195" s="15" t="s">
        <v>3147</v>
      </c>
      <c r="F3195" s="91" t="s">
        <v>4245</v>
      </c>
      <c r="G3195" s="4"/>
      <c r="H3195" s="4"/>
      <c r="I3195" s="4"/>
    </row>
    <row r="3196" spans="1:9" ht="15">
      <c r="A3196" s="21">
        <f t="shared" si="59"/>
        <v>17</v>
      </c>
      <c r="B3196" s="14" t="s">
        <v>4246</v>
      </c>
      <c r="C3196" s="85" t="str">
        <f ca="1">IFERROR(__xludf.DUMMYFUNCTION("GOOGLETRANSLATE(B3196:B3211,""RU"",""UK"")"),"Фреза монолітна шпонкова ВК-8 М4")</f>
        <v>Фреза монолітна шпонкова ВК-8 М4</v>
      </c>
      <c r="D3196" s="15" t="s">
        <v>6</v>
      </c>
      <c r="E3196" s="15">
        <v>8</v>
      </c>
      <c r="F3196" s="91" t="s">
        <v>319</v>
      </c>
      <c r="G3196" s="4"/>
      <c r="H3196" s="4"/>
      <c r="I3196" s="4"/>
    </row>
    <row r="3197" spans="1:9" ht="15">
      <c r="A3197" s="21">
        <f t="shared" si="59"/>
        <v>18</v>
      </c>
      <c r="B3197" s="14" t="s">
        <v>4247</v>
      </c>
      <c r="C3197" s="85" t="str">
        <f ca="1">IFERROR(__xludf.DUMMYFUNCTION("GOOGLETRANSLATE(B3197:B3212,""RU"",""UK"")"),"Фреза кінцева монолітна ВК-6 М3")</f>
        <v>Фреза кінцева монолітна ВК-6 М3</v>
      </c>
      <c r="D3197" s="15" t="s">
        <v>6</v>
      </c>
      <c r="E3197" s="15">
        <v>71</v>
      </c>
      <c r="F3197" s="91" t="s">
        <v>136</v>
      </c>
      <c r="G3197" s="4"/>
      <c r="H3197" s="4"/>
      <c r="I3197" s="4"/>
    </row>
    <row r="3198" spans="1:9" ht="15">
      <c r="A3198" s="21">
        <f t="shared" si="59"/>
        <v>19</v>
      </c>
      <c r="B3198" s="14" t="s">
        <v>4248</v>
      </c>
      <c r="C3198" s="85" t="str">
        <f ca="1">IFERROR(__xludf.DUMMYFUNCTION("GOOGLETRANSLATE(B3198:B3213,""RU"",""UK"")"),"Фреза кінцева монолітна ВК-6 М4")</f>
        <v>Фреза кінцева монолітна ВК-6 М4</v>
      </c>
      <c r="D3198" s="15" t="s">
        <v>6</v>
      </c>
      <c r="E3198" s="15">
        <v>16</v>
      </c>
      <c r="F3198" s="91" t="s">
        <v>319</v>
      </c>
      <c r="G3198" s="4"/>
      <c r="H3198" s="4"/>
      <c r="I3198" s="4"/>
    </row>
    <row r="3199" spans="1:9" ht="15">
      <c r="A3199" s="21">
        <f t="shared" si="59"/>
        <v>20</v>
      </c>
      <c r="B3199" s="14" t="s">
        <v>4249</v>
      </c>
      <c r="C3199" s="85" t="str">
        <f ca="1">IFERROR(__xludf.DUMMYFUNCTION("GOOGLETRANSLATE(B3199:B3214,""RU"",""UK"")"),"Фреза кінцева монолітна ВК-8 М5")</f>
        <v>Фреза кінцева монолітна ВК-8 М5</v>
      </c>
      <c r="D3199" s="15" t="s">
        <v>6</v>
      </c>
      <c r="E3199" s="15">
        <v>67</v>
      </c>
      <c r="F3199" s="91" t="s">
        <v>265</v>
      </c>
      <c r="G3199" s="4"/>
      <c r="H3199" s="4"/>
      <c r="I3199" s="4"/>
    </row>
    <row r="3200" spans="1:9" ht="15">
      <c r="A3200" s="21">
        <f t="shared" si="59"/>
        <v>21</v>
      </c>
      <c r="B3200" s="14" t="s">
        <v>4250</v>
      </c>
      <c r="C3200" s="85" t="str">
        <f ca="1">IFERROR(__xludf.DUMMYFUNCTION("GOOGLETRANSLATE(B3200:B3215,""RU"",""UK"")"),"Фреза кінцева монолітна ВК-8 М6")</f>
        <v>Фреза кінцева монолітна ВК-8 М6</v>
      </c>
      <c r="D3200" s="15" t="s">
        <v>6</v>
      </c>
      <c r="E3200" s="15">
        <v>43</v>
      </c>
      <c r="F3200" s="91" t="s">
        <v>220</v>
      </c>
      <c r="G3200" s="4"/>
      <c r="H3200" s="4"/>
      <c r="I3200" s="4"/>
    </row>
    <row r="3201" spans="1:9" ht="15">
      <c r="A3201" s="21">
        <f t="shared" si="59"/>
        <v>22</v>
      </c>
      <c r="B3201" s="19" t="s">
        <v>4251</v>
      </c>
      <c r="C3201" s="85" t="str">
        <f ca="1">IFERROR(__xludf.DUMMYFUNCTION("GOOGLETRANSLATE(B3201:B3216,""RU"",""UK"")"),"Фреза кінцева монолітна ВК6М М8 (5-ти пров.)")</f>
        <v>Фреза кінцева монолітна ВК6М М8 (5-ти пров.)</v>
      </c>
      <c r="D3201" s="17" t="s">
        <v>6</v>
      </c>
      <c r="E3201" s="17">
        <v>0</v>
      </c>
      <c r="F3201" s="92" t="s">
        <v>140</v>
      </c>
      <c r="G3201" s="4"/>
      <c r="H3201" s="4"/>
      <c r="I3201" s="4"/>
    </row>
    <row r="3202" spans="1:9" ht="15">
      <c r="A3202" s="21">
        <f t="shared" si="59"/>
        <v>23</v>
      </c>
      <c r="B3202" s="16" t="s">
        <v>4252</v>
      </c>
      <c r="C3202" s="85" t="str">
        <f ca="1">IFERROR(__xludf.DUMMYFUNCTION("GOOGLETRANSLATE(B3202:B3217,""RU"",""UK"")"),"Фреза кінцева монолітна ВК-8 М10")</f>
        <v>Фреза кінцева монолітна ВК-8 М10</v>
      </c>
      <c r="D3202" s="15" t="s">
        <v>6</v>
      </c>
      <c r="E3202" s="15">
        <v>9</v>
      </c>
      <c r="F3202" s="91" t="s">
        <v>3236</v>
      </c>
      <c r="G3202" s="4"/>
      <c r="H3202" s="4"/>
      <c r="I3202" s="4"/>
    </row>
    <row r="3203" spans="1:9" ht="15">
      <c r="A3203" s="21">
        <f t="shared" si="59"/>
        <v>24</v>
      </c>
      <c r="B3203" s="14" t="s">
        <v>4253</v>
      </c>
      <c r="C3203" s="85" t="str">
        <f ca="1">IFERROR(__xludf.DUMMYFUNCTION("GOOGLETRANSLATE(B3203:B3218,""RU"",""UK"")"),"Фреза кінцева монолітна ВК-8 М12 КМ2/КМ3")</f>
        <v>Фреза кінцева монолітна ВК-8 М12 КМ2/КМ3</v>
      </c>
      <c r="D3203" s="15" t="s">
        <v>6</v>
      </c>
      <c r="E3203" s="15" t="s">
        <v>707</v>
      </c>
      <c r="F3203" s="91" t="s">
        <v>106</v>
      </c>
      <c r="G3203" s="4"/>
      <c r="H3203" s="4"/>
      <c r="I3203" s="4"/>
    </row>
    <row r="3204" spans="1:9" ht="15">
      <c r="A3204" s="21">
        <f t="shared" si="59"/>
        <v>25</v>
      </c>
      <c r="B3204" s="14" t="s">
        <v>4254</v>
      </c>
      <c r="C3204" s="85" t="str">
        <f ca="1">IFERROR(__xludf.DUMMYFUNCTION("GOOGLETRANSLATE(B3204:B3219,""RU"",""UK"")"),"Фреза кінцева монолітна ВК-8 М14 КМ3")</f>
        <v>Фреза кінцева монолітна ВК-8 М14 КМ3</v>
      </c>
      <c r="D3204" s="15" t="s">
        <v>6</v>
      </c>
      <c r="E3204" s="15">
        <v>33</v>
      </c>
      <c r="F3204" s="91" t="s">
        <v>22</v>
      </c>
      <c r="G3204" s="4"/>
      <c r="H3204" s="4"/>
      <c r="I3204" s="4"/>
    </row>
    <row r="3205" spans="1:9" ht="15">
      <c r="A3205" s="21">
        <f t="shared" si="59"/>
        <v>26</v>
      </c>
      <c r="B3205" s="14" t="s">
        <v>4255</v>
      </c>
      <c r="C3205" s="85" t="str">
        <f ca="1">IFERROR(__xludf.DUMMYFUNCTION("GOOGLETRANSLATE(B3205:B3220,""RU"",""UK"")"),"Фреза кінцева монолітна ВК-8 М16 КМ3")</f>
        <v>Фреза кінцева монолітна ВК-8 М16 КМ3</v>
      </c>
      <c r="D3205" s="15" t="s">
        <v>6</v>
      </c>
      <c r="E3205" s="15">
        <v>78</v>
      </c>
      <c r="F3205" s="91" t="s">
        <v>18</v>
      </c>
      <c r="G3205" s="4"/>
      <c r="H3205" s="4"/>
      <c r="I3205" s="4"/>
    </row>
    <row r="3206" spans="1:9" ht="15">
      <c r="A3206" s="21">
        <f t="shared" si="59"/>
        <v>27</v>
      </c>
      <c r="B3206" s="14" t="s">
        <v>4256</v>
      </c>
      <c r="C3206" s="85" t="str">
        <f ca="1">IFERROR(__xludf.DUMMYFUNCTION("GOOGLETRANSLATE(B3206:B3221,""RU"",""UK"")"),"Фреза кінцева монолітна ВК-8 М18 КМ3")</f>
        <v>Фреза кінцева монолітна ВК-8 М18 КМ3</v>
      </c>
      <c r="D3206" s="15" t="s">
        <v>6</v>
      </c>
      <c r="E3206" s="15">
        <v>27</v>
      </c>
      <c r="F3206" s="91" t="s">
        <v>27</v>
      </c>
      <c r="G3206" s="4"/>
      <c r="H3206" s="4"/>
      <c r="I3206" s="4"/>
    </row>
    <row r="3207" spans="1:9" ht="15">
      <c r="A3207" s="21">
        <f t="shared" si="59"/>
        <v>28</v>
      </c>
      <c r="B3207" s="14" t="s">
        <v>4257</v>
      </c>
      <c r="C3207" s="85" t="str">
        <f ca="1">IFERROR(__xludf.DUMMYFUNCTION("GOOGLETRANSLATE(B3207:B3222,""RU"",""UK"")"),"Фреза кінцева монолітна ВК-8 М20 КМ3")</f>
        <v>Фреза кінцева монолітна ВК-8 М20 КМ3</v>
      </c>
      <c r="D3207" s="15" t="s">
        <v>6</v>
      </c>
      <c r="E3207" s="15">
        <v>1</v>
      </c>
      <c r="F3207" s="91" t="s">
        <v>33</v>
      </c>
      <c r="G3207" s="4"/>
      <c r="H3207" s="4"/>
      <c r="I3207" s="4"/>
    </row>
    <row r="3208" spans="1:9" ht="15">
      <c r="A3208" s="21">
        <f t="shared" si="59"/>
        <v>29</v>
      </c>
      <c r="B3208" s="14" t="s">
        <v>4258</v>
      </c>
      <c r="C3208" s="85" t="str">
        <f ca="1">IFERROR(__xludf.DUMMYFUNCTION("GOOGLETRANSLATE(B3208:B3223,""RU"",""UK"")"),"Фреза кінцева М16 ВК-8 до/хв")</f>
        <v>Фреза кінцева М16 ВК-8 до/хв</v>
      </c>
      <c r="D3208" s="15" t="s">
        <v>6</v>
      </c>
      <c r="E3208" s="15">
        <v>27</v>
      </c>
      <c r="F3208" s="91" t="s">
        <v>20</v>
      </c>
      <c r="G3208" s="4"/>
      <c r="H3208" s="4"/>
      <c r="I3208" s="4"/>
    </row>
    <row r="3209" spans="1:9" ht="15">
      <c r="A3209" s="21">
        <f t="shared" si="59"/>
        <v>30</v>
      </c>
      <c r="B3209" s="14" t="s">
        <v>4259</v>
      </c>
      <c r="C3209" s="85" t="str">
        <f ca="1">IFERROR(__xludf.DUMMYFUNCTION("GOOGLETRANSLATE(B3209:B3224,""RU"",""UK"")"),"Фреза кінцева з хутром. кріп. 3х гр. М16 ВК-8 до/хв")</f>
        <v>Фреза кінцева з хутром. кріп. 3х гр. М16 ВК-8 до/хв</v>
      </c>
      <c r="D3209" s="15" t="s">
        <v>6</v>
      </c>
      <c r="E3209" s="15">
        <v>2</v>
      </c>
      <c r="F3209" s="91" t="s">
        <v>1713</v>
      </c>
      <c r="G3209" s="4"/>
      <c r="H3209" s="4"/>
      <c r="I3209" s="4"/>
    </row>
    <row r="3210" spans="1:9" ht="15">
      <c r="A3210" s="21">
        <f t="shared" si="59"/>
        <v>31</v>
      </c>
      <c r="B3210" s="14" t="s">
        <v>4260</v>
      </c>
      <c r="C3210" s="85" t="str">
        <f ca="1">IFERROR(__xludf.DUMMYFUNCTION("GOOGLETRANSLATE(B3210:B3225,""RU"",""UK"")"),"Фреза кінцева ВК-8 М18 к/хв")</f>
        <v>Фреза кінцева ВК-8 М18 к/хв</v>
      </c>
      <c r="D3210" s="15" t="s">
        <v>6</v>
      </c>
      <c r="E3210" s="15">
        <v>7</v>
      </c>
      <c r="F3210" s="91" t="s">
        <v>24</v>
      </c>
      <c r="G3210" s="4"/>
      <c r="H3210" s="4"/>
      <c r="I3210" s="4"/>
    </row>
    <row r="3211" spans="1:9" ht="15">
      <c r="A3211" s="21">
        <f t="shared" si="59"/>
        <v>32</v>
      </c>
      <c r="B3211" s="14" t="s">
        <v>4261</v>
      </c>
      <c r="C3211" s="85" t="str">
        <f ca="1">IFERROR(__xludf.DUMMYFUNCTION("GOOGLETRANSLATE(B3211:B3226,""RU"",""UK"")"),"Фреза кінцева ВК-8 М20 к/хв/ц/хв")</f>
        <v>Фреза кінцева ВК-8 М20 к/хв/ц/хв</v>
      </c>
      <c r="D3211" s="15" t="s">
        <v>6</v>
      </c>
      <c r="E3211" s="15" t="s">
        <v>4262</v>
      </c>
      <c r="F3211" s="91" t="s">
        <v>106</v>
      </c>
      <c r="G3211" s="4"/>
      <c r="H3211" s="4"/>
      <c r="I3211" s="4"/>
    </row>
    <row r="3212" spans="1:9" ht="15">
      <c r="A3212" s="21">
        <f t="shared" si="59"/>
        <v>33</v>
      </c>
      <c r="B3212" s="14" t="s">
        <v>4263</v>
      </c>
      <c r="C3212" s="85" t="str">
        <f ca="1">IFERROR(__xludf.DUMMYFUNCTION("GOOGLETRANSLATE(B3212:B3227,""RU"",""UK"")"),"Фреза кінцева ВК-8 М25 ц/хв")</f>
        <v>Фреза кінцева ВК-8 М25 ц/хв</v>
      </c>
      <c r="D3212" s="15" t="s">
        <v>6</v>
      </c>
      <c r="E3212" s="15">
        <v>1</v>
      </c>
      <c r="F3212" s="91" t="s">
        <v>4264</v>
      </c>
      <c r="G3212" s="4"/>
      <c r="H3212" s="4"/>
      <c r="I3212" s="4"/>
    </row>
    <row r="3213" spans="1:9" ht="15">
      <c r="A3213" s="21">
        <f t="shared" si="59"/>
        <v>34</v>
      </c>
      <c r="B3213" s="14" t="s">
        <v>4265</v>
      </c>
      <c r="C3213" s="85" t="str">
        <f ca="1">IFERROR(__xludf.DUMMYFUNCTION("GOOGLETRANSLATE(B3213:B3228,""RU"",""UK"")"),"Фреза кінцева ВК-8 М25 к/хв")</f>
        <v>Фреза кінцева ВК-8 М25 к/хв</v>
      </c>
      <c r="D3213" s="15" t="s">
        <v>6</v>
      </c>
      <c r="E3213" s="15">
        <v>51</v>
      </c>
      <c r="F3213" s="91" t="s">
        <v>4208</v>
      </c>
      <c r="G3213" s="4"/>
      <c r="H3213" s="4"/>
      <c r="I3213" s="4"/>
    </row>
    <row r="3214" spans="1:9" ht="15">
      <c r="A3214" s="21">
        <f t="shared" si="59"/>
        <v>35</v>
      </c>
      <c r="B3214" s="14" t="s">
        <v>4266</v>
      </c>
      <c r="C3214" s="85" t="str">
        <f ca="1">IFERROR(__xludf.DUMMYFUNCTION("GOOGLETRANSLATE(B3214:B3229,""RU"",""UK"")"),"Фреза кінцева ВК-8 М31,5 к/хв.")</f>
        <v>Фреза кінцева ВК-8 М31,5 к/хв.</v>
      </c>
      <c r="D3214" s="15" t="s">
        <v>6</v>
      </c>
      <c r="E3214" s="15">
        <v>37</v>
      </c>
      <c r="F3214" s="91" t="s">
        <v>842</v>
      </c>
      <c r="G3214" s="4"/>
      <c r="H3214" s="4"/>
      <c r="I3214" s="4"/>
    </row>
    <row r="3215" spans="1:9" ht="15">
      <c r="A3215" s="21">
        <f t="shared" si="59"/>
        <v>36</v>
      </c>
      <c r="B3215" s="14" t="s">
        <v>4267</v>
      </c>
      <c r="C3215" s="85" t="str">
        <f ca="1">IFERROR(__xludf.DUMMYFUNCTION("GOOGLETRANSLATE(B3215:B3230,""RU"",""UK"")"),"Фреза кінцева ВК-8 М32 до/хв.")</f>
        <v>Фреза кінцева ВК-8 М32 до/хв.</v>
      </c>
      <c r="D3215" s="15" t="s">
        <v>6</v>
      </c>
      <c r="E3215" s="15">
        <v>20</v>
      </c>
      <c r="F3215" s="91" t="s">
        <v>138</v>
      </c>
      <c r="G3215" s="4"/>
      <c r="H3215" s="4"/>
      <c r="I3215" s="4"/>
    </row>
    <row r="3216" spans="1:9" ht="15">
      <c r="A3216" s="21">
        <f t="shared" si="59"/>
        <v>37</v>
      </c>
      <c r="B3216" s="14" t="s">
        <v>4268</v>
      </c>
      <c r="C3216" s="85" t="str">
        <f ca="1">IFERROR(__xludf.DUMMYFUNCTION("GOOGLETRANSLATE(B3216:B3231,""RU"",""UK"")"),"Фреза кінцева ВК-8 М40 к/хв.")</f>
        <v>Фреза кінцева ВК-8 М40 к/хв.</v>
      </c>
      <c r="D3216" s="15" t="s">
        <v>6</v>
      </c>
      <c r="E3216" s="15">
        <v>6</v>
      </c>
      <c r="F3216" s="91" t="s">
        <v>283</v>
      </c>
      <c r="G3216" s="4"/>
      <c r="H3216" s="4"/>
      <c r="I3216" s="4"/>
    </row>
    <row r="3217" spans="1:9" ht="15">
      <c r="A3217" s="21">
        <f t="shared" si="59"/>
        <v>38</v>
      </c>
      <c r="B3217" s="14" t="s">
        <v>4269</v>
      </c>
      <c r="C3217" s="85" t="str">
        <f ca="1">IFERROR(__xludf.DUMMYFUNCTION("GOOGLETRANSLATE(B3217:B3232,""RU"",""UK"")"),"Фреза кінцева ВК-8 М42 к/хв.")</f>
        <v>Фреза кінцева ВК-8 М42 к/хв.</v>
      </c>
      <c r="D3217" s="15" t="s">
        <v>6</v>
      </c>
      <c r="E3217" s="15">
        <v>13</v>
      </c>
      <c r="F3217" s="91" t="s">
        <v>283</v>
      </c>
      <c r="G3217" s="4"/>
      <c r="H3217" s="4"/>
      <c r="I3217" s="4"/>
    </row>
    <row r="3218" spans="1:9" ht="15">
      <c r="A3218" s="21">
        <f t="shared" si="59"/>
        <v>39</v>
      </c>
      <c r="B3218" s="14" t="s">
        <v>4270</v>
      </c>
      <c r="C3218" s="85" t="str">
        <f ca="1">IFERROR(__xludf.DUMMYFUNCTION("GOOGLETRANSLATE(B3218:B3233,""RU"",""UK"")"),"Фреза кінцева ВК-8 М50 к/хв. / КМ5")</f>
        <v>Фреза кінцева ВК-8 М50 к/хв. / КМ5</v>
      </c>
      <c r="D3218" s="15" t="s">
        <v>6</v>
      </c>
      <c r="E3218" s="15" t="s">
        <v>4271</v>
      </c>
      <c r="F3218" s="91" t="s">
        <v>80</v>
      </c>
      <c r="G3218" s="4"/>
      <c r="H3218" s="4"/>
      <c r="I3218" s="4"/>
    </row>
    <row r="3219" spans="1:9" ht="15">
      <c r="A3219" s="21">
        <f t="shared" si="59"/>
        <v>40</v>
      </c>
      <c r="B3219" s="14" t="s">
        <v>4272</v>
      </c>
      <c r="C3219" s="85" t="str">
        <f ca="1">IFERROR(__xludf.DUMMYFUNCTION("GOOGLETRANSLATE(B3219:B3234,""RU"",""UK"")"),"Фреза кінцева ВК-8 М60 к/хв")</f>
        <v>Фреза кінцева ВК-8 М60 к/хв</v>
      </c>
      <c r="D3219" s="15" t="s">
        <v>6</v>
      </c>
      <c r="E3219" s="15">
        <v>9</v>
      </c>
      <c r="F3219" s="91" t="s">
        <v>3424</v>
      </c>
      <c r="G3219" s="4"/>
      <c r="H3219" s="4"/>
      <c r="I3219" s="4"/>
    </row>
    <row r="3220" spans="1:9" ht="15">
      <c r="A3220" s="21">
        <f t="shared" si="59"/>
        <v>41</v>
      </c>
      <c r="B3220" s="14" t="s">
        <v>4273</v>
      </c>
      <c r="C3220" s="85" t="str">
        <f ca="1">IFERROR(__xludf.DUMMYFUNCTION("GOOGLETRANSLATE(B3220:B3235,""RU"",""UK"")"),"Фреза кінцева ВК-8 М70 к/хв")</f>
        <v>Фреза кінцева ВК-8 М70 к/хв</v>
      </c>
      <c r="D3220" s="15" t="s">
        <v>6</v>
      </c>
      <c r="E3220" s="15">
        <v>1</v>
      </c>
      <c r="F3220" s="91" t="s">
        <v>1113</v>
      </c>
      <c r="G3220" s="4"/>
      <c r="H3220" s="4"/>
      <c r="I3220" s="4"/>
    </row>
    <row r="3221" spans="1:9" ht="15">
      <c r="A3221" s="21">
        <f t="shared" si="59"/>
        <v>42</v>
      </c>
      <c r="B3221" s="14" t="s">
        <v>4274</v>
      </c>
      <c r="C3221" s="85" t="str">
        <f ca="1">IFERROR(__xludf.DUMMYFUNCTION("GOOGLETRANSLATE(B3221:B3236,""RU"",""UK"")"),"Фреза кінцева ВК-8 М120 к/хв")</f>
        <v>Фреза кінцева ВК-8 М120 к/хв</v>
      </c>
      <c r="D3221" s="15" t="s">
        <v>6</v>
      </c>
      <c r="E3221" s="15">
        <v>1</v>
      </c>
      <c r="F3221" s="91" t="s">
        <v>157</v>
      </c>
      <c r="G3221" s="4"/>
      <c r="H3221" s="4"/>
      <c r="I3221" s="4"/>
    </row>
    <row r="3222" spans="1:9" ht="15">
      <c r="A3222" s="21">
        <f t="shared" si="59"/>
        <v>43</v>
      </c>
      <c r="B3222" s="14" t="s">
        <v>4275</v>
      </c>
      <c r="C3222" s="85" t="str">
        <f ca="1">IFERROR(__xludf.DUMMYFUNCTION("GOOGLETRANSLATE(B3222:B3237,""RU"",""UK"")"),"Фреза кінцева Т5К10 М16 к/хв.")</f>
        <v>Фреза кінцева Т5К10 М16 к/хв.</v>
      </c>
      <c r="D3222" s="15" t="s">
        <v>6</v>
      </c>
      <c r="E3222" s="15">
        <v>32</v>
      </c>
      <c r="F3222" s="91" t="s">
        <v>3236</v>
      </c>
      <c r="G3222" s="4"/>
      <c r="H3222" s="4"/>
      <c r="I3222" s="4"/>
    </row>
    <row r="3223" spans="1:9" ht="15">
      <c r="A3223" s="21">
        <f t="shared" si="59"/>
        <v>44</v>
      </c>
      <c r="B3223" s="14" t="s">
        <v>4276</v>
      </c>
      <c r="C3223" s="85" t="str">
        <f ca="1">IFERROR(__xludf.DUMMYFUNCTION("GOOGLETRANSLATE(B3223:B3238,""RU"",""UK"")"),"Фреза кінцева Т5К10 М25 к/хв.")</f>
        <v>Фреза кінцева Т5К10 М25 к/хв.</v>
      </c>
      <c r="D3223" s="15" t="s">
        <v>6</v>
      </c>
      <c r="E3223" s="15">
        <v>28</v>
      </c>
      <c r="F3223" s="91" t="s">
        <v>4208</v>
      </c>
      <c r="G3223" s="4"/>
      <c r="H3223" s="4"/>
      <c r="I3223" s="4"/>
    </row>
    <row r="3224" spans="1:9" ht="15">
      <c r="A3224" s="21">
        <f t="shared" si="59"/>
        <v>45</v>
      </c>
      <c r="B3224" s="14" t="s">
        <v>4277</v>
      </c>
      <c r="C3224" s="85" t="str">
        <f ca="1">IFERROR(__xludf.DUMMYFUNCTION("GOOGLETRANSLATE(B3224:B3239,""RU"",""UK"")"),"Фреза кінцева Т5К10 М31,5 к/хв.")</f>
        <v>Фреза кінцева Т5К10 М31,5 к/хв.</v>
      </c>
      <c r="D3224" s="15" t="s">
        <v>6</v>
      </c>
      <c r="E3224" s="15">
        <v>0</v>
      </c>
      <c r="F3224" s="91" t="s">
        <v>138</v>
      </c>
      <c r="G3224" s="4"/>
      <c r="H3224" s="4"/>
      <c r="I3224" s="4"/>
    </row>
    <row r="3225" spans="1:9" ht="15">
      <c r="A3225" s="21">
        <f t="shared" si="59"/>
        <v>46</v>
      </c>
      <c r="B3225" s="14" t="s">
        <v>4278</v>
      </c>
      <c r="C3225" s="85" t="str">
        <f ca="1">IFERROR(__xludf.DUMMYFUNCTION("GOOGLETRANSLATE(B3225:B3240,""RU"",""UK"")"),"Фреза кінцева Т5К10 М40 к/хв.")</f>
        <v>Фреза кінцева Т5К10 М40 к/хв.</v>
      </c>
      <c r="D3225" s="15" t="s">
        <v>6</v>
      </c>
      <c r="E3225" s="15">
        <v>37</v>
      </c>
      <c r="F3225" s="91" t="s">
        <v>283</v>
      </c>
      <c r="G3225" s="4"/>
      <c r="H3225" s="4"/>
      <c r="I3225" s="4"/>
    </row>
    <row r="3226" spans="1:9" ht="15">
      <c r="A3226" s="21">
        <f t="shared" si="59"/>
        <v>47</v>
      </c>
      <c r="B3226" s="16" t="s">
        <v>4279</v>
      </c>
      <c r="C3226" s="85" t="str">
        <f ca="1">IFERROR(__xludf.DUMMYFUNCTION("GOOGLETRANSLATE(B3226:B3241,""RU"",""UK"")"),"Фреза кінцева Т5К10 М50 КМ5")</f>
        <v>Фреза кінцева Т5К10 М50 КМ5</v>
      </c>
      <c r="D3226" s="15" t="s">
        <v>6</v>
      </c>
      <c r="E3226" s="15">
        <v>5</v>
      </c>
      <c r="F3226" s="91" t="s">
        <v>80</v>
      </c>
      <c r="G3226" s="4"/>
      <c r="H3226" s="4"/>
      <c r="I3226" s="4"/>
    </row>
    <row r="3227" spans="1:9" ht="15">
      <c r="A3227" s="21">
        <f t="shared" si="59"/>
        <v>48</v>
      </c>
      <c r="B3227" s="78" t="s">
        <v>4280</v>
      </c>
      <c r="C3227" s="85" t="str">
        <f ca="1">IFERROR(__xludf.DUMMYFUNCTION("GOOGLETRANSLATE(B3227:B3242,""RU"",""UK"")"),"Фреза кінцева з хутром. кріпленням 5-гр М40 Т5К10 к/хв. / Ромб. М40 ВК-8 до/хв.")</f>
        <v>Фреза кінцева з хутром. кріпленням 5-гр М40 Т5К10 к/хв. / Ромб. М40 ВК-8 до/хв.</v>
      </c>
      <c r="D3227" s="15" t="s">
        <v>6</v>
      </c>
      <c r="E3227" s="15" t="s">
        <v>4281</v>
      </c>
      <c r="F3227" s="91" t="s">
        <v>33</v>
      </c>
      <c r="G3227" s="4"/>
      <c r="H3227" s="4"/>
      <c r="I3227" s="4"/>
    </row>
    <row r="3228" spans="1:9" ht="15">
      <c r="A3228" s="21">
        <f t="shared" si="59"/>
        <v>49</v>
      </c>
      <c r="B3228" s="14" t="s">
        <v>4282</v>
      </c>
      <c r="C3228" s="85" t="str">
        <f ca="1">IFERROR(__xludf.DUMMYFUNCTION("GOOGLETRANSLATE(B3228:B3243,""RU"",""UK"")"),"Фреза кінцева з хутром. кріпленням 5-гр М50 Т5К10 к/хв. .")</f>
        <v>Фреза кінцева з хутром. кріпленням 5-гр М50 Т5К10 к/хв. .</v>
      </c>
      <c r="D3228" s="15" t="s">
        <v>6</v>
      </c>
      <c r="E3228" s="15">
        <v>68</v>
      </c>
      <c r="F3228" s="91" t="s">
        <v>283</v>
      </c>
      <c r="G3228" s="4"/>
      <c r="H3228" s="4"/>
      <c r="I3228" s="4"/>
    </row>
    <row r="3229" spans="1:9" ht="15">
      <c r="A3229" s="21">
        <f t="shared" si="59"/>
        <v>50</v>
      </c>
      <c r="B3229" s="14" t="s">
        <v>4283</v>
      </c>
      <c r="C3229" s="85" t="str">
        <f ca="1">IFERROR(__xludf.DUMMYFUNCTION("GOOGLETRANSLATE(B3229:B3244,""RU"",""UK"")"),"Фреза кінцева з хутром. кріпленням 4-гр М50 Т/с до/хв. (+10 пластин)")</f>
        <v>Фреза кінцева з хутром. кріпленням 4-гр М50 Т/с до/хв. (+10 пластин)</v>
      </c>
      <c r="D3229" s="15" t="s">
        <v>6</v>
      </c>
      <c r="E3229" s="15">
        <v>1</v>
      </c>
      <c r="F3229" s="91" t="s">
        <v>138</v>
      </c>
      <c r="G3229" s="4"/>
      <c r="H3229" s="4"/>
      <c r="I3229" s="4"/>
    </row>
    <row r="3230" spans="1:9" ht="15">
      <c r="A3230" s="21">
        <f t="shared" si="59"/>
        <v>51</v>
      </c>
      <c r="B3230" s="14" t="s">
        <v>4284</v>
      </c>
      <c r="C3230" s="85" t="str">
        <f ca="1">IFERROR(__xludf.DUMMYFUNCTION("GOOGLETRANSLATE(B3230:B3245,""RU"",""UK"")"),"Фреза кінцева з хутром. кріпленням 5-гр М63 к/хв/4гр. М63 К40")</f>
        <v>Фреза кінцева з хутром. кріпленням 5-гр М63 к/хв/4гр. М63 К40</v>
      </c>
      <c r="D3230" s="15" t="s">
        <v>6</v>
      </c>
      <c r="E3230" s="15" t="s">
        <v>2023</v>
      </c>
      <c r="F3230" s="91" t="s">
        <v>102</v>
      </c>
      <c r="G3230" s="4"/>
      <c r="H3230" s="4"/>
      <c r="I3230" s="4"/>
    </row>
    <row r="3231" spans="1:9" ht="15">
      <c r="A3231" s="21">
        <f t="shared" si="59"/>
        <v>52</v>
      </c>
      <c r="B3231" s="14" t="s">
        <v>4285</v>
      </c>
      <c r="C3231" s="85" t="str">
        <f ca="1">IFERROR(__xludf.DUMMYFUNCTION("GOOGLETRANSLATE(B3231:B3246,""RU"",""UK"")"),"Фреза кінцева з хутром. кріпленням т/с круглі пласт. М63 КМ4/КМ5")</f>
        <v>Фреза кінцева з хутром. кріпленням т/с круглі пласт. М63 КМ4/КМ5</v>
      </c>
      <c r="D3231" s="15" t="s">
        <v>6</v>
      </c>
      <c r="E3231" s="15" t="s">
        <v>749</v>
      </c>
      <c r="F3231" s="91" t="s">
        <v>111</v>
      </c>
      <c r="G3231" s="4"/>
      <c r="H3231" s="4"/>
      <c r="I3231" s="4"/>
    </row>
    <row r="3232" spans="1:9" ht="15">
      <c r="A3232" s="21">
        <f t="shared" si="59"/>
        <v>53</v>
      </c>
      <c r="B3232" s="16" t="s">
        <v>4286</v>
      </c>
      <c r="C3232" s="85" t="str">
        <f ca="1">IFERROR(__xludf.DUMMYFUNCTION("GOOGLETRANSLATE(B3232:B3247,""RU"",""UK"")"),"Фреза торцева з хутром. кріпленням 5-гр т/с М100")</f>
        <v>Фреза торцева з хутром. кріпленням 5-гр т/с М100</v>
      </c>
      <c r="D3232" s="15" t="s">
        <v>6</v>
      </c>
      <c r="E3232" s="15">
        <v>1</v>
      </c>
      <c r="F3232" s="91" t="s">
        <v>4115</v>
      </c>
      <c r="G3232" s="4"/>
      <c r="H3232" s="4"/>
      <c r="I3232" s="4"/>
    </row>
    <row r="3233" spans="1:9" ht="15">
      <c r="A3233" s="21">
        <f t="shared" si="59"/>
        <v>54</v>
      </c>
      <c r="B3233" s="14" t="s">
        <v>4287</v>
      </c>
      <c r="C3233" s="85" t="str">
        <f ca="1">IFERROR(__xludf.DUMMYFUNCTION("GOOGLETRANSLATE(B3233:B3248,""RU"",""UK"")"),"Фреза торцева з хутром. кріпленням 5-гр т/с М125")</f>
        <v>Фреза торцева з хутром. кріпленням 5-гр т/с М125</v>
      </c>
      <c r="D3233" s="15" t="s">
        <v>6</v>
      </c>
      <c r="E3233" s="15">
        <v>4</v>
      </c>
      <c r="F3233" s="91" t="s">
        <v>3527</v>
      </c>
      <c r="G3233" s="4"/>
      <c r="H3233" s="4"/>
      <c r="I3233" s="4"/>
    </row>
    <row r="3234" spans="1:9" ht="15">
      <c r="A3234" s="21">
        <f t="shared" si="59"/>
        <v>55</v>
      </c>
      <c r="B3234" s="14" t="s">
        <v>4288</v>
      </c>
      <c r="C3234" s="85" t="str">
        <f ca="1">IFERROR(__xludf.DUMMYFUNCTION("GOOGLETRANSLATE(B3234:B3249,""RU"",""UK"")"),"Фреза торцева з хутром. кріпленням 5-гр т/с М160")</f>
        <v>Фреза торцева з хутром. кріпленням 5-гр т/с М160</v>
      </c>
      <c r="D3234" s="15" t="s">
        <v>6</v>
      </c>
      <c r="E3234" s="15">
        <v>6</v>
      </c>
      <c r="F3234" s="91" t="s">
        <v>3538</v>
      </c>
      <c r="G3234" s="4"/>
      <c r="H3234" s="4"/>
      <c r="I3234" s="4"/>
    </row>
    <row r="3235" spans="1:9" ht="15">
      <c r="A3235" s="21">
        <f t="shared" si="59"/>
        <v>56</v>
      </c>
      <c r="B3235" s="19" t="s">
        <v>4289</v>
      </c>
      <c r="C3235" s="85" t="str">
        <f ca="1">IFERROR(__xludf.DUMMYFUNCTION("GOOGLETRANSLATE(B3235:B3250,""RU"",""UK"")"),"Фреза торцева з хутром. кріпленням 5-гр т/с М200")</f>
        <v>Фреза торцева з хутром. кріпленням 5-гр т/с М200</v>
      </c>
      <c r="D3235" s="15" t="s">
        <v>6</v>
      </c>
      <c r="E3235" s="15">
        <v>0</v>
      </c>
      <c r="F3235" s="91" t="s">
        <v>3325</v>
      </c>
      <c r="G3235" s="4"/>
      <c r="H3235" s="4"/>
      <c r="I3235" s="4"/>
    </row>
    <row r="3236" spans="1:9" ht="15">
      <c r="A3236" s="21">
        <f t="shared" si="59"/>
        <v>57</v>
      </c>
      <c r="B3236" s="14" t="s">
        <v>4290</v>
      </c>
      <c r="C3236" s="85" t="str">
        <f ca="1">IFERROR(__xludf.DUMMYFUNCTION("GOOGLETRANSLATE(B3236:B3251,""RU"",""UK"")"),"Фреза торцева з хутром. кріпленням 4-гр т/с М125")</f>
        <v>Фреза торцева з хутром. кріпленням 4-гр т/с М125</v>
      </c>
      <c r="D3236" s="15" t="s">
        <v>6</v>
      </c>
      <c r="E3236" s="26">
        <v>2</v>
      </c>
      <c r="F3236" s="91" t="s">
        <v>1897</v>
      </c>
      <c r="G3236" s="4"/>
      <c r="H3236" s="4"/>
      <c r="I3236" s="4"/>
    </row>
    <row r="3237" spans="1:9" ht="15">
      <c r="A3237" s="21">
        <f t="shared" si="59"/>
        <v>58</v>
      </c>
      <c r="B3237" s="14" t="s">
        <v>4291</v>
      </c>
      <c r="C3237" s="85" t="str">
        <f ca="1">IFERROR(__xludf.DUMMYFUNCTION("GOOGLETRANSLATE(B3237:B3252,""RU"",""UK"")"),"Фреза торцева з хутром. кріпленням 4-гр. М125 КНТ16")</f>
        <v>Фреза торцева з хутром. кріпленням 4-гр. М125 КНТ16</v>
      </c>
      <c r="D3237" s="15" t="s">
        <v>6</v>
      </c>
      <c r="E3237" s="15">
        <v>1</v>
      </c>
      <c r="F3237" s="91" t="s">
        <v>948</v>
      </c>
      <c r="G3237" s="4"/>
      <c r="H3237" s="4"/>
      <c r="I3237" s="4"/>
    </row>
    <row r="3238" spans="1:9" ht="15">
      <c r="A3238" s="21">
        <f t="shared" si="59"/>
        <v>59</v>
      </c>
      <c r="B3238" s="16" t="s">
        <v>4292</v>
      </c>
      <c r="C3238" s="85" t="str">
        <f ca="1">IFERROR(__xludf.DUMMYFUNCTION("GOOGLETRANSLATE(B3238:B3253,""RU"",""UK"")"),"Фреза торцева з хутром. кріпленням 4-гр М160 КНТ16")</f>
        <v>Фреза торцева з хутром. кріпленням 4-гр М160 КНТ16</v>
      </c>
      <c r="D3238" s="15" t="s">
        <v>6</v>
      </c>
      <c r="E3238" s="15">
        <v>3</v>
      </c>
      <c r="F3238" s="91" t="s">
        <v>10</v>
      </c>
      <c r="G3238" s="4"/>
      <c r="H3238" s="4"/>
      <c r="I3238" s="4"/>
    </row>
    <row r="3239" spans="1:9" ht="15">
      <c r="A3239" s="21">
        <f t="shared" si="59"/>
        <v>60</v>
      </c>
      <c r="B3239" s="14" t="s">
        <v>4293</v>
      </c>
      <c r="C3239" s="85" t="str">
        <f ca="1">IFERROR(__xludf.DUMMYFUNCTION("GOOGLETRANSLATE(B3239:B3254,""RU"",""UK"")"),"Фреза торцева з хутром. кріпленням 4-гр М200 КНТ16")</f>
        <v>Фреза торцева з хутром. кріпленням 4-гр М200 КНТ16</v>
      </c>
      <c r="D3239" s="15" t="s">
        <v>6</v>
      </c>
      <c r="E3239" s="15">
        <v>3</v>
      </c>
      <c r="F3239" s="91" t="s">
        <v>73</v>
      </c>
      <c r="G3239" s="4"/>
      <c r="H3239" s="4"/>
      <c r="I3239" s="4"/>
    </row>
    <row r="3240" spans="1:9" ht="15">
      <c r="A3240" s="21">
        <f t="shared" si="59"/>
        <v>61</v>
      </c>
      <c r="B3240" s="14" t="s">
        <v>4294</v>
      </c>
      <c r="C3240" s="85" t="str">
        <f ca="1">IFERROR(__xludf.DUMMYFUNCTION("GOOGLETRANSLATE(B3240:B3255,""RU"",""UK"")"),"Фреза торцева з хутром. кріпленням 4-гр-ромб М125 ТН20")</f>
        <v>Фреза торцева з хутром. кріпленням 4-гр-ромб М125 ТН20</v>
      </c>
      <c r="D3240" s="15" t="s">
        <v>6</v>
      </c>
      <c r="E3240" s="26">
        <v>4</v>
      </c>
      <c r="F3240" s="91" t="s">
        <v>71</v>
      </c>
      <c r="G3240" s="4"/>
      <c r="H3240" s="4"/>
      <c r="I3240" s="4"/>
    </row>
    <row r="3241" spans="1:9" ht="15">
      <c r="A3241" s="21">
        <f t="shared" si="59"/>
        <v>62</v>
      </c>
      <c r="B3241" s="14" t="s">
        <v>4295</v>
      </c>
      <c r="C3241" s="85" t="str">
        <f ca="1">IFERROR(__xludf.DUMMYFUNCTION("GOOGLETRANSLATE(B3241:B3256,""RU"",""UK"")"),"Фреза торцева з хутром. кріпленням 4-гр-ромб М125 ВОК71")</f>
        <v>Фреза торцева з хутром. кріпленням 4-гр-ромб М125 ВОК71</v>
      </c>
      <c r="D3241" s="15" t="s">
        <v>6</v>
      </c>
      <c r="E3241" s="26">
        <v>1</v>
      </c>
      <c r="F3241" s="91" t="s">
        <v>71</v>
      </c>
      <c r="G3241" s="4"/>
      <c r="H3241" s="4"/>
      <c r="I3241" s="4"/>
    </row>
    <row r="3242" spans="1:9" ht="15">
      <c r="A3242" s="21">
        <f t="shared" si="59"/>
        <v>63</v>
      </c>
      <c r="B3242" s="14" t="s">
        <v>4296</v>
      </c>
      <c r="C3242" s="85" t="str">
        <f ca="1">IFERROR(__xludf.DUMMYFUNCTION("GOOGLETRANSLATE(B3242:B3257,""RU"",""UK"")"),"Фреза торцева з хутром. кріпленням 4-гр т/с М160 ВОК71")</f>
        <v>Фреза торцева з хутром. кріпленням 4-гр т/с М160 ВОК71</v>
      </c>
      <c r="D3242" s="15" t="s">
        <v>6</v>
      </c>
      <c r="E3242" s="15">
        <v>3</v>
      </c>
      <c r="F3242" s="91" t="s">
        <v>75</v>
      </c>
      <c r="G3242" s="4"/>
      <c r="H3242" s="4"/>
      <c r="I3242" s="4"/>
    </row>
    <row r="3243" spans="1:9" ht="15">
      <c r="A3243" s="21">
        <f t="shared" si="59"/>
        <v>64</v>
      </c>
      <c r="B3243" s="78" t="s">
        <v>4297</v>
      </c>
      <c r="C3243" s="85" t="str">
        <f ca="1">IFERROR(__xludf.DUMMYFUNCTION("GOOGLETRANSLATE(B3243:B3258,""RU"",""UK"")"),"Фреза торцева із пластинами надтвердих ситетичних матеріалів М125 ВОК71")</f>
        <v>Фреза торцева із пластинами надтвердих ситетичних матеріалів М125 ВОК71</v>
      </c>
      <c r="D3243" s="15" t="s">
        <v>6</v>
      </c>
      <c r="E3243" s="15">
        <v>1</v>
      </c>
      <c r="F3243" s="91" t="s">
        <v>75</v>
      </c>
      <c r="G3243" s="4"/>
      <c r="H3243" s="4"/>
      <c r="I3243" s="4"/>
    </row>
    <row r="3244" spans="1:9" ht="15">
      <c r="A3244" s="21">
        <f t="shared" si="59"/>
        <v>65</v>
      </c>
      <c r="B3244" s="78" t="s">
        <v>4298</v>
      </c>
      <c r="C3244" s="85" t="str">
        <f ca="1">IFERROR(__xludf.DUMMYFUNCTION("GOOGLETRANSLATE(B3244:B3259,""RU"",""UK"")"),"Фреза торцева з хутром. кріпленням 4-гр т/с М160 КІБ")</f>
        <v>Фреза торцева з хутром. кріпленням 4-гр т/с М160 КІБ</v>
      </c>
      <c r="D3244" s="15" t="s">
        <v>6</v>
      </c>
      <c r="E3244" s="15">
        <v>2</v>
      </c>
      <c r="F3244" s="91" t="s">
        <v>75</v>
      </c>
      <c r="G3244" s="4"/>
      <c r="H3244" s="4"/>
      <c r="I3244" s="4"/>
    </row>
    <row r="3245" spans="1:9" ht="15">
      <c r="A3245" s="21">
        <f t="shared" si="59"/>
        <v>66</v>
      </c>
      <c r="B3245" s="14" t="s">
        <v>4299</v>
      </c>
      <c r="C3245" s="85" t="str">
        <f ca="1">IFERROR(__xludf.DUMMYFUNCTION("GOOGLETRANSLATE(B3245:B3260,""RU"",""UK"")"),"Фреза торцева з хутром. кріпленням швидкісна (001) М100 ВК8")</f>
        <v>Фреза торцева з хутром. кріпленням швидкісна (001) М100 ВК8</v>
      </c>
      <c r="D3245" s="15" t="s">
        <v>6</v>
      </c>
      <c r="E3245" s="15">
        <v>2</v>
      </c>
      <c r="F3245" s="91" t="s">
        <v>33</v>
      </c>
      <c r="G3245" s="4"/>
      <c r="H3245" s="4"/>
      <c r="I3245" s="4"/>
    </row>
    <row r="3246" spans="1:9" ht="15">
      <c r="A3246" s="21">
        <f t="shared" ref="A3246:A3278" si="60">A3245+1</f>
        <v>67</v>
      </c>
      <c r="B3246" s="14" t="s">
        <v>4300</v>
      </c>
      <c r="C3246" s="85" t="str">
        <f ca="1">IFERROR(__xludf.DUMMYFUNCTION("GOOGLETRANSLATE(B3246:B3261,""RU"",""UK"")"),"Фреза торцева з хутром. кріпленням швидкісна (003) М125 ВК8")</f>
        <v>Фреза торцева з хутром. кріпленням швидкісна (003) М125 ВК8</v>
      </c>
      <c r="D3246" s="15" t="s">
        <v>6</v>
      </c>
      <c r="E3246" s="15">
        <v>9</v>
      </c>
      <c r="F3246" s="91" t="s">
        <v>4064</v>
      </c>
      <c r="G3246" s="4"/>
      <c r="H3246" s="4"/>
      <c r="I3246" s="4"/>
    </row>
    <row r="3247" spans="1:9" ht="15">
      <c r="A3247" s="21">
        <f t="shared" si="60"/>
        <v>68</v>
      </c>
      <c r="B3247" s="14" t="s">
        <v>4301</v>
      </c>
      <c r="C3247" s="85" t="str">
        <f ca="1">IFERROR(__xludf.DUMMYFUNCTION("GOOGLETRANSLATE(B3247:B3262,""RU"",""UK"")"),"Фреза торцева з хутром. кріпленням швидкісна (003) М160 Т5К10")</f>
        <v>Фреза торцева з хутром. кріпленням швидкісна (003) М160 Т5К10</v>
      </c>
      <c r="D3247" s="15" t="s">
        <v>6</v>
      </c>
      <c r="E3247" s="15">
        <v>15</v>
      </c>
      <c r="F3247" s="91" t="s">
        <v>29</v>
      </c>
      <c r="G3247" s="4"/>
      <c r="H3247" s="4"/>
      <c r="I3247" s="4"/>
    </row>
    <row r="3248" spans="1:9" ht="15">
      <c r="A3248" s="21">
        <f t="shared" si="60"/>
        <v>69</v>
      </c>
      <c r="B3248" s="14" t="s">
        <v>4302</v>
      </c>
      <c r="C3248" s="85" t="str">
        <f ca="1">IFERROR(__xludf.DUMMYFUNCTION("GOOGLETRANSLATE(B3248:B3263,""RU"",""UK"")"),"Фреза торцева з хутром. кріпленням швидкісна (003) М160 ВК8")</f>
        <v>Фреза торцева з хутром. кріпленням швидкісна (003) М160 ВК8</v>
      </c>
      <c r="D3248" s="15" t="s">
        <v>6</v>
      </c>
      <c r="E3248" s="15">
        <v>2</v>
      </c>
      <c r="F3248" s="91" t="s">
        <v>29</v>
      </c>
      <c r="G3248" s="4"/>
      <c r="H3248" s="4"/>
      <c r="I3248" s="4"/>
    </row>
    <row r="3249" spans="1:9" ht="15">
      <c r="A3249" s="21">
        <f t="shared" si="60"/>
        <v>70</v>
      </c>
      <c r="B3249" s="14" t="s">
        <v>4303</v>
      </c>
      <c r="C3249" s="85" t="str">
        <f ca="1">IFERROR(__xludf.DUMMYFUNCTION("GOOGLETRANSLATE(B3249:B3264,""RU"",""UK"")"),"Фреза торцева з хутром. кріпленням рифлена (0013) М90 ВК8")</f>
        <v>Фреза торцева з хутром. кріпленням рифлена (0013) М90 ВК8</v>
      </c>
      <c r="D3249" s="15" t="s">
        <v>6</v>
      </c>
      <c r="E3249" s="15">
        <v>4</v>
      </c>
      <c r="F3249" s="91" t="s">
        <v>27</v>
      </c>
      <c r="G3249" s="4"/>
      <c r="H3249" s="4"/>
      <c r="I3249" s="4"/>
    </row>
    <row r="3250" spans="1:9" ht="15">
      <c r="A3250" s="21">
        <f t="shared" si="60"/>
        <v>71</v>
      </c>
      <c r="B3250" s="14" t="s">
        <v>4304</v>
      </c>
      <c r="C3250" s="85" t="str">
        <f ca="1">IFERROR(__xludf.DUMMYFUNCTION("GOOGLETRANSLATE(B3250:B3265,""RU"",""UK"")"),"Фреза торцева з хутром. кріпленням рифл. (0013) М100 Т5К10")</f>
        <v>Фреза торцева з хутром. кріпленням рифл. (0013) М100 Т5К10</v>
      </c>
      <c r="D3250" s="15" t="s">
        <v>6</v>
      </c>
      <c r="E3250" s="15">
        <v>8</v>
      </c>
      <c r="F3250" s="91" t="s">
        <v>1874</v>
      </c>
      <c r="G3250" s="4"/>
      <c r="H3250" s="4"/>
      <c r="I3250" s="4"/>
    </row>
    <row r="3251" spans="1:9" ht="15">
      <c r="A3251" s="21">
        <f t="shared" si="60"/>
        <v>72</v>
      </c>
      <c r="B3251" s="14" t="s">
        <v>4305</v>
      </c>
      <c r="C3251" s="85" t="str">
        <f ca="1">IFERROR(__xludf.DUMMYFUNCTION("GOOGLETRANSLATE(B3251:B3266,""RU"",""UK"")"),"Фреза торцева з хутром. кріпленням (0013) М100 ВК-8 / Т5К10")</f>
        <v>Фреза торцева з хутром. кріпленням (0013) М100 ВК-8 / Т5К10</v>
      </c>
      <c r="D3251" s="15" t="s">
        <v>6</v>
      </c>
      <c r="E3251" s="15" t="s">
        <v>4306</v>
      </c>
      <c r="F3251" s="91" t="s">
        <v>4307</v>
      </c>
      <c r="G3251" s="4"/>
      <c r="H3251" s="4"/>
      <c r="I3251" s="4"/>
    </row>
    <row r="3252" spans="1:9" ht="15">
      <c r="A3252" s="21">
        <f t="shared" si="60"/>
        <v>73</v>
      </c>
      <c r="B3252" s="14" t="s">
        <v>4308</v>
      </c>
      <c r="C3252" s="85" t="str">
        <f ca="1">IFERROR(__xludf.DUMMYFUNCTION("GOOGLETRANSLATE(B3252:B3267,""RU"",""UK"")"),"Фреза торцева з хутром. кріпленням (0013) М125 ВК-8/Т5К10")</f>
        <v>Фреза торцева з хутром. кріпленням (0013) М125 ВК-8/Т5К10</v>
      </c>
      <c r="D3252" s="15" t="s">
        <v>6</v>
      </c>
      <c r="E3252" s="15" t="s">
        <v>3166</v>
      </c>
      <c r="F3252" s="91" t="s">
        <v>111</v>
      </c>
      <c r="G3252" s="4"/>
      <c r="H3252" s="4"/>
      <c r="I3252" s="4"/>
    </row>
    <row r="3253" spans="1:9" ht="15">
      <c r="A3253" s="21">
        <f t="shared" si="60"/>
        <v>74</v>
      </c>
      <c r="B3253" s="14" t="s">
        <v>4309</v>
      </c>
      <c r="C3253" s="85" t="str">
        <f ca="1">IFERROR(__xludf.DUMMYFUNCTION("GOOGLETRANSLATE(B3253:B3268,""RU"",""UK"")"),"Фреза торцева з хутром. кріпленням (0015) М160 ВК-8")</f>
        <v>Фреза торцева з хутром. кріпленням (0015) М160 ВК-8</v>
      </c>
      <c r="D3253" s="15" t="s">
        <v>6</v>
      </c>
      <c r="E3253" s="15">
        <v>13</v>
      </c>
      <c r="F3253" s="91" t="s">
        <v>29</v>
      </c>
      <c r="G3253" s="4"/>
      <c r="H3253" s="4"/>
      <c r="I3253" s="4"/>
    </row>
    <row r="3254" spans="1:9" ht="15">
      <c r="A3254" s="21">
        <f t="shared" si="60"/>
        <v>75</v>
      </c>
      <c r="B3254" s="14" t="s">
        <v>4310</v>
      </c>
      <c r="C3254" s="85" t="str">
        <f ca="1">IFERROR(__xludf.DUMMYFUNCTION("GOOGLETRANSLATE(B3254:B3269,""RU"",""UK"")"),"Фреза торцева з хутром. кріпленням (0015) М200 ВК-8")</f>
        <v>Фреза торцева з хутром. кріпленням (0015) М200 ВК-8</v>
      </c>
      <c r="D3254" s="15" t="s">
        <v>6</v>
      </c>
      <c r="E3254" s="15">
        <v>12</v>
      </c>
      <c r="F3254" s="91" t="s">
        <v>3424</v>
      </c>
      <c r="G3254" s="4"/>
      <c r="H3254" s="4"/>
      <c r="I3254" s="4"/>
    </row>
    <row r="3255" spans="1:9" ht="15">
      <c r="A3255" s="21">
        <f t="shared" si="60"/>
        <v>76</v>
      </c>
      <c r="B3255" s="14" t="s">
        <v>4311</v>
      </c>
      <c r="C3255" s="85" t="str">
        <f ca="1">IFERROR(__xludf.DUMMYFUNCTION("GOOGLETRANSLATE(B3255:B3270,""RU"",""UK"")"),"Фреза торцева з хутром. кріпленням (0017) М250 ВК-8")</f>
        <v>Фреза торцева з хутром. кріпленням (0017) М250 ВК-8</v>
      </c>
      <c r="D3255" s="15" t="s">
        <v>6</v>
      </c>
      <c r="E3255" s="15">
        <v>1</v>
      </c>
      <c r="F3255" s="91" t="s">
        <v>71</v>
      </c>
      <c r="G3255" s="4"/>
      <c r="H3255" s="4"/>
      <c r="I3255" s="4"/>
    </row>
    <row r="3256" spans="1:9" ht="15">
      <c r="A3256" s="21">
        <f t="shared" si="60"/>
        <v>77</v>
      </c>
      <c r="B3256" s="14" t="s">
        <v>4312</v>
      </c>
      <c r="C3256" s="85" t="str">
        <f ca="1">IFERROR(__xludf.DUMMYFUNCTION("GOOGLETRANSLATE(B3256:B3271,""RU"",""UK"")"),"Фреза торцева з хутром. кріпленням (0155) М100 ВК-8")</f>
        <v>Фреза торцева з хутром. кріпленням (0155) М100 ВК-8</v>
      </c>
      <c r="D3256" s="15" t="s">
        <v>6</v>
      </c>
      <c r="E3256" s="15">
        <v>2</v>
      </c>
      <c r="F3256" s="91" t="s">
        <v>1874</v>
      </c>
      <c r="G3256" s="4"/>
      <c r="H3256" s="4"/>
      <c r="I3256" s="4"/>
    </row>
    <row r="3257" spans="1:9" ht="15">
      <c r="A3257" s="21">
        <f t="shared" si="60"/>
        <v>78</v>
      </c>
      <c r="B3257" s="14" t="s">
        <v>4313</v>
      </c>
      <c r="C3257" s="85" t="str">
        <f ca="1">IFERROR(__xludf.DUMMYFUNCTION("GOOGLETRANSLATE(B3257:B3272,""RU"",""UK"")"),"Фреза торцева з хутром. кріпленням М150 ВК-8")</f>
        <v>Фреза торцева з хутром. кріпленням М150 ВК-8</v>
      </c>
      <c r="D3257" s="15" t="s">
        <v>6</v>
      </c>
      <c r="E3257" s="15">
        <v>1</v>
      </c>
      <c r="F3257" s="91" t="s">
        <v>80</v>
      </c>
      <c r="G3257" s="4"/>
      <c r="H3257" s="4"/>
      <c r="I3257" s="4"/>
    </row>
    <row r="3258" spans="1:9" ht="15">
      <c r="A3258" s="21">
        <f t="shared" si="60"/>
        <v>79</v>
      </c>
      <c r="B3258" s="14" t="s">
        <v>4314</v>
      </c>
      <c r="C3258" s="85" t="str">
        <f ca="1">IFERROR(__xludf.DUMMYFUNCTION("GOOGLETRANSLATE(B3258:B3273,""RU"",""UK"")"),"Фреза торцева з хутром. кріпленням М80 ельбор")</f>
        <v>Фреза торцева з хутром. кріпленням М80 ельбор</v>
      </c>
      <c r="D3258" s="15" t="s">
        <v>6</v>
      </c>
      <c r="E3258" s="15">
        <v>2</v>
      </c>
      <c r="F3258" s="91" t="s">
        <v>80</v>
      </c>
      <c r="G3258" s="4"/>
      <c r="H3258" s="4"/>
      <c r="I3258" s="4"/>
    </row>
    <row r="3259" spans="1:9" ht="15">
      <c r="A3259" s="21">
        <f t="shared" si="60"/>
        <v>80</v>
      </c>
      <c r="B3259" s="14" t="s">
        <v>4315</v>
      </c>
      <c r="C3259" s="85" t="str">
        <f ca="1">IFERROR(__xludf.DUMMYFUNCTION("GOOGLETRANSLATE(B3259:B3274,""RU"",""UK"")"),"Фреза торцева з хутром. кріпленням М100 ельбор")</f>
        <v>Фреза торцева з хутром. кріпленням М100 ельбор</v>
      </c>
      <c r="D3259" s="15" t="s">
        <v>6</v>
      </c>
      <c r="E3259" s="15">
        <v>1</v>
      </c>
      <c r="F3259" s="91" t="s">
        <v>157</v>
      </c>
      <c r="G3259" s="4"/>
      <c r="H3259" s="4"/>
      <c r="I3259" s="4"/>
    </row>
    <row r="3260" spans="1:9" ht="15">
      <c r="A3260" s="21">
        <f t="shared" si="60"/>
        <v>81</v>
      </c>
      <c r="B3260" s="14" t="s">
        <v>4316</v>
      </c>
      <c r="C3260" s="85" t="str">
        <f ca="1">IFERROR(__xludf.DUMMYFUNCTION("GOOGLETRANSLATE(B3260:B3275,""RU"",""UK"")"),"Фреза торцева з хутром. кріпленням М125 ельбор/композит")</f>
        <v>Фреза торцева з хутром. кріпленням М125 ельбор/композит</v>
      </c>
      <c r="D3260" s="15" t="s">
        <v>6</v>
      </c>
      <c r="E3260" s="15" t="s">
        <v>700</v>
      </c>
      <c r="F3260" s="91" t="s">
        <v>2834</v>
      </c>
      <c r="G3260" s="4"/>
      <c r="H3260" s="4"/>
      <c r="I3260" s="4"/>
    </row>
    <row r="3261" spans="1:9" ht="15">
      <c r="A3261" s="21">
        <f t="shared" si="60"/>
        <v>82</v>
      </c>
      <c r="B3261" s="14" t="s">
        <v>4317</v>
      </c>
      <c r="C3261" s="85" t="str">
        <f ca="1">IFERROR(__xludf.DUMMYFUNCTION("GOOGLETRANSLATE(B3261:B3276,""RU"",""UK"")"),"Фреза торцева з хутром. кріпленням М160 ельбор")</f>
        <v>Фреза торцева з хутром. кріпленням М160 ельбор</v>
      </c>
      <c r="D3261" s="15" t="s">
        <v>6</v>
      </c>
      <c r="E3261" s="15">
        <v>2</v>
      </c>
      <c r="F3261" s="91" t="s">
        <v>75</v>
      </c>
      <c r="G3261" s="4"/>
      <c r="H3261" s="4"/>
      <c r="I3261" s="4"/>
    </row>
    <row r="3262" spans="1:9" ht="15">
      <c r="A3262" s="21">
        <f t="shared" si="60"/>
        <v>83</v>
      </c>
      <c r="B3262" s="14" t="s">
        <v>4318</v>
      </c>
      <c r="C3262" s="85" t="str">
        <f ca="1">IFERROR(__xludf.DUMMYFUNCTION("GOOGLETRANSLATE(B3262:B3277,""RU"",""UK"")"),"Фреза торцева з хутром. кріпленням М160 ельбор Б/в")</f>
        <v>Фреза торцева з хутром. кріпленням М160 ельбор Б/в</v>
      </c>
      <c r="D3262" s="15" t="s">
        <v>6</v>
      </c>
      <c r="E3262" s="15">
        <v>1</v>
      </c>
      <c r="F3262" s="91" t="s">
        <v>102</v>
      </c>
      <c r="G3262" s="4"/>
      <c r="H3262" s="4"/>
      <c r="I3262" s="4"/>
    </row>
    <row r="3263" spans="1:9" ht="15">
      <c r="A3263" s="21">
        <f t="shared" si="60"/>
        <v>84</v>
      </c>
      <c r="B3263" s="14" t="s">
        <v>4319</v>
      </c>
      <c r="C3263" s="85" t="str">
        <f ca="1">IFERROR(__xludf.DUMMYFUNCTION("GOOGLETRANSLATE(B3263:B3278,""RU"",""UK"")"),"Фреза торцева з хутром. кріпленням М200 ельбор")</f>
        <v>Фреза торцева з хутром. кріпленням М200 ельбор</v>
      </c>
      <c r="D3263" s="15" t="s">
        <v>6</v>
      </c>
      <c r="E3263" s="15">
        <v>1</v>
      </c>
      <c r="F3263" s="91" t="s">
        <v>38</v>
      </c>
      <c r="G3263" s="4"/>
      <c r="H3263" s="4"/>
      <c r="I3263" s="4"/>
    </row>
    <row r="3264" spans="1:9" ht="15">
      <c r="A3264" s="21">
        <f t="shared" si="60"/>
        <v>85</v>
      </c>
      <c r="B3264" s="14" t="s">
        <v>4320</v>
      </c>
      <c r="C3264" s="85" t="str">
        <f ca="1">IFERROR(__xludf.DUMMYFUNCTION("GOOGLETRANSLATE(B3264:B3279,""RU"",""UK"")"),"Фреза торцева насадна М90 Т5К10")</f>
        <v>Фреза торцева насадна М90 Т5К10</v>
      </c>
      <c r="D3264" s="15" t="s">
        <v>6</v>
      </c>
      <c r="E3264" s="15">
        <v>2</v>
      </c>
      <c r="F3264" s="91" t="s">
        <v>4321</v>
      </c>
      <c r="G3264" s="4"/>
      <c r="H3264" s="4"/>
      <c r="I3264" s="4"/>
    </row>
    <row r="3265" spans="1:9" ht="15">
      <c r="A3265" s="21">
        <f t="shared" si="60"/>
        <v>86</v>
      </c>
      <c r="B3265" s="14" t="s">
        <v>4322</v>
      </c>
      <c r="C3265" s="85" t="str">
        <f ca="1">IFERROR(__xludf.DUMMYFUNCTION("GOOGLETRANSLATE(B3265:B3280,""RU"",""UK"")"),"Фреза 3-х стор. 100х14 ВК-8")</f>
        <v>Фреза 3-х стор. 100х14 ВК-8</v>
      </c>
      <c r="D3265" s="15" t="s">
        <v>6</v>
      </c>
      <c r="E3265" s="15">
        <v>2</v>
      </c>
      <c r="F3265" s="91" t="s">
        <v>4208</v>
      </c>
      <c r="G3265" s="4"/>
      <c r="H3265" s="4"/>
      <c r="I3265" s="4"/>
    </row>
    <row r="3266" spans="1:9" ht="15">
      <c r="A3266" s="21">
        <f t="shared" si="60"/>
        <v>87</v>
      </c>
      <c r="B3266" s="14" t="s">
        <v>4323</v>
      </c>
      <c r="C3266" s="85" t="str">
        <f ca="1">IFERROR(__xludf.DUMMYFUNCTION("GOOGLETRANSLATE(B3266:B3281,""RU"",""UK"")"),"Фреза 3-х стор. 100х18 ВК-8/100х22 ВК-8")</f>
        <v>Фреза 3-х стор. 100х18 ВК-8/100х22 ВК-8</v>
      </c>
      <c r="D3266" s="15" t="s">
        <v>6</v>
      </c>
      <c r="E3266" s="15" t="s">
        <v>899</v>
      </c>
      <c r="F3266" s="91" t="s">
        <v>4321</v>
      </c>
      <c r="G3266" s="4"/>
      <c r="H3266" s="4"/>
      <c r="I3266" s="4"/>
    </row>
    <row r="3267" spans="1:9" ht="15">
      <c r="A3267" s="21">
        <f t="shared" si="60"/>
        <v>88</v>
      </c>
      <c r="B3267" s="14" t="s">
        <v>4324</v>
      </c>
      <c r="C3267" s="85" t="str">
        <f ca="1">IFERROR(__xludf.DUMMYFUNCTION("GOOGLETRANSLATE(B3267:B3282,""RU"",""UK"")"),"Фреза 3-х стор. 125х16 ВК-8/125х15 ВК8")</f>
        <v>Фреза 3-х стор. 125х16 ВК-8/125х15 ВК8</v>
      </c>
      <c r="D3267" s="15" t="s">
        <v>6</v>
      </c>
      <c r="E3267" s="15" t="s">
        <v>1318</v>
      </c>
      <c r="F3267" s="91" t="s">
        <v>663</v>
      </c>
      <c r="G3267" s="4"/>
      <c r="H3267" s="4"/>
      <c r="I3267" s="4"/>
    </row>
    <row r="3268" spans="1:9" ht="15">
      <c r="A3268" s="21">
        <f t="shared" si="60"/>
        <v>89</v>
      </c>
      <c r="B3268" s="14" t="s">
        <v>4325</v>
      </c>
      <c r="C3268" s="85" t="str">
        <f ca="1">IFERROR(__xludf.DUMMYFUNCTION("GOOGLETRANSLATE(B3268:B3283,""RU"",""UK"")"),"Фреза 3-х стор. 130х16 Т5К10")</f>
        <v>Фреза 3-х стор. 130х16 Т5К10</v>
      </c>
      <c r="D3268" s="15" t="s">
        <v>6</v>
      </c>
      <c r="E3268" s="15">
        <v>5</v>
      </c>
      <c r="F3268" s="91" t="s">
        <v>663</v>
      </c>
      <c r="G3268" s="4"/>
      <c r="H3268" s="4"/>
      <c r="I3268" s="4"/>
    </row>
    <row r="3269" spans="1:9" ht="15">
      <c r="A3269" s="21">
        <f t="shared" si="60"/>
        <v>90</v>
      </c>
      <c r="B3269" s="14" t="s">
        <v>4326</v>
      </c>
      <c r="C3269" s="85" t="str">
        <f ca="1">IFERROR(__xludf.DUMMYFUNCTION("GOOGLETRANSLATE(B3269:B3284,""RU"",""UK"")"),"Фреза 3-х стор. 150х24вст.ножі Т/С")</f>
        <v>Фреза 3-х стор. 150х24вст.ножі Т/С</v>
      </c>
      <c r="D3269" s="15" t="s">
        <v>6</v>
      </c>
      <c r="E3269" s="15">
        <v>6</v>
      </c>
      <c r="F3269" s="91" t="s">
        <v>63</v>
      </c>
      <c r="G3269" s="4"/>
      <c r="H3269" s="4"/>
      <c r="I3269" s="4"/>
    </row>
    <row r="3270" spans="1:9" ht="15">
      <c r="A3270" s="21">
        <f t="shared" si="60"/>
        <v>91</v>
      </c>
      <c r="B3270" s="14" t="s">
        <v>4327</v>
      </c>
      <c r="C3270" s="85" t="str">
        <f ca="1">IFERROR(__xludf.DUMMYFUNCTION("GOOGLETRANSLATE(B3270:B3285,""RU"",""UK"")"),"Фреза 3-х стор. 160х14 ВК8/160х18 ВК8")</f>
        <v>Фреза 3-х стор. 160х14 ВК8/160х18 ВК8</v>
      </c>
      <c r="D3270" s="15" t="s">
        <v>6</v>
      </c>
      <c r="E3270" s="15" t="s">
        <v>749</v>
      </c>
      <c r="F3270" s="91" t="s">
        <v>1874</v>
      </c>
      <c r="G3270" s="4"/>
      <c r="H3270" s="4"/>
      <c r="I3270" s="4"/>
    </row>
    <row r="3271" spans="1:9" ht="15">
      <c r="A3271" s="21">
        <f t="shared" si="60"/>
        <v>92</v>
      </c>
      <c r="B3271" s="14" t="s">
        <v>4328</v>
      </c>
      <c r="C3271" s="85" t="str">
        <f ca="1">IFERROR(__xludf.DUMMYFUNCTION("GOOGLETRANSLATE(B3271:B3286,""RU"",""UK"")"),"Фреза 3-х стор. 200х16х50 ВК8")</f>
        <v>Фреза 3-х стор. 200х16х50 ВК8</v>
      </c>
      <c r="D3271" s="15" t="s">
        <v>6</v>
      </c>
      <c r="E3271" s="15">
        <v>5</v>
      </c>
      <c r="F3271" s="91" t="s">
        <v>88</v>
      </c>
      <c r="G3271" s="4"/>
      <c r="H3271" s="4"/>
      <c r="I3271" s="4"/>
    </row>
    <row r="3272" spans="1:9" ht="15">
      <c r="A3272" s="21">
        <f t="shared" si="60"/>
        <v>93</v>
      </c>
      <c r="B3272" s="14" t="s">
        <v>4329</v>
      </c>
      <c r="C3272" s="85" t="str">
        <f ca="1">IFERROR(__xludf.DUMMYFUNCTION("GOOGLETRANSLATE(B3272:B3287,""RU"",""UK"")"),"Фреза прорізна ВК8 D50х0,410-0,413/50х0,411-0,414/50х0,410-0,412")</f>
        <v>Фреза прорізна ВК8 D50х0,410-0,413/50х0,411-0,414/50х0,410-0,412</v>
      </c>
      <c r="D3272" s="15" t="s">
        <v>6</v>
      </c>
      <c r="E3272" s="15" t="s">
        <v>4168</v>
      </c>
      <c r="F3272" s="91" t="s">
        <v>1595</v>
      </c>
      <c r="G3272" s="4"/>
      <c r="H3272" s="4"/>
      <c r="I3272" s="4"/>
    </row>
    <row r="3273" spans="1:9" ht="15">
      <c r="A3273" s="21">
        <f t="shared" si="60"/>
        <v>94</v>
      </c>
      <c r="B3273" s="14" t="s">
        <v>4330</v>
      </c>
      <c r="C3273" s="85" t="str">
        <f ca="1">IFERROR(__xludf.DUMMYFUNCTION("GOOGLETRANSLATE(B3273:B3288,""RU"",""UK"")"),"Фреза прорізна ВК8 D50х0,411-0,413/50х0,409-0,411/50х0,409-0,413")</f>
        <v>Фреза прорізна ВК8 D50х0,411-0,413/50х0,409-0,411/50х0,409-0,413</v>
      </c>
      <c r="D3273" s="15" t="s">
        <v>6</v>
      </c>
      <c r="E3273" s="15" t="s">
        <v>3184</v>
      </c>
      <c r="F3273" s="91" t="s">
        <v>1595</v>
      </c>
      <c r="G3273" s="4"/>
      <c r="H3273" s="4"/>
      <c r="I3273" s="4"/>
    </row>
    <row r="3274" spans="1:9" ht="15">
      <c r="A3274" s="21">
        <f t="shared" si="60"/>
        <v>95</v>
      </c>
      <c r="B3274" s="14" t="s">
        <v>4331</v>
      </c>
      <c r="C3274" s="85" t="str">
        <f ca="1">IFERROR(__xludf.DUMMYFUNCTION("GOOGLETRANSLATE(B3274:B3289,""RU"",""UK"")"),"Фреза прорізна ВК8 D50х0,401-0,407/50х0,406-0,408/50х0,406-0,412")</f>
        <v>Фреза прорізна ВК8 D50х0,401-0,407/50х0,406-0,408/50х0,406-0,412</v>
      </c>
      <c r="D3274" s="15" t="s">
        <v>6</v>
      </c>
      <c r="E3274" s="15" t="s">
        <v>2037</v>
      </c>
      <c r="F3274" s="91" t="s">
        <v>1595</v>
      </c>
      <c r="G3274" s="4"/>
      <c r="H3274" s="4"/>
      <c r="I3274" s="4"/>
    </row>
    <row r="3275" spans="1:9" ht="15">
      <c r="A3275" s="21">
        <f t="shared" si="60"/>
        <v>96</v>
      </c>
      <c r="B3275" s="14" t="s">
        <v>4332</v>
      </c>
      <c r="C3275" s="85" t="str">
        <f ca="1">IFERROR(__xludf.DUMMYFUNCTION("GOOGLETRANSLATE(B3275:B3290,""RU"",""UK"")"),"Фреза прорізна ВК8 D50х0,406-0,415/50х0,407-0,411/50х0,407-0,413")</f>
        <v>Фреза прорізна ВК8 D50х0,406-0,415/50х0,407-0,411/50х0,407-0,413</v>
      </c>
      <c r="D3275" s="15" t="s">
        <v>6</v>
      </c>
      <c r="E3275" s="15" t="s">
        <v>2037</v>
      </c>
      <c r="F3275" s="91" t="s">
        <v>1595</v>
      </c>
      <c r="G3275" s="4"/>
      <c r="H3275" s="4"/>
      <c r="I3275" s="4"/>
    </row>
    <row r="3276" spans="1:9" ht="15">
      <c r="A3276" s="21">
        <f t="shared" si="60"/>
        <v>97</v>
      </c>
      <c r="B3276" s="14" t="s">
        <v>4333</v>
      </c>
      <c r="C3276" s="85" t="str">
        <f ca="1">IFERROR(__xludf.DUMMYFUNCTION("GOOGLETRANSLATE(B3276:B3291,""RU"",""UK"")"),"Фреза прорізна ВК8 D50х0,326-0,328/50х0,325-0,333/50х0,326-0,330")</f>
        <v>Фреза прорізна ВК8 D50х0,326-0,328/50х0,325-0,333/50х0,326-0,330</v>
      </c>
      <c r="D3276" s="15" t="s">
        <v>6</v>
      </c>
      <c r="E3276" s="15" t="s">
        <v>2037</v>
      </c>
      <c r="F3276" s="91" t="s">
        <v>1595</v>
      </c>
      <c r="G3276" s="4"/>
      <c r="H3276" s="4"/>
      <c r="I3276" s="4"/>
    </row>
    <row r="3277" spans="1:9" ht="15">
      <c r="A3277" s="21">
        <f t="shared" si="60"/>
        <v>98</v>
      </c>
      <c r="B3277" s="14" t="s">
        <v>4334</v>
      </c>
      <c r="C3277" s="85" t="str">
        <f ca="1">IFERROR(__xludf.DUMMYFUNCTION("GOOGLETRANSLATE(B3277:B3292,""RU"",""UK"")"),"Фреза прорізна ВК8 D50х0,314-0,320/50х0,317-0,321/50х0,406-0,409")</f>
        <v>Фреза прорізна ВК8 D50х0,314-0,320/50х0,317-0,321/50х0,406-0,409</v>
      </c>
      <c r="D3277" s="15" t="s">
        <v>6</v>
      </c>
      <c r="E3277" s="15" t="s">
        <v>2037</v>
      </c>
      <c r="F3277" s="91" t="s">
        <v>1595</v>
      </c>
      <c r="G3277" s="4"/>
      <c r="H3277" s="4"/>
      <c r="I3277" s="4"/>
    </row>
    <row r="3278" spans="1:9" ht="15">
      <c r="A3278" s="21">
        <f t="shared" si="60"/>
        <v>99</v>
      </c>
      <c r="B3278" s="14" t="s">
        <v>4335</v>
      </c>
      <c r="C3278" s="85" t="str">
        <f ca="1">IFERROR(__xludf.DUMMYFUNCTION("GOOGLETRANSLATE(B3278:B3293,""RU"",""UK"")"),"Фреза дискова 45х25х18 ВК-8")</f>
        <v>Фреза дискова 45х25х18 ВК-8</v>
      </c>
      <c r="D3278" s="15" t="s">
        <v>6</v>
      </c>
      <c r="E3278" s="15">
        <v>4</v>
      </c>
      <c r="F3278" s="91" t="s">
        <v>1595</v>
      </c>
      <c r="G3278" s="4"/>
      <c r="H3278" s="4"/>
      <c r="I3278" s="4"/>
    </row>
    <row r="3279" spans="1:9" ht="15">
      <c r="A3279" s="68"/>
      <c r="B3279" s="69"/>
      <c r="C3279" s="110" t="s">
        <v>6047</v>
      </c>
      <c r="D3279" s="69"/>
      <c r="E3279" s="69"/>
      <c r="F3279" s="106"/>
      <c r="G3279" s="4"/>
      <c r="H3279" s="4"/>
      <c r="I3279" s="4"/>
    </row>
    <row r="3280" spans="1:9" ht="15">
      <c r="A3280" s="13">
        <v>1</v>
      </c>
      <c r="B3280" s="14" t="s">
        <v>4336</v>
      </c>
      <c r="C3280" s="85" t="str">
        <f ca="1">IFERROR(__xludf.DUMMYFUNCTION("GOOGLETRANSLATE(B3280:B3295,""RU"",""UK"")"),"Борфреза циліндрична 2х5х45мм")</f>
        <v>Борфреза циліндрична 2х5х45мм</v>
      </c>
      <c r="D3280" s="15" t="s">
        <v>6</v>
      </c>
      <c r="E3280" s="15">
        <v>2</v>
      </c>
      <c r="F3280" s="91" t="s">
        <v>169</v>
      </c>
      <c r="G3280" s="4"/>
      <c r="H3280" s="4"/>
      <c r="I3280" s="4"/>
    </row>
    <row r="3281" spans="1:9" ht="15">
      <c r="A3281" s="13">
        <f>A3280+1</f>
        <v>2</v>
      </c>
      <c r="B3281" s="14" t="s">
        <v>4337</v>
      </c>
      <c r="C3281" s="85" t="str">
        <f ca="1">IFERROR(__xludf.DUMMYFUNCTION("GOOGLETRANSLATE(B3281:B3296,""RU"",""UK"")"),"Борфрези циліндричні 1.7х5х45мм / 1.7х5х22мм")</f>
        <v>Борфрези циліндричні 1.7х5х45мм / 1.7х5х22мм</v>
      </c>
      <c r="D3281" s="15" t="s">
        <v>6</v>
      </c>
      <c r="E3281" s="15" t="s">
        <v>920</v>
      </c>
      <c r="F3281" s="91" t="s">
        <v>169</v>
      </c>
      <c r="G3281" s="4"/>
      <c r="H3281" s="4"/>
      <c r="I3281" s="4"/>
    </row>
    <row r="3282" spans="1:9" ht="15">
      <c r="A3282" s="21">
        <f t="shared" ref="A3282:A3306" si="61">A3281+1</f>
        <v>3</v>
      </c>
      <c r="B3282" s="14" t="s">
        <v>4338</v>
      </c>
      <c r="C3282" s="85" t="str">
        <f ca="1">IFERROR(__xludf.DUMMYFUNCTION("GOOGLETRANSLATE(B3282:B3297,""RU"",""UK"")"),"Борфреза циліндрична 6х15х55мм")</f>
        <v>Борфреза циліндрична 6х15х55мм</v>
      </c>
      <c r="D3282" s="15" t="s">
        <v>6</v>
      </c>
      <c r="E3282" s="15">
        <v>5</v>
      </c>
      <c r="F3282" s="91" t="s">
        <v>614</v>
      </c>
      <c r="G3282" s="4"/>
      <c r="H3282" s="4"/>
      <c r="I3282" s="4"/>
    </row>
    <row r="3283" spans="1:9" ht="15">
      <c r="A3283" s="21">
        <f t="shared" si="61"/>
        <v>4</v>
      </c>
      <c r="B3283" s="14" t="s">
        <v>4339</v>
      </c>
      <c r="C3283" s="85" t="str">
        <f ca="1">IFERROR(__xludf.DUMMYFUNCTION("GOOGLETRANSLATE(B3283:B3298,""RU"",""UK"")"),"Борфреза циліндрична 8х22х60мм")</f>
        <v>Борфреза циліндрична 8х22х60мм</v>
      </c>
      <c r="D3283" s="15" t="s">
        <v>6</v>
      </c>
      <c r="E3283" s="15">
        <v>4</v>
      </c>
      <c r="F3283" s="91" t="s">
        <v>564</v>
      </c>
      <c r="G3283" s="4"/>
      <c r="H3283" s="4"/>
      <c r="I3283" s="4"/>
    </row>
    <row r="3284" spans="1:9" ht="15">
      <c r="A3284" s="21">
        <f t="shared" si="61"/>
        <v>5</v>
      </c>
      <c r="B3284" s="14" t="s">
        <v>4340</v>
      </c>
      <c r="C3284" s="85" t="str">
        <f ca="1">IFERROR(__xludf.DUMMYFUNCTION("GOOGLETRANSLATE(B3284:B3299,""RU"",""UK"")"),"Борфреза циліндрична радіусна 6х15х50мм")</f>
        <v>Борфреза циліндрична радіусна 6х15х50мм</v>
      </c>
      <c r="D3284" s="15" t="s">
        <v>6</v>
      </c>
      <c r="E3284" s="15">
        <v>3</v>
      </c>
      <c r="F3284" s="91" t="s">
        <v>614</v>
      </c>
      <c r="G3284" s="4"/>
      <c r="H3284" s="4"/>
      <c r="I3284" s="4"/>
    </row>
    <row r="3285" spans="1:9" ht="15">
      <c r="A3285" s="21">
        <f t="shared" si="61"/>
        <v>6</v>
      </c>
      <c r="B3285" s="14" t="s">
        <v>4341</v>
      </c>
      <c r="C3285" s="85" t="str">
        <f ca="1">IFERROR(__xludf.DUMMYFUNCTION("GOOGLETRANSLATE(B3285:B3300,""RU"",""UK"")"),"Борфреза конічна 6х20х55мм")</f>
        <v>Борфреза конічна 6х20х55мм</v>
      </c>
      <c r="D3285" s="15" t="s">
        <v>6</v>
      </c>
      <c r="E3285" s="15">
        <v>6</v>
      </c>
      <c r="F3285" s="91" t="s">
        <v>104</v>
      </c>
      <c r="G3285" s="4"/>
      <c r="H3285" s="4"/>
      <c r="I3285" s="4"/>
    </row>
    <row r="3286" spans="1:9" ht="15">
      <c r="A3286" s="21">
        <f t="shared" si="61"/>
        <v>7</v>
      </c>
      <c r="B3286" s="14" t="s">
        <v>4342</v>
      </c>
      <c r="C3286" s="85" t="str">
        <f ca="1">IFERROR(__xludf.DUMMYFUNCTION("GOOGLETRANSLATE(B3286:B3301,""RU"",""UK"")"),"Борфреза конічна 8х6х10х60мм")</f>
        <v>Борфреза конічна 8х6х10х60мм</v>
      </c>
      <c r="D3286" s="15" t="s">
        <v>6</v>
      </c>
      <c r="E3286" s="15">
        <v>6</v>
      </c>
      <c r="F3286" s="91" t="s">
        <v>564</v>
      </c>
      <c r="G3286" s="4"/>
      <c r="H3286" s="4"/>
      <c r="I3286" s="4"/>
    </row>
    <row r="3287" spans="1:9" ht="15">
      <c r="A3287" s="21">
        <f t="shared" si="61"/>
        <v>8</v>
      </c>
      <c r="B3287" s="14" t="s">
        <v>4343</v>
      </c>
      <c r="C3287" s="85" t="str">
        <f ca="1">IFERROR(__xludf.DUMMYFUNCTION("GOOGLETRANSLATE(B3287:B3302,""RU"",""UK"")"),"Борфреза куляста 8х50мм / 10х60мм")</f>
        <v>Борфреза куляста 8х50мм / 10х60мм</v>
      </c>
      <c r="D3287" s="15" t="s">
        <v>6</v>
      </c>
      <c r="E3287" s="15" t="s">
        <v>4344</v>
      </c>
      <c r="F3287" s="91" t="s">
        <v>136</v>
      </c>
      <c r="G3287" s="4"/>
      <c r="H3287" s="4"/>
      <c r="I3287" s="4"/>
    </row>
    <row r="3288" spans="1:9" ht="15">
      <c r="A3288" s="21">
        <f t="shared" si="61"/>
        <v>9</v>
      </c>
      <c r="B3288" s="14" t="s">
        <v>4345</v>
      </c>
      <c r="C3288" s="85" t="str">
        <f ca="1">IFERROR(__xludf.DUMMYFUNCTION("GOOGLETRANSLATE(B3288:B3303,""RU"",""UK"")"),"Борфреза радіусна 8х20х60мм")</f>
        <v>Борфреза радіусна 8х20х60мм</v>
      </c>
      <c r="D3288" s="15" t="s">
        <v>6</v>
      </c>
      <c r="E3288" s="15">
        <v>11</v>
      </c>
      <c r="F3288" s="91" t="s">
        <v>564</v>
      </c>
      <c r="G3288" s="4"/>
      <c r="H3288" s="4"/>
      <c r="I3288" s="4"/>
    </row>
    <row r="3289" spans="1:9" ht="15">
      <c r="A3289" s="21">
        <f t="shared" si="61"/>
        <v>10</v>
      </c>
      <c r="B3289" s="14" t="s">
        <v>4346</v>
      </c>
      <c r="C3289" s="85" t="str">
        <f ca="1">IFERROR(__xludf.DUMMYFUNCTION("GOOGLETRANSLATE(B3289:B3304,""RU"",""UK"")"),"Борфрези Т-подібна 8х2х60мм")</f>
        <v>Борфрези Т-подібна 8х2х60мм</v>
      </c>
      <c r="D3289" s="15" t="s">
        <v>6</v>
      </c>
      <c r="E3289" s="15">
        <v>15</v>
      </c>
      <c r="F3289" s="91" t="s">
        <v>181</v>
      </c>
      <c r="G3289" s="4"/>
      <c r="H3289" s="4"/>
      <c r="I3289" s="4"/>
    </row>
    <row r="3290" spans="1:9" ht="15">
      <c r="A3290" s="21">
        <f t="shared" si="61"/>
        <v>11</v>
      </c>
      <c r="B3290" s="14" t="s">
        <v>4347</v>
      </c>
      <c r="C3290" s="85" t="str">
        <f ca="1">IFERROR(__xludf.DUMMYFUNCTION("GOOGLETRANSLATE(B3290:B3305,""RU"",""UK"")"),"Борфреза КМ5 Р6М5")</f>
        <v>Борфреза КМ5 Р6М5</v>
      </c>
      <c r="D3290" s="15" t="s">
        <v>6</v>
      </c>
      <c r="E3290" s="15">
        <v>1</v>
      </c>
      <c r="F3290" s="91" t="s">
        <v>327</v>
      </c>
      <c r="G3290" s="4"/>
      <c r="H3290" s="4"/>
      <c r="I3290" s="4"/>
    </row>
    <row r="3291" spans="1:9" ht="15">
      <c r="A3291" s="21">
        <f t="shared" si="61"/>
        <v>12</v>
      </c>
      <c r="B3291" s="14" t="s">
        <v>4348</v>
      </c>
      <c r="C3291" s="85" t="str">
        <f ca="1">IFERROR(__xludf.DUMMYFUNCTION("GOOGLETRANSLATE(B3291:B3306,""RU"",""UK"")"),"Фреза Т-подібна 10 мм (18х8х8)")</f>
        <v>Фреза Т-подібна 10 мм (18х8х8)</v>
      </c>
      <c r="D3291" s="15" t="s">
        <v>6</v>
      </c>
      <c r="E3291" s="15">
        <v>16</v>
      </c>
      <c r="F3291" s="91" t="s">
        <v>319</v>
      </c>
      <c r="G3291" s="4"/>
      <c r="H3291" s="4"/>
      <c r="I3291" s="4"/>
    </row>
    <row r="3292" spans="1:9" ht="15">
      <c r="A3292" s="21">
        <f t="shared" si="61"/>
        <v>13</v>
      </c>
      <c r="B3292" s="14" t="s">
        <v>4349</v>
      </c>
      <c r="C3292" s="85" t="str">
        <f ca="1">IFERROR(__xludf.DUMMYFUNCTION("GOOGLETRANSLATE(B3292:B3307,""RU"",""UK"")"),"Фреза Т-подібна 12 мм (21х10х9)")</f>
        <v>Фреза Т-подібна 12 мм (21х10х9)</v>
      </c>
      <c r="D3292" s="15" t="s">
        <v>6</v>
      </c>
      <c r="E3292" s="15">
        <v>9</v>
      </c>
      <c r="F3292" s="91" t="s">
        <v>1053</v>
      </c>
      <c r="G3292" s="4"/>
      <c r="H3292" s="4"/>
      <c r="I3292" s="4"/>
    </row>
    <row r="3293" spans="1:9" ht="15">
      <c r="A3293" s="21">
        <f t="shared" si="61"/>
        <v>14</v>
      </c>
      <c r="B3293" s="14" t="s">
        <v>4350</v>
      </c>
      <c r="C3293" s="85" t="str">
        <f ca="1">IFERROR(__xludf.DUMMYFUNCTION("GOOGLETRANSLATE(B3293:B3308,""RU"",""UK"")"),"Фреза Т-подібна 14 мм (25х12х11)")</f>
        <v>Фреза Т-подібна 14 мм (25х12х11)</v>
      </c>
      <c r="D3293" s="15" t="s">
        <v>6</v>
      </c>
      <c r="E3293" s="15">
        <v>8</v>
      </c>
      <c r="F3293" s="91" t="s">
        <v>327</v>
      </c>
      <c r="G3293" s="4"/>
      <c r="H3293" s="4"/>
      <c r="I3293" s="4"/>
    </row>
    <row r="3294" spans="1:9" ht="15">
      <c r="A3294" s="21">
        <f t="shared" si="61"/>
        <v>15</v>
      </c>
      <c r="B3294" s="14" t="s">
        <v>4351</v>
      </c>
      <c r="C3294" s="85" t="str">
        <f ca="1">IFERROR(__xludf.DUMMYFUNCTION("GOOGLETRANSLATE(B3294:B3309,""RU"",""UK"")"),"Фреза Т-подібна 16 мм (30х20) КМ4")</f>
        <v>Фреза Т-подібна 16 мм (30х20) КМ4</v>
      </c>
      <c r="D3294" s="15" t="s">
        <v>6</v>
      </c>
      <c r="E3294" s="15">
        <v>1</v>
      </c>
      <c r="F3294" s="91" t="s">
        <v>140</v>
      </c>
      <c r="G3294" s="4"/>
      <c r="H3294" s="4"/>
      <c r="I3294" s="4"/>
    </row>
    <row r="3295" spans="1:9" ht="15">
      <c r="A3295" s="21">
        <f t="shared" si="61"/>
        <v>16</v>
      </c>
      <c r="B3295" s="14" t="s">
        <v>4352</v>
      </c>
      <c r="C3295" s="85" t="str">
        <f ca="1">IFERROR(__xludf.DUMMYFUNCTION("GOOGLETRANSLATE(B3295:B3310,""RU"",""UK"")"),"Фреза Т-подібна 18 мм (32х15х14) КМ2/18мм ВК8 (32х15х14) КМ2")</f>
        <v>Фреза Т-подібна 18 мм (32х15х14) КМ2/18мм ВК8 (32х15х14) КМ2</v>
      </c>
      <c r="D3295" s="15" t="s">
        <v>6</v>
      </c>
      <c r="E3295" s="15" t="s">
        <v>899</v>
      </c>
      <c r="F3295" s="91" t="s">
        <v>140</v>
      </c>
      <c r="G3295" s="4"/>
      <c r="H3295" s="4"/>
      <c r="I3295" s="4"/>
    </row>
    <row r="3296" spans="1:9" ht="15">
      <c r="A3296" s="21">
        <f t="shared" si="61"/>
        <v>17</v>
      </c>
      <c r="B3296" s="14" t="s">
        <v>4353</v>
      </c>
      <c r="C3296" s="85" t="str">
        <f ca="1">IFERROR(__xludf.DUMMYFUNCTION("GOOGLETRANSLATE(B3296:B3311,""RU"",""UK"")"),"Фреза Т-подібна 22 мм (38х19х18) Р18 КМ3")</f>
        <v>Фреза Т-подібна 22 мм (38х19х18) Р18 КМ3</v>
      </c>
      <c r="D3296" s="15" t="s">
        <v>6</v>
      </c>
      <c r="E3296" s="15">
        <v>3</v>
      </c>
      <c r="F3296" s="91" t="s">
        <v>162</v>
      </c>
      <c r="G3296" s="4"/>
      <c r="H3296" s="4"/>
      <c r="I3296" s="4"/>
    </row>
    <row r="3297" spans="1:9" ht="15">
      <c r="A3297" s="21">
        <f t="shared" si="61"/>
        <v>18</v>
      </c>
      <c r="B3297" s="14" t="s">
        <v>4354</v>
      </c>
      <c r="C3297" s="85" t="str">
        <f ca="1">IFERROR(__xludf.DUMMYFUNCTION("GOOGLETRANSLATE(B3297:B3312,""RU"",""UK"")"),"Фреза Т-подібна 22 мм (40х18х18)")</f>
        <v>Фреза Т-подібна 22 мм (40х18х18)</v>
      </c>
      <c r="D3297" s="15" t="s">
        <v>6</v>
      </c>
      <c r="E3297" s="15">
        <v>14</v>
      </c>
      <c r="F3297" s="91" t="s">
        <v>162</v>
      </c>
      <c r="G3297" s="4"/>
      <c r="H3297" s="4"/>
      <c r="I3297" s="4"/>
    </row>
    <row r="3298" spans="1:9" ht="15">
      <c r="A3298" s="21">
        <f t="shared" si="61"/>
        <v>19</v>
      </c>
      <c r="B3298" s="19" t="s">
        <v>4355</v>
      </c>
      <c r="C3298" s="85" t="str">
        <f ca="1">IFERROR(__xludf.DUMMYFUNCTION("GOOGLETRANSLATE(B3298:B3313,""RU"",""UK"")"),"Фреза Т-подібна 28 мм (50х25х22)")</f>
        <v>Фреза Т-подібна 28 мм (50х25х22)</v>
      </c>
      <c r="D3298" s="15" t="s">
        <v>6</v>
      </c>
      <c r="E3298" s="15">
        <v>0</v>
      </c>
      <c r="F3298" s="91" t="s">
        <v>106</v>
      </c>
      <c r="G3298" s="4"/>
      <c r="H3298" s="4"/>
      <c r="I3298" s="4"/>
    </row>
    <row r="3299" spans="1:9" ht="15">
      <c r="A3299" s="21">
        <f t="shared" si="61"/>
        <v>20</v>
      </c>
      <c r="B3299" s="14" t="s">
        <v>4356</v>
      </c>
      <c r="C3299" s="85" t="str">
        <f ca="1">IFERROR(__xludf.DUMMYFUNCTION("GOOGLETRANSLATE(B3299:B3314,""RU"",""UK"")"),"Фреза Т-подібна (30х20х16) КМ3")</f>
        <v>Фреза Т-подібна (30х20х16) КМ3</v>
      </c>
      <c r="D3299" s="15" t="s">
        <v>6</v>
      </c>
      <c r="E3299" s="15">
        <v>1</v>
      </c>
      <c r="F3299" s="91" t="s">
        <v>24</v>
      </c>
      <c r="G3299" s="4"/>
      <c r="H3299" s="4"/>
      <c r="I3299" s="4"/>
    </row>
    <row r="3300" spans="1:9" ht="15">
      <c r="A3300" s="21">
        <f t="shared" si="61"/>
        <v>21</v>
      </c>
      <c r="B3300" s="14" t="s">
        <v>4357</v>
      </c>
      <c r="C3300" s="85" t="str">
        <f ca="1">IFERROR(__xludf.DUMMYFUNCTION("GOOGLETRANSLATE(B3300:B3315,""RU"",""UK"")"),"Фреза шп. Сегм. Пазова 13х1,5/13х3/13х4")</f>
        <v>Фреза шп. Сегм. Пазова 13х1,5/13х3/13х4</v>
      </c>
      <c r="D3300" s="15" t="s">
        <v>6</v>
      </c>
      <c r="E3300" s="15" t="s">
        <v>4358</v>
      </c>
      <c r="F3300" s="91" t="s">
        <v>185</v>
      </c>
      <c r="G3300" s="4"/>
      <c r="H3300" s="4"/>
      <c r="I3300" s="4"/>
    </row>
    <row r="3301" spans="1:9" ht="15">
      <c r="A3301" s="21">
        <f t="shared" si="61"/>
        <v>22</v>
      </c>
      <c r="B3301" s="14" t="s">
        <v>4359</v>
      </c>
      <c r="C3301" s="85" t="str">
        <f ca="1">IFERROR(__xludf.DUMMYFUNCTION("GOOGLETRANSLATE(B3301:B3316,""RU"",""UK"")"),"Фреза шп. Сегм. Пазова 16х3/16х4/16х5")</f>
        <v>Фреза шп. Сегм. Пазова 16х3/16х4/16х5</v>
      </c>
      <c r="D3301" s="15" t="s">
        <v>6</v>
      </c>
      <c r="E3301" s="15" t="s">
        <v>4360</v>
      </c>
      <c r="F3301" s="91" t="s">
        <v>319</v>
      </c>
      <c r="G3301" s="4"/>
      <c r="H3301" s="4"/>
      <c r="I3301" s="4"/>
    </row>
    <row r="3302" spans="1:9" ht="15">
      <c r="A3302" s="21">
        <f t="shared" si="61"/>
        <v>23</v>
      </c>
      <c r="B3302" s="14" t="s">
        <v>4361</v>
      </c>
      <c r="C3302" s="85" t="str">
        <f ca="1">IFERROR(__xludf.DUMMYFUNCTION("GOOGLETRANSLATE(B3302:B3317,""RU"",""UK"")"),"Фреза шп. Сегм. Пазова 19х4/19х5")</f>
        <v>Фреза шп. Сегм. Пазова 19х4/19х5</v>
      </c>
      <c r="D3302" s="15" t="s">
        <v>6</v>
      </c>
      <c r="E3302" s="17" t="s">
        <v>1609</v>
      </c>
      <c r="F3302" s="91" t="s">
        <v>263</v>
      </c>
      <c r="G3302" s="4"/>
      <c r="H3302" s="4"/>
      <c r="I3302" s="4"/>
    </row>
    <row r="3303" spans="1:9" ht="15">
      <c r="A3303" s="21">
        <f t="shared" si="61"/>
        <v>24</v>
      </c>
      <c r="B3303" s="14" t="s">
        <v>4362</v>
      </c>
      <c r="C3303" s="85" t="str">
        <f ca="1">IFERROR(__xludf.DUMMYFUNCTION("GOOGLETRANSLATE(B3303:B3318,""RU"",""UK"")"),"Фреза шп. Сегм. Пазова 22х4/22х5/22х6")</f>
        <v>Фреза шп. Сегм. Пазова 22х4/22х5/22х6</v>
      </c>
      <c r="D3303" s="15" t="s">
        <v>6</v>
      </c>
      <c r="E3303" s="15" t="s">
        <v>4363</v>
      </c>
      <c r="F3303" s="91" t="s">
        <v>525</v>
      </c>
      <c r="G3303" s="4"/>
      <c r="H3303" s="4"/>
      <c r="I3303" s="4"/>
    </row>
    <row r="3304" spans="1:9" ht="15">
      <c r="A3304" s="21">
        <f t="shared" si="61"/>
        <v>25</v>
      </c>
      <c r="B3304" s="14" t="s">
        <v>4364</v>
      </c>
      <c r="C3304" s="85" t="str">
        <f ca="1">IFERROR(__xludf.DUMMYFUNCTION("GOOGLETRANSLATE(B3304:B3319,""RU"",""UK"")"),"Фреза шп. Сегм. Пазова 25х2/25х4/25х5/25х6")</f>
        <v>Фреза шп. Сегм. Пазова 25х2/25х4/25х5/25х6</v>
      </c>
      <c r="D3304" s="15" t="s">
        <v>6</v>
      </c>
      <c r="E3304" s="15" t="s">
        <v>4365</v>
      </c>
      <c r="F3304" s="91" t="s">
        <v>220</v>
      </c>
      <c r="G3304" s="4"/>
      <c r="H3304" s="4"/>
      <c r="I3304" s="4"/>
    </row>
    <row r="3305" spans="1:9" ht="15">
      <c r="A3305" s="21">
        <f t="shared" si="61"/>
        <v>26</v>
      </c>
      <c r="B3305" s="14" t="s">
        <v>4366</v>
      </c>
      <c r="C3305" s="85" t="str">
        <f ca="1">IFERROR(__xludf.DUMMYFUNCTION("GOOGLETRANSLATE(B3305:B3320,""RU"",""UK"")"),"Фреза шп. Сегм. Пазова 28х8/32х10")</f>
        <v>Фреза шп. Сегм. Пазова 28х8/32х10</v>
      </c>
      <c r="D3305" s="15" t="s">
        <v>6</v>
      </c>
      <c r="E3305" s="15" t="s">
        <v>4367</v>
      </c>
      <c r="F3305" s="91" t="s">
        <v>327</v>
      </c>
      <c r="G3305" s="4"/>
      <c r="H3305" s="4"/>
      <c r="I3305" s="4"/>
    </row>
    <row r="3306" spans="1:9" ht="15">
      <c r="A3306" s="21">
        <f t="shared" si="61"/>
        <v>27</v>
      </c>
      <c r="B3306" s="14" t="s">
        <v>4368</v>
      </c>
      <c r="C3306" s="115" t="str">
        <f ca="1">IFERROR(__xludf.DUMMYFUNCTION("GOOGLETRANSLATE(B3306:B3321,""RU"",""UK"")"),"Фреза шп. Сегм. Пазова 32х16Р18к/хв/34х6/34х8")</f>
        <v>Фреза шп. Сегм. Пазова 32х16Р18к/хв/34х6/34х8</v>
      </c>
      <c r="D3306" s="15" t="s">
        <v>6</v>
      </c>
      <c r="E3306" s="15" t="s">
        <v>4184</v>
      </c>
      <c r="F3306" s="91" t="s">
        <v>140</v>
      </c>
      <c r="G3306" s="4"/>
      <c r="H3306" s="4"/>
      <c r="I3306" s="4"/>
    </row>
    <row r="3307" spans="1:9" ht="15">
      <c r="A3307" s="68"/>
      <c r="B3307" s="69"/>
      <c r="C3307" s="119" t="s">
        <v>6048</v>
      </c>
      <c r="D3307" s="69"/>
      <c r="E3307" s="69"/>
      <c r="F3307" s="106"/>
      <c r="G3307" s="4"/>
      <c r="H3307" s="4"/>
      <c r="I3307" s="4"/>
    </row>
    <row r="3308" spans="1:9" ht="15">
      <c r="A3308" s="13">
        <v>1</v>
      </c>
      <c r="B3308" s="14" t="s">
        <v>4369</v>
      </c>
      <c r="C3308" s="47" t="str">
        <f ca="1">IFERROR(__xludf.DUMMYFUNCTION("GOOGLETRANSLATE(B3308:B3323,""RU"",""UK"")"),"Мітчик М - 1/1,2/1.4")</f>
        <v>Мітчик М - 1/1,2/1.4</v>
      </c>
      <c r="D3308" s="15" t="s">
        <v>4370</v>
      </c>
      <c r="E3308" s="15" t="s">
        <v>4371</v>
      </c>
      <c r="F3308" s="91" t="s">
        <v>292</v>
      </c>
      <c r="G3308" s="4"/>
      <c r="H3308" s="4"/>
      <c r="I3308" s="4"/>
    </row>
    <row r="3309" spans="1:9" ht="15">
      <c r="A3309" s="13">
        <f>A3308+1</f>
        <v>2</v>
      </c>
      <c r="B3309" s="14" t="s">
        <v>4372</v>
      </c>
      <c r="C3309" s="85" t="str">
        <f ca="1">IFERROR(__xludf.DUMMYFUNCTION("GOOGLETRANSLATE(B3309:B3324,""RU"",""UK"")"),"Мітчик М - 1.8 / 1.8х0.35")</f>
        <v>Мітчик М - 1.8 / 1.8х0.35</v>
      </c>
      <c r="D3309" s="15" t="s">
        <v>4370</v>
      </c>
      <c r="E3309" s="15" t="s">
        <v>4373</v>
      </c>
      <c r="F3309" s="91" t="s">
        <v>366</v>
      </c>
      <c r="G3309" s="4"/>
      <c r="H3309" s="4"/>
      <c r="I3309" s="4"/>
    </row>
    <row r="3310" spans="1:9" ht="15">
      <c r="A3310" s="21">
        <f t="shared" ref="A3310:A3373" si="62">A3309+1</f>
        <v>3</v>
      </c>
      <c r="B3310" s="14" t="s">
        <v>4374</v>
      </c>
      <c r="C3310" s="85" t="str">
        <f ca="1">IFERROR(__xludf.DUMMYFUNCTION("GOOGLETRANSLATE(B3310:B3325,""RU"",""UK"")"),"Мітчик М - 2")</f>
        <v>Мітчик М - 2</v>
      </c>
      <c r="D3310" s="15" t="s">
        <v>4370</v>
      </c>
      <c r="E3310" s="15">
        <v>245</v>
      </c>
      <c r="F3310" s="91" t="s">
        <v>134</v>
      </c>
      <c r="G3310" s="4"/>
      <c r="H3310" s="4"/>
      <c r="I3310" s="4"/>
    </row>
    <row r="3311" spans="1:9" ht="15">
      <c r="A3311" s="21">
        <f t="shared" si="62"/>
        <v>4</v>
      </c>
      <c r="B3311" s="14" t="s">
        <v>4375</v>
      </c>
      <c r="C3311" s="85" t="str">
        <f ca="1">IFERROR(__xludf.DUMMYFUNCTION("GOOGLETRANSLATE(B3311:B3326,""RU"",""UK"")"),"Мітчик М - 1,0/1,6/2")</f>
        <v>Мітчик М - 1,0/1,6/2</v>
      </c>
      <c r="D3311" s="15" t="s">
        <v>6</v>
      </c>
      <c r="E3311" s="15" t="s">
        <v>4376</v>
      </c>
      <c r="F3311" s="91" t="s">
        <v>4377</v>
      </c>
      <c r="G3311" s="4"/>
      <c r="H3311" s="4"/>
      <c r="I3311" s="4"/>
    </row>
    <row r="3312" spans="1:9" ht="15">
      <c r="A3312" s="21">
        <f t="shared" si="62"/>
        <v>5</v>
      </c>
      <c r="B3312" s="14" t="s">
        <v>4378</v>
      </c>
      <c r="C3312" s="85" t="str">
        <f ca="1">IFERROR(__xludf.DUMMYFUNCTION("GOOGLETRANSLATE(B3312:B3327,""RU"",""UK"")"),"Мітчик М - 2.2х0.45")</f>
        <v>Мітчик М - 2.2х0.45</v>
      </c>
      <c r="D3312" s="15" t="s">
        <v>4370</v>
      </c>
      <c r="E3312" s="15">
        <v>22</v>
      </c>
      <c r="F3312" s="91" t="s">
        <v>134</v>
      </c>
      <c r="G3312" s="4"/>
      <c r="H3312" s="4"/>
      <c r="I3312" s="4"/>
    </row>
    <row r="3313" spans="1:9" ht="15">
      <c r="A3313" s="21">
        <f t="shared" si="62"/>
        <v>6</v>
      </c>
      <c r="B3313" s="14" t="s">
        <v>4379</v>
      </c>
      <c r="C3313" s="85" t="str">
        <f ca="1">IFERROR(__xludf.DUMMYFUNCTION("GOOGLETRANSLATE(B3313:B3328,""RU"",""UK"")"),"Мітчик М - 2.5 / 2.5гаєч")</f>
        <v>Мітчик М - 2.5 / 2.5гаєч</v>
      </c>
      <c r="D3313" s="15" t="s">
        <v>6</v>
      </c>
      <c r="E3313" s="15" t="s">
        <v>4380</v>
      </c>
      <c r="F3313" s="91" t="s">
        <v>417</v>
      </c>
      <c r="G3313" s="4"/>
      <c r="H3313" s="4"/>
      <c r="I3313" s="4"/>
    </row>
    <row r="3314" spans="1:9" ht="15">
      <c r="A3314" s="21">
        <f t="shared" si="62"/>
        <v>7</v>
      </c>
      <c r="B3314" s="14" t="s">
        <v>4381</v>
      </c>
      <c r="C3314" s="85" t="str">
        <f ca="1">IFERROR(__xludf.DUMMYFUNCTION("GOOGLETRANSLATE(B3314:B3329,""RU"",""UK"")"),"Мітчик М - 2.5 / 2.5х0.45")</f>
        <v>Мітчик М - 2.5 / 2.5х0.45</v>
      </c>
      <c r="D3314" s="15" t="s">
        <v>4370</v>
      </c>
      <c r="E3314" s="15" t="s">
        <v>4382</v>
      </c>
      <c r="F3314" s="91" t="s">
        <v>167</v>
      </c>
      <c r="G3314" s="4"/>
      <c r="H3314" s="4"/>
      <c r="I3314" s="4"/>
    </row>
    <row r="3315" spans="1:9" ht="15">
      <c r="A3315" s="21">
        <f t="shared" si="62"/>
        <v>8</v>
      </c>
      <c r="B3315" s="14" t="s">
        <v>4383</v>
      </c>
      <c r="C3315" s="85" t="str">
        <f ca="1">IFERROR(__xludf.DUMMYFUNCTION("GOOGLETRANSLATE(B3315:B3330,""RU"",""UK"")"),"Мітчик М - 2.6х0.45")</f>
        <v>Мітчик М - 2.6х0.45</v>
      </c>
      <c r="D3315" s="15" t="s">
        <v>4370</v>
      </c>
      <c r="E3315" s="15">
        <v>198</v>
      </c>
      <c r="F3315" s="91" t="s">
        <v>167</v>
      </c>
      <c r="G3315" s="4"/>
      <c r="H3315" s="4"/>
      <c r="I3315" s="4"/>
    </row>
    <row r="3316" spans="1:9" ht="15">
      <c r="A3316" s="21">
        <f t="shared" si="62"/>
        <v>9</v>
      </c>
      <c r="B3316" s="14" t="s">
        <v>4384</v>
      </c>
      <c r="C3316" s="85" t="str">
        <f ca="1">IFERROR(__xludf.DUMMYFUNCTION("GOOGLETRANSLATE(B3316:B3331,""RU"",""UK"")"),"Мітчик М - 3/3х0,35")</f>
        <v>Мітчик М - 3/3х0,35</v>
      </c>
      <c r="D3316" s="15" t="s">
        <v>6</v>
      </c>
      <c r="E3316" s="15" t="s">
        <v>4385</v>
      </c>
      <c r="F3316" s="91" t="s">
        <v>292</v>
      </c>
      <c r="G3316" s="4"/>
      <c r="H3316" s="4"/>
      <c r="I3316" s="4"/>
    </row>
    <row r="3317" spans="1:9" ht="15">
      <c r="A3317" s="21">
        <f t="shared" si="62"/>
        <v>10</v>
      </c>
      <c r="B3317" s="14" t="s">
        <v>4386</v>
      </c>
      <c r="C3317" s="85" t="str">
        <f ca="1">IFERROR(__xludf.DUMMYFUNCTION("GOOGLETRANSLATE(B3317:B3332,""RU"",""UK"")"),"Мітчик М - 3 гаєч. / 3нурка")</f>
        <v>Мітчик М - 3 гаєч. / 3нурка</v>
      </c>
      <c r="D3317" s="15" t="s">
        <v>6</v>
      </c>
      <c r="E3317" s="15" t="s">
        <v>4387</v>
      </c>
      <c r="F3317" s="91" t="s">
        <v>366</v>
      </c>
      <c r="G3317" s="4"/>
      <c r="H3317" s="4"/>
      <c r="I3317" s="4"/>
    </row>
    <row r="3318" spans="1:9" ht="15">
      <c r="A3318" s="21">
        <f t="shared" si="62"/>
        <v>11</v>
      </c>
      <c r="B3318" s="14" t="s">
        <v>4384</v>
      </c>
      <c r="C3318" s="85" t="str">
        <f ca="1">IFERROR(__xludf.DUMMYFUNCTION("GOOGLETRANSLATE(B3318:B3333,""RU"",""UK"")"),"Мітчик М - 3/3х0,35")</f>
        <v>Мітчик М - 3/3х0,35</v>
      </c>
      <c r="D3318" s="15" t="s">
        <v>4370</v>
      </c>
      <c r="E3318" s="15" t="s">
        <v>4388</v>
      </c>
      <c r="F3318" s="91" t="s">
        <v>169</v>
      </c>
      <c r="G3318" s="4"/>
      <c r="H3318" s="4"/>
      <c r="I3318" s="4"/>
    </row>
    <row r="3319" spans="1:9" ht="15">
      <c r="A3319" s="21">
        <f t="shared" si="62"/>
        <v>12</v>
      </c>
      <c r="B3319" s="14" t="s">
        <v>4389</v>
      </c>
      <c r="C3319" s="85" t="str">
        <f ca="1">IFERROR(__xludf.DUMMYFUNCTION("GOOGLETRANSLATE(B3319:B3334,""RU"",""UK"")"),"Мітчик М - 3,5/3,5х0,6")</f>
        <v>Мітчик М - 3,5/3,5х0,6</v>
      </c>
      <c r="D3319" s="15" t="s">
        <v>4370</v>
      </c>
      <c r="E3319" s="15" t="s">
        <v>4390</v>
      </c>
      <c r="F3319" s="91" t="s">
        <v>314</v>
      </c>
      <c r="G3319" s="4"/>
      <c r="H3319" s="4"/>
      <c r="I3319" s="4"/>
    </row>
    <row r="3320" spans="1:9" ht="15">
      <c r="A3320" s="21">
        <f t="shared" si="62"/>
        <v>13</v>
      </c>
      <c r="B3320" s="16" t="s">
        <v>4391</v>
      </c>
      <c r="C3320" s="85" t="str">
        <f ca="1">IFERROR(__xludf.DUMMYFUNCTION("GOOGLETRANSLATE(B3320:B3335,""RU"",""UK"")"),"Мітчик М - 4")</f>
        <v>Мітчик М - 4</v>
      </c>
      <c r="D3320" s="17" t="s">
        <v>6</v>
      </c>
      <c r="E3320" s="17">
        <v>11</v>
      </c>
      <c r="F3320" s="92" t="s">
        <v>4392</v>
      </c>
      <c r="G3320" s="4"/>
      <c r="H3320" s="4"/>
      <c r="I3320" s="4"/>
    </row>
    <row r="3321" spans="1:9" ht="15">
      <c r="A3321" s="21">
        <f t="shared" si="62"/>
        <v>14</v>
      </c>
      <c r="B3321" s="14" t="s">
        <v>4393</v>
      </c>
      <c r="C3321" s="85" t="str">
        <f ca="1">IFERROR(__xludf.DUMMYFUNCTION("GOOGLETRANSLATE(B3321:B3336,""RU"",""UK"")"),"Мітчик М - 4гаєч. / 4гаєч. Нурка")</f>
        <v>Мітчик М - 4гаєч. / 4гаєч. Нурка</v>
      </c>
      <c r="D3321" s="15" t="s">
        <v>6</v>
      </c>
      <c r="E3321" s="15" t="s">
        <v>4394</v>
      </c>
      <c r="F3321" s="91" t="s">
        <v>201</v>
      </c>
      <c r="G3321" s="4"/>
      <c r="H3321" s="4"/>
      <c r="I3321" s="4"/>
    </row>
    <row r="3322" spans="1:9" ht="15">
      <c r="A3322" s="21">
        <f t="shared" si="62"/>
        <v>15</v>
      </c>
      <c r="B3322" s="14" t="s">
        <v>4391</v>
      </c>
      <c r="C3322" s="85" t="str">
        <f ca="1">IFERROR(__xludf.DUMMYFUNCTION("GOOGLETRANSLATE(B3322:B3337,""RU"",""UK"")"),"Мітчик М - 4")</f>
        <v>Мітчик М - 4</v>
      </c>
      <c r="D3322" s="15" t="s">
        <v>4370</v>
      </c>
      <c r="E3322" s="15">
        <v>23</v>
      </c>
      <c r="F3322" s="91" t="s">
        <v>183</v>
      </c>
      <c r="G3322" s="4"/>
      <c r="H3322" s="4"/>
      <c r="I3322" s="4"/>
    </row>
    <row r="3323" spans="1:9" ht="15">
      <c r="A3323" s="21">
        <f t="shared" si="62"/>
        <v>16</v>
      </c>
      <c r="B3323" s="14" t="s">
        <v>4395</v>
      </c>
      <c r="C3323" s="85" t="str">
        <f ca="1">IFERROR(__xludf.DUMMYFUNCTION("GOOGLETRANSLATE(B3323:B3338,""RU"",""UK"")"),"Мітчик М - 4,5х0,5")</f>
        <v>Мітчик М - 4,5х0,5</v>
      </c>
      <c r="D3323" s="15" t="s">
        <v>4370</v>
      </c>
      <c r="E3323" s="15">
        <v>4</v>
      </c>
      <c r="F3323" s="91" t="s">
        <v>183</v>
      </c>
      <c r="G3323" s="4"/>
      <c r="H3323" s="4"/>
      <c r="I3323" s="4"/>
    </row>
    <row r="3324" spans="1:9" ht="15">
      <c r="A3324" s="21">
        <f t="shared" si="62"/>
        <v>17</v>
      </c>
      <c r="B3324" s="14" t="s">
        <v>4396</v>
      </c>
      <c r="C3324" s="85" t="str">
        <f ca="1">IFERROR(__xludf.DUMMYFUNCTION("GOOGLETRANSLATE(B3324:B3339,""RU"",""UK"")"),"Мітчик М - 5/5х0,5")</f>
        <v>Мітчик М - 5/5х0,5</v>
      </c>
      <c r="D3324" s="15" t="s">
        <v>6</v>
      </c>
      <c r="E3324" s="15" t="s">
        <v>4397</v>
      </c>
      <c r="F3324" s="91" t="s">
        <v>598</v>
      </c>
      <c r="G3324" s="4"/>
      <c r="H3324" s="4"/>
      <c r="I3324" s="4"/>
    </row>
    <row r="3325" spans="1:9" ht="15">
      <c r="A3325" s="21">
        <f t="shared" si="62"/>
        <v>18</v>
      </c>
      <c r="B3325" s="14" t="s">
        <v>4398</v>
      </c>
      <c r="C3325" s="85" t="str">
        <f ca="1">IFERROR(__xludf.DUMMYFUNCTION("GOOGLETRANSLATE(B3325:B3340,""RU"",""UK"")"),"Мітчик М - 5гаєч. / 5гаєч. Нурка / 5х0, 5гаєч")</f>
        <v>Мітчик М - 5гаєч. / 5гаєч. Нурка / 5х0, 5гаєч</v>
      </c>
      <c r="D3325" s="15" t="s">
        <v>6</v>
      </c>
      <c r="E3325" s="15" t="s">
        <v>4399</v>
      </c>
      <c r="F3325" s="91" t="s">
        <v>598</v>
      </c>
      <c r="G3325" s="4"/>
      <c r="H3325" s="4"/>
      <c r="I3325" s="4"/>
    </row>
    <row r="3326" spans="1:9" ht="15">
      <c r="A3326" s="21">
        <f t="shared" si="62"/>
        <v>19</v>
      </c>
      <c r="B3326" s="19" t="s">
        <v>4400</v>
      </c>
      <c r="C3326" s="85" t="str">
        <f ca="1">IFERROR(__xludf.DUMMYFUNCTION("GOOGLETRANSLATE(B3326:B3341,""RU"",""UK"")"),"Мітчик М - 5 лев.")</f>
        <v>Мітчик М - 5 лев.</v>
      </c>
      <c r="D3326" s="17" t="s">
        <v>6</v>
      </c>
      <c r="E3326" s="17">
        <v>0</v>
      </c>
      <c r="F3326" s="92" t="s">
        <v>598</v>
      </c>
      <c r="G3326" s="4"/>
      <c r="H3326" s="4"/>
      <c r="I3326" s="4"/>
    </row>
    <row r="3327" spans="1:9" ht="15">
      <c r="A3327" s="21">
        <f t="shared" si="62"/>
        <v>20</v>
      </c>
      <c r="B3327" s="14" t="s">
        <v>4396</v>
      </c>
      <c r="C3327" s="85" t="str">
        <f ca="1">IFERROR(__xludf.DUMMYFUNCTION("GOOGLETRANSLATE(B3327:B3342,""RU"",""UK"")"),"Мітчик М - 5/5х0,5")</f>
        <v>Мітчик М - 5/5х0,5</v>
      </c>
      <c r="D3327" s="15" t="s">
        <v>4370</v>
      </c>
      <c r="E3327" s="15" t="s">
        <v>4401</v>
      </c>
      <c r="F3327" s="91" t="s">
        <v>104</v>
      </c>
      <c r="G3327" s="4"/>
      <c r="H3327" s="4"/>
      <c r="I3327" s="4"/>
    </row>
    <row r="3328" spans="1:9" ht="15">
      <c r="A3328" s="21">
        <f t="shared" si="62"/>
        <v>21</v>
      </c>
      <c r="B3328" s="14" t="s">
        <v>4402</v>
      </c>
      <c r="C3328" s="85" t="str">
        <f ca="1">IFERROR(__xludf.DUMMYFUNCTION("GOOGLETRANSLATE(B3328:B3343,""RU"",""UK"")"),"Мітчик М - 6")</f>
        <v>Мітчик М - 6</v>
      </c>
      <c r="D3328" s="15" t="s">
        <v>6</v>
      </c>
      <c r="E3328" s="15">
        <v>106</v>
      </c>
      <c r="F3328" s="91" t="s">
        <v>257</v>
      </c>
      <c r="G3328" s="4"/>
      <c r="H3328" s="4"/>
      <c r="I3328" s="4"/>
    </row>
    <row r="3329" spans="1:9" ht="15">
      <c r="A3329" s="21">
        <f t="shared" si="62"/>
        <v>22</v>
      </c>
      <c r="B3329" s="14" t="s">
        <v>4403</v>
      </c>
      <c r="C3329" s="85" t="str">
        <f ca="1">IFERROR(__xludf.DUMMYFUNCTION("GOOGLETRANSLATE(B3329:B3344,""RU"",""UK"")"),"Мітчик М - 6лев")</f>
        <v>Мітчик М - 6лев</v>
      </c>
      <c r="D3329" s="15" t="s">
        <v>6</v>
      </c>
      <c r="E3329" s="15">
        <v>3</v>
      </c>
      <c r="F3329" s="91" t="s">
        <v>338</v>
      </c>
      <c r="G3329" s="4"/>
      <c r="H3329" s="4"/>
      <c r="I3329" s="4"/>
    </row>
    <row r="3330" spans="1:9" ht="15">
      <c r="A3330" s="21">
        <f t="shared" si="62"/>
        <v>23</v>
      </c>
      <c r="B3330" s="14" t="s">
        <v>4404</v>
      </c>
      <c r="C3330" s="85" t="str">
        <f ca="1">IFERROR(__xludf.DUMMYFUNCTION("GOOGLETRANSLATE(B3330:B3345,""RU"",""UK"")"),"Мітчик М - 6 ВК8 мон")</f>
        <v>Мітчик М - 6 ВК8 мон</v>
      </c>
      <c r="D3330" s="15" t="s">
        <v>6</v>
      </c>
      <c r="E3330" s="15">
        <v>6</v>
      </c>
      <c r="F3330" s="91" t="s">
        <v>136</v>
      </c>
      <c r="G3330" s="4"/>
      <c r="H3330" s="4"/>
      <c r="I3330" s="4"/>
    </row>
    <row r="3331" spans="1:9" ht="15">
      <c r="A3331" s="21">
        <f t="shared" si="62"/>
        <v>24</v>
      </c>
      <c r="B3331" s="14" t="s">
        <v>4405</v>
      </c>
      <c r="C3331" s="85" t="str">
        <f ca="1">IFERROR(__xludf.DUMMYFUNCTION("GOOGLETRANSLATE(B3331:B3346,""RU"",""UK"")"),"Мітчик М - 6гаєч. / 6гаєч. Нурка")</f>
        <v>Мітчик М - 6гаєч. / 6гаєч. Нурка</v>
      </c>
      <c r="D3331" s="15" t="s">
        <v>6</v>
      </c>
      <c r="E3331" s="15" t="s">
        <v>4406</v>
      </c>
      <c r="F3331" s="91" t="s">
        <v>185</v>
      </c>
      <c r="G3331" s="4"/>
      <c r="H3331" s="4"/>
      <c r="I3331" s="4"/>
    </row>
    <row r="3332" spans="1:9" ht="15">
      <c r="A3332" s="21">
        <f t="shared" si="62"/>
        <v>25</v>
      </c>
      <c r="B3332" s="14" t="s">
        <v>4407</v>
      </c>
      <c r="C3332" s="85" t="str">
        <f ca="1">IFERROR(__xludf.DUMMYFUNCTION("GOOGLETRANSLATE(B3332:B3347,""RU"",""UK"")"),"Мітчик М - 6гаєч. Р18")</f>
        <v>Мітчик М - 6гаєч. Р18</v>
      </c>
      <c r="D3332" s="15" t="s">
        <v>6</v>
      </c>
      <c r="E3332" s="15">
        <v>1</v>
      </c>
      <c r="F3332" s="91" t="s">
        <v>371</v>
      </c>
      <c r="G3332" s="4"/>
      <c r="H3332" s="4"/>
      <c r="I3332" s="4"/>
    </row>
    <row r="3333" spans="1:9" ht="15">
      <c r="A3333" s="21">
        <f t="shared" si="62"/>
        <v>26</v>
      </c>
      <c r="B3333" s="14" t="s">
        <v>4408</v>
      </c>
      <c r="C3333" s="85" t="str">
        <f ca="1">IFERROR(__xludf.DUMMYFUNCTION("GOOGLETRANSLATE(B3333:B3348,""RU"",""UK"")"),"Мітчик М - 6х0,75/6х0,5гаєч.")</f>
        <v>Мітчик М - 6х0,75/6х0,5гаєч.</v>
      </c>
      <c r="D3333" s="15" t="s">
        <v>6</v>
      </c>
      <c r="E3333" s="15" t="s">
        <v>4409</v>
      </c>
      <c r="F3333" s="91" t="s">
        <v>257</v>
      </c>
      <c r="G3333" s="4"/>
      <c r="H3333" s="4"/>
      <c r="I3333" s="4"/>
    </row>
    <row r="3334" spans="1:9" ht="15">
      <c r="A3334" s="21">
        <f t="shared" si="62"/>
        <v>27</v>
      </c>
      <c r="B3334" s="16" t="s">
        <v>4402</v>
      </c>
      <c r="C3334" s="85" t="str">
        <f ca="1">IFERROR(__xludf.DUMMYFUNCTION("GOOGLETRANSLATE(B3334:B3349,""RU"",""UK"")"),"Мітчик М - 6")</f>
        <v>Мітчик М - 6</v>
      </c>
      <c r="D3334" s="15" t="s">
        <v>4370</v>
      </c>
      <c r="E3334" s="15">
        <v>21</v>
      </c>
      <c r="F3334" s="91" t="s">
        <v>185</v>
      </c>
      <c r="G3334" s="4"/>
      <c r="H3334" s="4"/>
      <c r="I3334" s="4"/>
    </row>
    <row r="3335" spans="1:9" ht="15">
      <c r="A3335" s="21">
        <f t="shared" si="62"/>
        <v>28</v>
      </c>
      <c r="B3335" s="19" t="s">
        <v>4410</v>
      </c>
      <c r="C3335" s="85" t="str">
        <f ca="1">IFERROR(__xludf.DUMMYFUNCTION("GOOGLETRANSLATE(B3335:B3350,""RU"",""UK"")"),"Мітчик М - 6 лев")</f>
        <v>Мітчик М - 6 лев</v>
      </c>
      <c r="D3335" s="15" t="s">
        <v>4370</v>
      </c>
      <c r="E3335" s="15">
        <v>0</v>
      </c>
      <c r="F3335" s="91" t="s">
        <v>185</v>
      </c>
      <c r="G3335" s="4"/>
      <c r="H3335" s="4"/>
      <c r="I3335" s="4"/>
    </row>
    <row r="3336" spans="1:9" ht="15">
      <c r="A3336" s="21">
        <f t="shared" si="62"/>
        <v>29</v>
      </c>
      <c r="B3336" s="14" t="s">
        <v>4411</v>
      </c>
      <c r="C3336" s="85" t="str">
        <f ca="1">IFERROR(__xludf.DUMMYFUNCTION("GOOGLETRANSLATE(B3336:B3351,""RU"",""UK"")"),"Мітчик М - 6х0,5/6х0.75")</f>
        <v>Мітчик М - 6х0,5/6х0.75</v>
      </c>
      <c r="D3336" s="15" t="s">
        <v>4370</v>
      </c>
      <c r="E3336" s="15" t="s">
        <v>4412</v>
      </c>
      <c r="F3336" s="91" t="s">
        <v>185</v>
      </c>
      <c r="G3336" s="4"/>
      <c r="H3336" s="4"/>
      <c r="I3336" s="4"/>
    </row>
    <row r="3337" spans="1:9" ht="15">
      <c r="A3337" s="21">
        <f t="shared" si="62"/>
        <v>30</v>
      </c>
      <c r="B3337" s="14" t="s">
        <v>4413</v>
      </c>
      <c r="C3337" s="85" t="str">
        <f ca="1">IFERROR(__xludf.DUMMYFUNCTION("GOOGLETRANSLATE(B3337:B3352,""RU"",""UK"")"),"Мітчик М - 7 / М7гаєч")</f>
        <v>Мітчик М - 7 / М7гаєч</v>
      </c>
      <c r="D3337" s="15" t="s">
        <v>6</v>
      </c>
      <c r="E3337" s="15" t="s">
        <v>793</v>
      </c>
      <c r="F3337" s="91" t="s">
        <v>136</v>
      </c>
      <c r="G3337" s="4"/>
      <c r="H3337" s="4"/>
      <c r="I3337" s="4"/>
    </row>
    <row r="3338" spans="1:9" ht="15">
      <c r="A3338" s="21">
        <f t="shared" si="62"/>
        <v>31</v>
      </c>
      <c r="B3338" s="16" t="s">
        <v>4414</v>
      </c>
      <c r="C3338" s="85" t="str">
        <f ca="1">IFERROR(__xludf.DUMMYFUNCTION("GOOGLETRANSLATE(B3338:B3353,""RU"",""UK"")"),"Мітчик М - 7")</f>
        <v>Мітчик М - 7</v>
      </c>
      <c r="D3338" s="17" t="s">
        <v>4370</v>
      </c>
      <c r="E3338" s="17">
        <v>3</v>
      </c>
      <c r="F3338" s="91" t="s">
        <v>136</v>
      </c>
      <c r="G3338" s="4"/>
      <c r="H3338" s="4"/>
      <c r="I3338" s="4"/>
    </row>
    <row r="3339" spans="1:9" ht="15">
      <c r="A3339" s="21">
        <f t="shared" si="62"/>
        <v>32</v>
      </c>
      <c r="B3339" s="14" t="s">
        <v>4415</v>
      </c>
      <c r="C3339" s="85" t="str">
        <f ca="1">IFERROR(__xludf.DUMMYFUNCTION("GOOGLETRANSLATE(B3339:B3354,""RU"",""UK"")"),"Мітчик М - 8/8х1")</f>
        <v>Мітчик М - 8/8х1</v>
      </c>
      <c r="D3339" s="15" t="s">
        <v>6</v>
      </c>
      <c r="E3339" s="15" t="s">
        <v>4416</v>
      </c>
      <c r="F3339" s="91" t="s">
        <v>185</v>
      </c>
      <c r="G3339" s="4"/>
      <c r="H3339" s="4"/>
      <c r="I3339" s="4"/>
    </row>
    <row r="3340" spans="1:9" ht="15">
      <c r="A3340" s="21">
        <f t="shared" si="62"/>
        <v>33</v>
      </c>
      <c r="B3340" s="16" t="s">
        <v>4417</v>
      </c>
      <c r="C3340" s="85" t="str">
        <f ca="1">IFERROR(__xludf.DUMMYFUNCTION("GOOGLETRANSLATE(B3340:B3355,""RU"",""UK"")"),"Мітчик М - 8лев. / 8х1лев.")</f>
        <v>Мітчик М - 8лев. / 8х1лев.</v>
      </c>
      <c r="D3340" s="17" t="s">
        <v>6</v>
      </c>
      <c r="E3340" s="17" t="s">
        <v>1198</v>
      </c>
      <c r="F3340" s="91" t="s">
        <v>136</v>
      </c>
      <c r="G3340" s="4"/>
      <c r="H3340" s="4"/>
      <c r="I3340" s="4"/>
    </row>
    <row r="3341" spans="1:9" ht="15">
      <c r="A3341" s="21">
        <f t="shared" si="62"/>
        <v>34</v>
      </c>
      <c r="B3341" s="16" t="s">
        <v>4418</v>
      </c>
      <c r="C3341" s="85" t="str">
        <f ca="1">IFERROR(__xludf.DUMMYFUNCTION("GOOGLETRANSLATE(B3341:B3356,""RU"",""UK"")"),"Мітчик М - 8лев. Р18")</f>
        <v>Мітчик М - 8лев. Р18</v>
      </c>
      <c r="D3341" s="15" t="s">
        <v>6</v>
      </c>
      <c r="E3341" s="15">
        <v>1</v>
      </c>
      <c r="F3341" s="91" t="s">
        <v>119</v>
      </c>
      <c r="G3341" s="4"/>
      <c r="H3341" s="4"/>
      <c r="I3341" s="4"/>
    </row>
    <row r="3342" spans="1:9" ht="15">
      <c r="A3342" s="21">
        <f t="shared" si="62"/>
        <v>35</v>
      </c>
      <c r="B3342" s="14" t="s">
        <v>4419</v>
      </c>
      <c r="C3342" s="85" t="str">
        <f ca="1">IFERROR(__xludf.DUMMYFUNCTION("GOOGLETRANSLATE(B3342:B3357,""RU"",""UK"")"),"Мітчик М - 8")</f>
        <v>Мітчик М - 8</v>
      </c>
      <c r="D3342" s="15" t="s">
        <v>4370</v>
      </c>
      <c r="E3342" s="15">
        <v>17</v>
      </c>
      <c r="F3342" s="91" t="s">
        <v>136</v>
      </c>
      <c r="G3342" s="4"/>
      <c r="H3342" s="4"/>
      <c r="I3342" s="4"/>
    </row>
    <row r="3343" spans="1:9" ht="15">
      <c r="A3343" s="21">
        <f t="shared" si="62"/>
        <v>36</v>
      </c>
      <c r="B3343" s="16" t="s">
        <v>4420</v>
      </c>
      <c r="C3343" s="85" t="str">
        <f ca="1">IFERROR(__xludf.DUMMYFUNCTION("GOOGLETRANSLATE(B3343:B3358,""RU"",""UK"")"),"Мітчик М - 8х0,5/8х0,75/8х1")</f>
        <v>Мітчик М - 8х0,5/8х0,75/8х1</v>
      </c>
      <c r="D3343" s="15" t="s">
        <v>4370</v>
      </c>
      <c r="E3343" s="15" t="s">
        <v>4421</v>
      </c>
      <c r="F3343" s="91" t="s">
        <v>136</v>
      </c>
      <c r="G3343" s="4"/>
      <c r="H3343" s="4"/>
      <c r="I3343" s="4"/>
    </row>
    <row r="3344" spans="1:9" ht="15">
      <c r="A3344" s="21">
        <f t="shared" si="62"/>
        <v>37</v>
      </c>
      <c r="B3344" s="19" t="s">
        <v>4422</v>
      </c>
      <c r="C3344" s="85" t="str">
        <f ca="1">IFERROR(__xludf.DUMMYFUNCTION("GOOGLETRANSLATE(B3344:B3359,""RU"",""UK"")"),"Мітчик М - 8гаєч. / 8нурка / 8х0, 75гаєч.")</f>
        <v>Мітчик М - 8гаєч. / 8нурка / 8х0, 75гаєч.</v>
      </c>
      <c r="D3344" s="15" t="s">
        <v>6</v>
      </c>
      <c r="E3344" s="15" t="s">
        <v>4423</v>
      </c>
      <c r="F3344" s="91" t="s">
        <v>136</v>
      </c>
      <c r="G3344" s="4"/>
      <c r="H3344" s="4"/>
      <c r="I3344" s="4"/>
    </row>
    <row r="3345" spans="1:9" ht="15">
      <c r="A3345" s="21">
        <f t="shared" si="62"/>
        <v>38</v>
      </c>
      <c r="B3345" s="14" t="s">
        <v>4424</v>
      </c>
      <c r="C3345" s="85" t="str">
        <f ca="1">IFERROR(__xludf.DUMMYFUNCTION("GOOGLETRANSLATE(B3345:B3360,""RU"",""UK"")"),"Мітчик М - 8х1гаеч. / 8х1гаєч. нурка")</f>
        <v>Мітчик М - 8х1гаеч. / 8х1гаєч. нурка</v>
      </c>
      <c r="D3345" s="15" t="s">
        <v>6</v>
      </c>
      <c r="E3345" s="15" t="s">
        <v>4425</v>
      </c>
      <c r="F3345" s="91" t="s">
        <v>136</v>
      </c>
      <c r="G3345" s="4"/>
      <c r="H3345" s="4"/>
      <c r="I3345" s="4"/>
    </row>
    <row r="3346" spans="1:9" ht="15">
      <c r="A3346" s="21">
        <f t="shared" si="62"/>
        <v>39</v>
      </c>
      <c r="B3346" s="14" t="s">
        <v>4426</v>
      </c>
      <c r="C3346" s="85" t="str">
        <f ca="1">IFERROR(__xludf.DUMMYFUNCTION("GOOGLETRANSLATE(B3346:B3361,""RU"",""UK"")"),"Мітчик М - 8х0, 5маш. / 8х0.75маш")</f>
        <v>Мітчик М - 8х0, 5маш. / 8х0.75маш</v>
      </c>
      <c r="D3346" s="15" t="s">
        <v>6</v>
      </c>
      <c r="E3346" s="15" t="s">
        <v>4427</v>
      </c>
      <c r="F3346" s="91" t="s">
        <v>185</v>
      </c>
      <c r="G3346" s="4"/>
      <c r="H3346" s="4"/>
      <c r="I3346" s="4"/>
    </row>
    <row r="3347" spans="1:9" ht="15">
      <c r="A3347" s="21">
        <f t="shared" si="62"/>
        <v>40</v>
      </c>
      <c r="B3347" s="14" t="s">
        <v>4428</v>
      </c>
      <c r="C3347" s="85" t="str">
        <f ca="1">IFERROR(__xludf.DUMMYFUNCTION("GOOGLETRANSLATE(B3347:B3362,""RU"",""UK"")"),"Мітчик М - 9х0, 5маш. гаєчн.")</f>
        <v>Мітчик М - 9х0, 5маш. гаєчн.</v>
      </c>
      <c r="D3347" s="15" t="s">
        <v>6</v>
      </c>
      <c r="E3347" s="15">
        <v>10</v>
      </c>
      <c r="F3347" s="91" t="s">
        <v>194</v>
      </c>
      <c r="G3347" s="4"/>
      <c r="H3347" s="4"/>
      <c r="I3347" s="4"/>
    </row>
    <row r="3348" spans="1:9" ht="15">
      <c r="A3348" s="21">
        <f t="shared" si="62"/>
        <v>41</v>
      </c>
      <c r="B3348" s="19" t="s">
        <v>4429</v>
      </c>
      <c r="C3348" s="85" t="str">
        <f ca="1">IFERROR(__xludf.DUMMYFUNCTION("GOOGLETRANSLATE(B3348:B3363,""RU"",""UK"")"),"Мітчик М - 9х1, 25маш.")</f>
        <v>Мітчик М - 9х1, 25маш.</v>
      </c>
      <c r="D3348" s="15" t="s">
        <v>6</v>
      </c>
      <c r="E3348" s="15">
        <v>0</v>
      </c>
      <c r="F3348" s="91" t="s">
        <v>194</v>
      </c>
      <c r="G3348" s="4"/>
      <c r="H3348" s="4"/>
      <c r="I3348" s="4"/>
    </row>
    <row r="3349" spans="1:9" ht="15">
      <c r="A3349" s="21">
        <f t="shared" si="62"/>
        <v>42</v>
      </c>
      <c r="B3349" s="19" t="s">
        <v>4430</v>
      </c>
      <c r="C3349" s="85" t="str">
        <f ca="1">IFERROR(__xludf.DUMMYFUNCTION("GOOGLETRANSLATE(B3349:B3364,""RU"",""UK"")"),"Мітчик М - 9маш/руч. / М - 9х1маш/руч")</f>
        <v>Мітчик М - 9маш/руч. / М - 9х1маш/руч</v>
      </c>
      <c r="D3349" s="15" t="s">
        <v>4370</v>
      </c>
      <c r="E3349" s="26" t="s">
        <v>3157</v>
      </c>
      <c r="F3349" s="91" t="s">
        <v>515</v>
      </c>
      <c r="G3349" s="4"/>
      <c r="H3349" s="4"/>
      <c r="I3349" s="4"/>
    </row>
    <row r="3350" spans="1:9" ht="15">
      <c r="A3350" s="21">
        <f t="shared" si="62"/>
        <v>43</v>
      </c>
      <c r="B3350" s="16" t="s">
        <v>4431</v>
      </c>
      <c r="C3350" s="85" t="str">
        <f ca="1">IFERROR(__xludf.DUMMYFUNCTION("GOOGLETRANSLATE(B3350:B3365,""RU"",""UK"")"),"Мітчик М - 10 маш.")</f>
        <v>Мітчик М - 10 маш.</v>
      </c>
      <c r="D3350" s="15" t="s">
        <v>6</v>
      </c>
      <c r="E3350" s="15">
        <v>39</v>
      </c>
      <c r="F3350" s="91" t="s">
        <v>348</v>
      </c>
      <c r="G3350" s="4"/>
      <c r="H3350" s="4"/>
      <c r="I3350" s="4"/>
    </row>
    <row r="3351" spans="1:9" ht="15">
      <c r="A3351" s="21">
        <f t="shared" si="62"/>
        <v>44</v>
      </c>
      <c r="B3351" s="16" t="s">
        <v>4432</v>
      </c>
      <c r="C3351" s="85" t="str">
        <f ca="1">IFERROR(__xludf.DUMMYFUNCTION("GOOGLETRANSLATE(B3351:B3366,""RU"",""UK"")"),"Мітчик М - 10 лев / 10х1лев")</f>
        <v>Мітчик М - 10 лев / 10х1лев</v>
      </c>
      <c r="D3351" s="15" t="s">
        <v>6</v>
      </c>
      <c r="E3351" s="15" t="s">
        <v>4433</v>
      </c>
      <c r="F3351" s="91" t="s">
        <v>317</v>
      </c>
      <c r="G3351" s="4"/>
      <c r="H3351" s="4"/>
      <c r="I3351" s="4"/>
    </row>
    <row r="3352" spans="1:9" ht="15">
      <c r="A3352" s="21">
        <f t="shared" si="62"/>
        <v>45</v>
      </c>
      <c r="B3352" s="16" t="s">
        <v>4434</v>
      </c>
      <c r="C3352" s="85" t="str">
        <f ca="1">IFERROR(__xludf.DUMMYFUNCTION("GOOGLETRANSLATE(B3352:B3367,""RU"",""UK"")"),"Мітчик М - 10 маш./руч.")</f>
        <v>Мітчик М - 10 маш./руч.</v>
      </c>
      <c r="D3352" s="15" t="s">
        <v>4370</v>
      </c>
      <c r="E3352" s="15">
        <v>22</v>
      </c>
      <c r="F3352" s="91" t="s">
        <v>218</v>
      </c>
      <c r="G3352" s="4"/>
      <c r="H3352" s="4"/>
      <c r="I3352" s="4"/>
    </row>
    <row r="3353" spans="1:9" ht="15">
      <c r="A3353" s="21">
        <f t="shared" si="62"/>
        <v>46</v>
      </c>
      <c r="B3353" s="16" t="s">
        <v>4435</v>
      </c>
      <c r="C3353" s="85" t="str">
        <f ca="1">IFERROR(__xludf.DUMMYFUNCTION("GOOGLETRANSLATE(B3353:B3368,""RU"",""UK"")"),"Мітчик М - 10х1 маш/руч.")</f>
        <v>Мітчик М - 10х1 маш/руч.</v>
      </c>
      <c r="D3353" s="15" t="s">
        <v>4370</v>
      </c>
      <c r="E3353" s="15">
        <v>11</v>
      </c>
      <c r="F3353" s="91" t="s">
        <v>218</v>
      </c>
      <c r="G3353" s="4"/>
      <c r="H3353" s="4"/>
      <c r="I3353" s="4"/>
    </row>
    <row r="3354" spans="1:9" ht="15">
      <c r="A3354" s="21">
        <f t="shared" si="62"/>
        <v>47</v>
      </c>
      <c r="B3354" s="14" t="s">
        <v>4436</v>
      </c>
      <c r="C3354" s="85" t="str">
        <f ca="1">IFERROR(__xludf.DUMMYFUNCTION("GOOGLETRANSLATE(B3354:B3369,""RU"",""UK"")"),"Мітчик М - 10х1,25 маш/руч.")</f>
        <v>Мітчик М - 10х1,25 маш/руч.</v>
      </c>
      <c r="D3354" s="15" t="s">
        <v>4370</v>
      </c>
      <c r="E3354" s="15">
        <v>4</v>
      </c>
      <c r="F3354" s="91" t="s">
        <v>218</v>
      </c>
      <c r="G3354" s="4"/>
      <c r="H3354" s="4"/>
      <c r="I3354" s="4"/>
    </row>
    <row r="3355" spans="1:9" ht="15">
      <c r="A3355" s="21">
        <f t="shared" si="62"/>
        <v>48</v>
      </c>
      <c r="B3355" s="14" t="s">
        <v>4437</v>
      </c>
      <c r="C3355" s="85" t="str">
        <f ca="1">IFERROR(__xludf.DUMMYFUNCTION("GOOGLETRANSLATE(B3355:B3370,""RU"",""UK"")"),"Мітчик М - 10 гаєч. / 10гаєч.нурка / 10х0.75гаєч")</f>
        <v>Мітчик М - 10 гаєч. / 10гаєч.нурка / 10х0.75гаєч</v>
      </c>
      <c r="D3355" s="15" t="s">
        <v>6</v>
      </c>
      <c r="E3355" s="15" t="s">
        <v>4438</v>
      </c>
      <c r="F3355" s="91" t="s">
        <v>319</v>
      </c>
      <c r="G3355" s="4"/>
      <c r="H3355" s="4"/>
      <c r="I3355" s="4"/>
    </row>
    <row r="3356" spans="1:9" ht="15">
      <c r="A3356" s="21">
        <f t="shared" si="62"/>
        <v>49</v>
      </c>
      <c r="B3356" s="14" t="s">
        <v>4439</v>
      </c>
      <c r="C3356" s="85" t="str">
        <f ca="1">IFERROR(__xludf.DUMMYFUNCTION("GOOGLETRANSLATE(B3356:B3371,""RU"",""UK"")"),"Мітчик М - 10х1 гаєч/10х1,25гаєч")</f>
        <v>Мітчик М - 10х1 гаєч/10х1,25гаєч</v>
      </c>
      <c r="D3356" s="15" t="s">
        <v>6</v>
      </c>
      <c r="E3356" s="15" t="s">
        <v>4440</v>
      </c>
      <c r="F3356" s="91" t="s">
        <v>319</v>
      </c>
      <c r="G3356" s="4"/>
      <c r="H3356" s="4"/>
      <c r="I3356" s="4"/>
    </row>
    <row r="3357" spans="1:9" ht="15">
      <c r="A3357" s="21">
        <f t="shared" si="62"/>
        <v>50</v>
      </c>
      <c r="B3357" s="14" t="s">
        <v>4441</v>
      </c>
      <c r="C3357" s="85" t="str">
        <f ca="1">IFERROR(__xludf.DUMMYFUNCTION("GOOGLETRANSLATE(B3357:B3372,""RU"",""UK"")"),"Мітчик М - 10х0.5Р18/10х0,75")</f>
        <v>Мітчик М - 10х0.5Р18/10х0,75</v>
      </c>
      <c r="D3357" s="15" t="s">
        <v>6</v>
      </c>
      <c r="E3357" s="15" t="s">
        <v>4442</v>
      </c>
      <c r="F3357" s="91" t="s">
        <v>348</v>
      </c>
      <c r="G3357" s="4"/>
      <c r="H3357" s="4"/>
      <c r="I3357" s="4"/>
    </row>
    <row r="3358" spans="1:9" ht="15">
      <c r="A3358" s="21">
        <f t="shared" si="62"/>
        <v>51</v>
      </c>
      <c r="B3358" s="14" t="s">
        <v>4443</v>
      </c>
      <c r="C3358" s="85" t="str">
        <f ca="1">IFERROR(__xludf.DUMMYFUNCTION("GOOGLETRANSLATE(B3358:B3373,""RU"",""UK"")"),"Мітчик М - 10х1/10х1,25")</f>
        <v>Мітчик М - 10х1/10х1,25</v>
      </c>
      <c r="D3358" s="15" t="s">
        <v>6</v>
      </c>
      <c r="E3358" s="15" t="s">
        <v>4444</v>
      </c>
      <c r="F3358" s="91" t="s">
        <v>348</v>
      </c>
      <c r="G3358" s="4"/>
      <c r="H3358" s="4"/>
      <c r="I3358" s="4"/>
    </row>
    <row r="3359" spans="1:9" ht="15">
      <c r="A3359" s="21">
        <f t="shared" si="62"/>
        <v>52</v>
      </c>
      <c r="B3359" s="14" t="s">
        <v>4445</v>
      </c>
      <c r="C3359" s="85" t="str">
        <f ca="1">IFERROR(__xludf.DUMMYFUNCTION("GOOGLETRANSLATE(B3359:B3374,""RU"",""UK"")"),"Мітчик М - 10х0,5/10х0,75 м/р")</f>
        <v>Мітчик М - 10х0,5/10х0,75 м/р</v>
      </c>
      <c r="D3359" s="15" t="s">
        <v>4370</v>
      </c>
      <c r="E3359" s="15" t="s">
        <v>4446</v>
      </c>
      <c r="F3359" s="91" t="s">
        <v>218</v>
      </c>
      <c r="G3359" s="4"/>
      <c r="H3359" s="4"/>
      <c r="I3359" s="4"/>
    </row>
    <row r="3360" spans="1:9" ht="15">
      <c r="A3360" s="21">
        <f t="shared" si="62"/>
        <v>53</v>
      </c>
      <c r="B3360" s="14" t="s">
        <v>4447</v>
      </c>
      <c r="C3360" s="85" t="str">
        <f ca="1">IFERROR(__xludf.DUMMYFUNCTION("GOOGLETRANSLATE(B3360:B3375,""RU"",""UK"")"),"Мітчик М - 10х1 ВК8 моноліт")</f>
        <v>Мітчик М - 10х1 ВК8 моноліт</v>
      </c>
      <c r="D3360" s="15" t="s">
        <v>6</v>
      </c>
      <c r="E3360" s="15">
        <v>11</v>
      </c>
      <c r="F3360" s="91" t="s">
        <v>119</v>
      </c>
      <c r="G3360" s="4"/>
      <c r="H3360" s="4"/>
      <c r="I3360" s="4"/>
    </row>
    <row r="3361" spans="1:9" ht="15">
      <c r="A3361" s="21">
        <f t="shared" si="62"/>
        <v>54</v>
      </c>
      <c r="B3361" s="14" t="s">
        <v>4448</v>
      </c>
      <c r="C3361" s="85" t="str">
        <f ca="1">IFERROR(__xludf.DUMMYFUNCTION("GOOGLETRANSLATE(B3361:B3376,""RU"",""UK"")"),"Мітчик М - 11/11х1")</f>
        <v>Мітчик М - 11/11х1</v>
      </c>
      <c r="D3361" s="15" t="s">
        <v>6</v>
      </c>
      <c r="E3361" s="15" t="s">
        <v>4449</v>
      </c>
      <c r="F3361" s="91" t="s">
        <v>317</v>
      </c>
      <c r="G3361" s="4"/>
      <c r="H3361" s="4"/>
      <c r="I3361" s="4"/>
    </row>
    <row r="3362" spans="1:9" ht="15">
      <c r="A3362" s="21">
        <f t="shared" si="62"/>
        <v>55</v>
      </c>
      <c r="B3362" s="14" t="s">
        <v>4450</v>
      </c>
      <c r="C3362" s="85" t="str">
        <f ca="1">IFERROR(__xludf.DUMMYFUNCTION("GOOGLETRANSLATE(B3362:B3377,""RU"",""UK"")"),"Мітчик М - 11х0,5гаєч. / 11х1 гаєч.")</f>
        <v>Мітчик М - 11х0,5гаєч. / 11х1 гаєч.</v>
      </c>
      <c r="D3362" s="15" t="s">
        <v>6</v>
      </c>
      <c r="E3362" s="15" t="s">
        <v>4451</v>
      </c>
      <c r="F3362" s="91" t="s">
        <v>317</v>
      </c>
      <c r="G3362" s="4"/>
      <c r="H3362" s="4"/>
      <c r="I3362" s="4"/>
    </row>
    <row r="3363" spans="1:9" ht="15">
      <c r="A3363" s="21">
        <f t="shared" si="62"/>
        <v>56</v>
      </c>
      <c r="B3363" s="16" t="s">
        <v>4452</v>
      </c>
      <c r="C3363" s="85" t="str">
        <f ca="1">IFERROR(__xludf.DUMMYFUNCTION("GOOGLETRANSLATE(B3363:B3378,""RU"",""UK"")"),"Мітчик М - 12/12х0,5/12х0,75/12х1 маш.")</f>
        <v>Мітчик М - 12/12х0,5/12х0,75/12х1 маш.</v>
      </c>
      <c r="D3363" s="15" t="s">
        <v>6</v>
      </c>
      <c r="E3363" s="15" t="s">
        <v>4453</v>
      </c>
      <c r="F3363" s="91" t="s">
        <v>319</v>
      </c>
      <c r="G3363" s="4"/>
      <c r="H3363" s="4"/>
      <c r="I3363" s="4"/>
    </row>
    <row r="3364" spans="1:9" ht="15">
      <c r="A3364" s="21">
        <f t="shared" si="62"/>
        <v>57</v>
      </c>
      <c r="B3364" s="16" t="s">
        <v>4454</v>
      </c>
      <c r="C3364" s="85" t="str">
        <f ca="1">IFERROR(__xludf.DUMMYFUNCTION("GOOGLETRANSLATE(B3364:B3379,""RU"",""UK"")"),"Мітчик М - 12 гаєч. / 12 гаєч. Нурка")</f>
        <v>Мітчик М - 12 гаєч. / 12 гаєч. Нурка</v>
      </c>
      <c r="D3364" s="15" t="s">
        <v>6</v>
      </c>
      <c r="E3364" s="15" t="s">
        <v>4455</v>
      </c>
      <c r="F3364" s="91" t="s">
        <v>119</v>
      </c>
      <c r="G3364" s="4"/>
      <c r="H3364" s="4"/>
      <c r="I3364" s="4"/>
    </row>
    <row r="3365" spans="1:9" ht="15">
      <c r="A3365" s="21">
        <f t="shared" si="62"/>
        <v>58</v>
      </c>
      <c r="B3365" s="14" t="s">
        <v>4456</v>
      </c>
      <c r="C3365" s="85" t="str">
        <f ca="1">IFERROR(__xludf.DUMMYFUNCTION("GOOGLETRANSLATE(B3365:B3380,""RU"",""UK"")"),"Мітчик М - 12х1 гаєч. / 12х1 гаєч. Нурка")</f>
        <v>Мітчик М - 12х1 гаєч. / 12х1 гаєч. Нурка</v>
      </c>
      <c r="D3365" s="15" t="s">
        <v>6</v>
      </c>
      <c r="E3365" s="15" t="s">
        <v>4457</v>
      </c>
      <c r="F3365" s="91" t="s">
        <v>319</v>
      </c>
      <c r="G3365" s="4"/>
      <c r="H3365" s="4"/>
      <c r="I3365" s="4"/>
    </row>
    <row r="3366" spans="1:9" ht="15">
      <c r="A3366" s="21">
        <f t="shared" si="62"/>
        <v>59</v>
      </c>
      <c r="B3366" s="14" t="s">
        <v>4458</v>
      </c>
      <c r="C3366" s="85" t="str">
        <f ca="1">IFERROR(__xludf.DUMMYFUNCTION("GOOGLETRANSLATE(B3366:B3381,""RU"",""UK"")"),"Мітчик М - 12х1, 25 гаєч. / 12х1, 5 гаєч.")</f>
        <v>Мітчик М - 12х1, 25 гаєч. / 12х1, 5 гаєч.</v>
      </c>
      <c r="D3366" s="15" t="s">
        <v>6</v>
      </c>
      <c r="E3366" s="15" t="s">
        <v>4459</v>
      </c>
      <c r="F3366" s="91" t="s">
        <v>319</v>
      </c>
      <c r="G3366" s="4"/>
      <c r="H3366" s="4"/>
      <c r="I3366" s="4"/>
    </row>
    <row r="3367" spans="1:9" ht="15">
      <c r="A3367" s="21">
        <f t="shared" si="62"/>
        <v>60</v>
      </c>
      <c r="B3367" s="14" t="s">
        <v>4460</v>
      </c>
      <c r="C3367" s="85" t="str">
        <f ca="1">IFERROR(__xludf.DUMMYFUNCTION("GOOGLETRANSLATE(B3367:B3382,""RU"",""UK"")"),"Мітчик М - 12х1, 25/12х1, 5 маш.")</f>
        <v>Мітчик М - 12х1, 25/12х1, 5 маш.</v>
      </c>
      <c r="D3367" s="15" t="s">
        <v>6</v>
      </c>
      <c r="E3367" s="15" t="s">
        <v>4461</v>
      </c>
      <c r="F3367" s="91" t="s">
        <v>317</v>
      </c>
      <c r="G3367" s="4"/>
      <c r="H3367" s="4"/>
      <c r="I3367" s="4"/>
    </row>
    <row r="3368" spans="1:9" ht="15">
      <c r="A3368" s="21">
        <f t="shared" si="62"/>
        <v>61</v>
      </c>
      <c r="B3368" s="14" t="s">
        <v>4462</v>
      </c>
      <c r="C3368" s="85" t="str">
        <f ca="1">IFERROR(__xludf.DUMMYFUNCTION("GOOGLETRANSLATE(B3368:B3383,""RU"",""UK"")"),"Мітчик М - 12х1, 5ВК8 маш.")</f>
        <v>Мітчик М - 12х1, 5ВК8 маш.</v>
      </c>
      <c r="D3368" s="15" t="s">
        <v>6</v>
      </c>
      <c r="E3368" s="15">
        <v>11</v>
      </c>
      <c r="F3368" s="91" t="s">
        <v>327</v>
      </c>
      <c r="G3368" s="4"/>
      <c r="H3368" s="4"/>
      <c r="I3368" s="4"/>
    </row>
    <row r="3369" spans="1:9" ht="15">
      <c r="A3369" s="21">
        <f t="shared" si="62"/>
        <v>62</v>
      </c>
      <c r="B3369" s="16" t="s">
        <v>4463</v>
      </c>
      <c r="C3369" s="85" t="str">
        <f ca="1">IFERROR(__xludf.DUMMYFUNCTION("GOOGLETRANSLATE(B3369:B3384,""RU"",""UK"")"),"Мітчик М - 12/12х0.75 маш./руч.")</f>
        <v>Мітчик М - 12/12х0.75 маш./руч.</v>
      </c>
      <c r="D3369" s="15" t="s">
        <v>4370</v>
      </c>
      <c r="E3369" s="15" t="s">
        <v>3223</v>
      </c>
      <c r="F3369" s="91" t="s">
        <v>196</v>
      </c>
      <c r="G3369" s="4"/>
      <c r="H3369" s="4"/>
      <c r="I3369" s="4"/>
    </row>
    <row r="3370" spans="1:9" ht="15">
      <c r="A3370" s="21">
        <f t="shared" si="62"/>
        <v>63</v>
      </c>
      <c r="B3370" s="14" t="s">
        <v>4464</v>
      </c>
      <c r="C3370" s="85" t="str">
        <f ca="1">IFERROR(__xludf.DUMMYFUNCTION("GOOGLETRANSLATE(B3370:B3385,""RU"",""UK"")"),"Мітчик М - 12х1/12х1,25/12х1,5маш./руч.")</f>
        <v>Мітчик М - 12х1/12х1,25/12х1,5маш./руч.</v>
      </c>
      <c r="D3370" s="15" t="s">
        <v>4370</v>
      </c>
      <c r="E3370" s="15" t="s">
        <v>4465</v>
      </c>
      <c r="F3370" s="91" t="s">
        <v>196</v>
      </c>
      <c r="G3370" s="4"/>
      <c r="H3370" s="4"/>
      <c r="I3370" s="4"/>
    </row>
    <row r="3371" spans="1:9" ht="15">
      <c r="A3371" s="21">
        <f t="shared" si="62"/>
        <v>64</v>
      </c>
      <c r="B3371" s="19" t="s">
        <v>4466</v>
      </c>
      <c r="C3371" s="85" t="str">
        <f ca="1">IFERROR(__xludf.DUMMYFUNCTION("GOOGLETRANSLATE(B3371:B3386,""RU"",""UK"")"),"Мітчик М - 12лев / 12х1, 25лев")</f>
        <v>Мітчик М - 12лев / 12х1, 25лев</v>
      </c>
      <c r="D3371" s="15" t="s">
        <v>4370</v>
      </c>
      <c r="E3371" s="15" t="s">
        <v>4467</v>
      </c>
      <c r="F3371" s="91" t="s">
        <v>327</v>
      </c>
      <c r="G3371" s="4"/>
      <c r="H3371" s="4"/>
      <c r="I3371" s="4"/>
    </row>
    <row r="3372" spans="1:9" ht="15">
      <c r="A3372" s="21">
        <f t="shared" si="62"/>
        <v>65</v>
      </c>
      <c r="B3372" s="16" t="s">
        <v>4468</v>
      </c>
      <c r="C3372" s="85" t="str">
        <f ca="1">IFERROR(__xludf.DUMMYFUNCTION("GOOGLETRANSLATE(B3372:B3387,""RU"",""UK"")"),"Мітчик М - 12 лев / 12х1, 25лев / 12х1, 5лев")</f>
        <v>Мітчик М - 12 лев / 12х1, 25лев / 12х1, 5лев</v>
      </c>
      <c r="D3372" s="15" t="s">
        <v>6</v>
      </c>
      <c r="E3372" s="15" t="s">
        <v>4469</v>
      </c>
      <c r="F3372" s="91" t="s">
        <v>119</v>
      </c>
      <c r="G3372" s="4"/>
      <c r="H3372" s="4"/>
      <c r="I3372" s="4"/>
    </row>
    <row r="3373" spans="1:9" ht="15">
      <c r="A3373" s="21">
        <f t="shared" si="62"/>
        <v>66</v>
      </c>
      <c r="B3373" s="14" t="s">
        <v>4470</v>
      </c>
      <c r="C3373" s="85" t="str">
        <f ca="1">IFERROR(__xludf.DUMMYFUNCTION("GOOGLETRANSLATE(B3373:B3388,""RU"",""UK"")"),"Мітчик М - 12х2 трапеція")</f>
        <v>Мітчик М - 12х2 трапеція</v>
      </c>
      <c r="D3373" s="15" t="s">
        <v>6</v>
      </c>
      <c r="E3373" s="17">
        <v>1</v>
      </c>
      <c r="F3373" s="92" t="s">
        <v>102</v>
      </c>
      <c r="G3373" s="4"/>
      <c r="H3373" s="4"/>
      <c r="I3373" s="4"/>
    </row>
    <row r="3374" spans="1:9" ht="15">
      <c r="A3374" s="21">
        <f t="shared" ref="A3374:A3437" si="63">A3373+1</f>
        <v>67</v>
      </c>
      <c r="B3374" s="14" t="s">
        <v>4471</v>
      </c>
      <c r="C3374" s="85" t="str">
        <f ca="1">IFERROR(__xludf.DUMMYFUNCTION("GOOGLETRANSLATE(B3374:B3389,""RU"",""UK"")"),"Мітчик М - 14 маш.")</f>
        <v>Мітчик М - 14 маш.</v>
      </c>
      <c r="D3374" s="15" t="s">
        <v>6</v>
      </c>
      <c r="E3374" s="15">
        <v>115</v>
      </c>
      <c r="F3374" s="91" t="s">
        <v>1559</v>
      </c>
      <c r="G3374" s="4"/>
      <c r="H3374" s="4"/>
      <c r="I3374" s="4"/>
    </row>
    <row r="3375" spans="1:9" ht="15">
      <c r="A3375" s="21">
        <f t="shared" si="63"/>
        <v>68</v>
      </c>
      <c r="B3375" s="16" t="s">
        <v>4472</v>
      </c>
      <c r="C3375" s="85" t="str">
        <f ca="1">IFERROR(__xludf.DUMMYFUNCTION("GOOGLETRANSLATE(B3375:B3390,""RU"",""UK"")"),"Мітчик М - 14лев. / 14х1, 5лев")</f>
        <v>Мітчик М - 14лев. / 14х1, 5лев</v>
      </c>
      <c r="D3375" s="15" t="s">
        <v>6</v>
      </c>
      <c r="E3375" s="15" t="s">
        <v>3157</v>
      </c>
      <c r="F3375" s="91" t="s">
        <v>140</v>
      </c>
      <c r="G3375" s="4"/>
      <c r="H3375" s="4"/>
      <c r="I3375" s="4"/>
    </row>
    <row r="3376" spans="1:9" ht="15">
      <c r="A3376" s="21">
        <f t="shared" si="63"/>
        <v>69</v>
      </c>
      <c r="B3376" s="14" t="s">
        <v>4473</v>
      </c>
      <c r="C3376" s="85" t="str">
        <f ca="1">IFERROR(__xludf.DUMMYFUNCTION("GOOGLETRANSLATE(B3376:B3391,""RU"",""UK"")"),"Мітчик М - 14гаєч. / 14 гаєч.нурка")</f>
        <v>Мітчик М - 14гаєч. / 14 гаєч.нурка</v>
      </c>
      <c r="D3376" s="15" t="s">
        <v>6</v>
      </c>
      <c r="E3376" s="15" t="s">
        <v>4474</v>
      </c>
      <c r="F3376" s="91" t="s">
        <v>515</v>
      </c>
      <c r="G3376" s="4"/>
      <c r="H3376" s="4"/>
      <c r="I3376" s="4"/>
    </row>
    <row r="3377" spans="1:9" ht="15">
      <c r="A3377" s="21">
        <f t="shared" si="63"/>
        <v>70</v>
      </c>
      <c r="B3377" s="14" t="s">
        <v>4475</v>
      </c>
      <c r="C3377" s="85" t="str">
        <f ca="1">IFERROR(__xludf.DUMMYFUNCTION("GOOGLETRANSLATE(B3377:B3392,""RU"",""UK"")"),"Мітчик М - 14 маш./руч.")</f>
        <v>Мітчик М - 14 маш./руч.</v>
      </c>
      <c r="D3377" s="15" t="s">
        <v>4370</v>
      </c>
      <c r="E3377" s="15">
        <v>5</v>
      </c>
      <c r="F3377" s="91" t="s">
        <v>140</v>
      </c>
      <c r="G3377" s="4"/>
      <c r="H3377" s="4"/>
      <c r="I3377" s="4"/>
    </row>
    <row r="3378" spans="1:9" ht="15">
      <c r="A3378" s="21">
        <f t="shared" si="63"/>
        <v>71</v>
      </c>
      <c r="B3378" s="14" t="s">
        <v>4476</v>
      </c>
      <c r="C3378" s="85" t="str">
        <f ca="1">IFERROR(__xludf.DUMMYFUNCTION("GOOGLETRANSLATE(B3378:B3393,""RU"",""UK"")"),"Мітчик М - 14х0,75 маш. / 14х1 маш.")</f>
        <v>Мітчик М - 14х0,75 маш. / 14х1 маш.</v>
      </c>
      <c r="D3378" s="15" t="s">
        <v>6</v>
      </c>
      <c r="E3378" s="15" t="s">
        <v>4477</v>
      </c>
      <c r="F3378" s="91" t="s">
        <v>1559</v>
      </c>
      <c r="G3378" s="4"/>
      <c r="H3378" s="4"/>
      <c r="I3378" s="4"/>
    </row>
    <row r="3379" spans="1:9" ht="15">
      <c r="A3379" s="21">
        <f t="shared" si="63"/>
        <v>72</v>
      </c>
      <c r="B3379" s="14" t="s">
        <v>4478</v>
      </c>
      <c r="C3379" s="85" t="str">
        <f ca="1">IFERROR(__xludf.DUMMYFUNCTION("GOOGLETRANSLATE(B3379:B3394,""RU"",""UK"")"),"Мітчик М - 14х0,75/14х0,5 маш./руч.")</f>
        <v>Мітчик М - 14х0,75/14х0,5 маш./руч.</v>
      </c>
      <c r="D3379" s="15" t="s">
        <v>4370</v>
      </c>
      <c r="E3379" s="15" t="s">
        <v>4479</v>
      </c>
      <c r="F3379" s="91" t="s">
        <v>140</v>
      </c>
      <c r="G3379" s="4"/>
      <c r="H3379" s="4"/>
      <c r="I3379" s="4"/>
    </row>
    <row r="3380" spans="1:9" ht="15">
      <c r="A3380" s="21">
        <f t="shared" si="63"/>
        <v>73</v>
      </c>
      <c r="B3380" s="14" t="s">
        <v>4480</v>
      </c>
      <c r="C3380" s="85" t="str">
        <f ca="1">IFERROR(__xludf.DUMMYFUNCTION("GOOGLETRANSLATE(B3380:B3395,""RU"",""UK"")"),"Мітчик М - 14лев.")</f>
        <v>Мітчик М - 14лев.</v>
      </c>
      <c r="D3380" s="15" t="s">
        <v>4370</v>
      </c>
      <c r="E3380" s="15">
        <v>5</v>
      </c>
      <c r="F3380" s="91" t="s">
        <v>20</v>
      </c>
      <c r="G3380" s="4"/>
      <c r="H3380" s="4"/>
      <c r="I3380" s="4"/>
    </row>
    <row r="3381" spans="1:9" ht="15">
      <c r="A3381" s="21">
        <f t="shared" si="63"/>
        <v>74</v>
      </c>
      <c r="B3381" s="16" t="s">
        <v>4481</v>
      </c>
      <c r="C3381" s="85" t="str">
        <f ca="1">IFERROR(__xludf.DUMMYFUNCTION("GOOGLETRANSLATE(B3381:B3396,""RU"",""UK"")"),"Мітчик М - 14х1/14х1,25 маш./руч.")</f>
        <v>Мітчик М - 14х1/14х1,25 маш./руч.</v>
      </c>
      <c r="D3381" s="15" t="s">
        <v>4370</v>
      </c>
      <c r="E3381" s="15" t="s">
        <v>2027</v>
      </c>
      <c r="F3381" s="91" t="s">
        <v>140</v>
      </c>
      <c r="G3381" s="4"/>
      <c r="H3381" s="4"/>
      <c r="I3381" s="4"/>
    </row>
    <row r="3382" spans="1:9" ht="15">
      <c r="A3382" s="21">
        <f t="shared" si="63"/>
        <v>75</v>
      </c>
      <c r="B3382" s="14" t="s">
        <v>4482</v>
      </c>
      <c r="C3382" s="85" t="str">
        <f ca="1">IFERROR(__xludf.DUMMYFUNCTION("GOOGLETRANSLATE(B3382:B3397,""RU"",""UK"")"),"Мітчик М - 14х1,25 маш. / 14х1.5маш")</f>
        <v>Мітчик М - 14х1,25 маш. / 14х1.5маш</v>
      </c>
      <c r="D3382" s="15" t="s">
        <v>6</v>
      </c>
      <c r="E3382" s="15" t="s">
        <v>4483</v>
      </c>
      <c r="F3382" s="91" t="s">
        <v>319</v>
      </c>
      <c r="G3382" s="4"/>
      <c r="H3382" s="4"/>
      <c r="I3382" s="4"/>
    </row>
    <row r="3383" spans="1:9" ht="15">
      <c r="A3383" s="21">
        <f t="shared" si="63"/>
        <v>76</v>
      </c>
      <c r="B3383" s="14" t="s">
        <v>4484</v>
      </c>
      <c r="C3383" s="85" t="str">
        <f ca="1">IFERROR(__xludf.DUMMYFUNCTION("GOOGLETRANSLATE(B3383:B3398,""RU"",""UK"")"),"Мітчик М - 14х1 гаєч. / 14х1,5 гаєч.")</f>
        <v>Мітчик М - 14х1 гаєч. / 14х1,5 гаєч.</v>
      </c>
      <c r="D3383" s="15" t="s">
        <v>6</v>
      </c>
      <c r="E3383" s="15" t="s">
        <v>4485</v>
      </c>
      <c r="F3383" s="91" t="s">
        <v>515</v>
      </c>
      <c r="G3383" s="4"/>
      <c r="H3383" s="4"/>
      <c r="I3383" s="4"/>
    </row>
    <row r="3384" spans="1:9" ht="15">
      <c r="A3384" s="21">
        <f t="shared" si="63"/>
        <v>77</v>
      </c>
      <c r="B3384" s="14" t="s">
        <v>4486</v>
      </c>
      <c r="C3384" s="85" t="str">
        <f ca="1">IFERROR(__xludf.DUMMYFUNCTION("GOOGLETRANSLATE(B3384:B3399,""RU"",""UK"")"),"Мітчик М - 14х1, 5 маш. / Руч.")</f>
        <v>Мітчик М - 14х1, 5 маш. / Руч.</v>
      </c>
      <c r="D3384" s="15" t="s">
        <v>4370</v>
      </c>
      <c r="E3384" s="15">
        <v>102</v>
      </c>
      <c r="F3384" s="91" t="s">
        <v>140</v>
      </c>
      <c r="G3384" s="4"/>
      <c r="H3384" s="4"/>
      <c r="I3384" s="4"/>
    </row>
    <row r="3385" spans="1:9" ht="15">
      <c r="A3385" s="21">
        <f t="shared" si="63"/>
        <v>78</v>
      </c>
      <c r="B3385" s="14" t="s">
        <v>4487</v>
      </c>
      <c r="C3385" s="85" t="str">
        <f ca="1">IFERROR(__xludf.DUMMYFUNCTION("GOOGLETRANSLATE(B3385:B3400,""RU"",""UK"")"),"Мітчик М - 14х3 трапеція (б/в)")</f>
        <v>Мітчик М - 14х3 трапеція (б/в)</v>
      </c>
      <c r="D3385" s="15" t="s">
        <v>6</v>
      </c>
      <c r="E3385" s="17">
        <v>1</v>
      </c>
      <c r="F3385" s="92" t="s">
        <v>102</v>
      </c>
      <c r="G3385" s="4"/>
      <c r="H3385" s="4"/>
      <c r="I3385" s="4"/>
    </row>
    <row r="3386" spans="1:9" ht="15">
      <c r="A3386" s="21">
        <f t="shared" si="63"/>
        <v>79</v>
      </c>
      <c r="B3386" s="16" t="s">
        <v>4488</v>
      </c>
      <c r="C3386" s="85" t="str">
        <f ca="1">IFERROR(__xludf.DUMMYFUNCTION("GOOGLETRANSLATE(B3386:B3401,""RU"",""UK"")"),"Мітчик М - 16 маш.")</f>
        <v>Мітчик М - 16 маш.</v>
      </c>
      <c r="D3386" s="15" t="s">
        <v>6</v>
      </c>
      <c r="E3386" s="17">
        <v>32</v>
      </c>
      <c r="F3386" s="91" t="s">
        <v>140</v>
      </c>
      <c r="G3386" s="4"/>
      <c r="H3386" s="4"/>
      <c r="I3386" s="4"/>
    </row>
    <row r="3387" spans="1:9" ht="15">
      <c r="A3387" s="21">
        <f t="shared" si="63"/>
        <v>80</v>
      </c>
      <c r="B3387" s="36" t="s">
        <v>4489</v>
      </c>
      <c r="C3387" s="85" t="str">
        <f ca="1">IFERROR(__xludf.DUMMYFUNCTION("GOOGLETRANSLATE(B3387:B3402,""RU"",""UK"")"),"Мітчик М - 16 маш. гвинтовий")</f>
        <v>Мітчик М - 16 маш. гвинтовий</v>
      </c>
      <c r="D3387" s="71" t="s">
        <v>6</v>
      </c>
      <c r="E3387" s="71">
        <v>24</v>
      </c>
      <c r="F3387" s="107" t="s">
        <v>106</v>
      </c>
      <c r="G3387" s="4"/>
      <c r="H3387" s="4"/>
      <c r="I3387" s="4"/>
    </row>
    <row r="3388" spans="1:9" ht="15">
      <c r="A3388" s="21">
        <f t="shared" si="63"/>
        <v>81</v>
      </c>
      <c r="B3388" s="14" t="s">
        <v>4490</v>
      </c>
      <c r="C3388" s="85" t="str">
        <f ca="1">IFERROR(__xludf.DUMMYFUNCTION("GOOGLETRANSLATE(B3388:B3403,""RU"",""UK"")"),"Мітчик М - 16")</f>
        <v>Мітчик М - 16</v>
      </c>
      <c r="D3388" s="15" t="s">
        <v>4370</v>
      </c>
      <c r="E3388" s="15">
        <v>51</v>
      </c>
      <c r="F3388" s="91" t="s">
        <v>20</v>
      </c>
      <c r="G3388" s="4"/>
      <c r="H3388" s="4"/>
      <c r="I3388" s="4"/>
    </row>
    <row r="3389" spans="1:9" ht="15">
      <c r="A3389" s="21">
        <f t="shared" si="63"/>
        <v>82</v>
      </c>
      <c r="B3389" s="19" t="s">
        <v>4491</v>
      </c>
      <c r="C3389" s="85" t="str">
        <f ca="1">IFERROR(__xludf.DUMMYFUNCTION("GOOGLETRANSLATE(B3389:B3404,""RU"",""UK"")"),"Мітчик М - 16 Р6М5")</f>
        <v>Мітчик М - 16 Р6М5</v>
      </c>
      <c r="D3389" s="15" t="s">
        <v>4370</v>
      </c>
      <c r="E3389" s="15">
        <v>0</v>
      </c>
      <c r="F3389" s="91" t="s">
        <v>24</v>
      </c>
      <c r="G3389" s="4"/>
      <c r="H3389" s="4"/>
      <c r="I3389" s="4"/>
    </row>
    <row r="3390" spans="1:9" ht="15">
      <c r="A3390" s="21">
        <f t="shared" si="63"/>
        <v>83</v>
      </c>
      <c r="B3390" s="14" t="s">
        <v>4492</v>
      </c>
      <c r="C3390" s="85" t="str">
        <f ca="1">IFERROR(__xludf.DUMMYFUNCTION("GOOGLETRANSLATE(B3390:B3405,""RU"",""UK"")"),"Мітчик М - 16х0,5/16х0.75 маш./руч.")</f>
        <v>Мітчик М - 16х0,5/16х0.75 маш./руч.</v>
      </c>
      <c r="D3390" s="15" t="s">
        <v>4370</v>
      </c>
      <c r="E3390" s="15" t="s">
        <v>1235</v>
      </c>
      <c r="F3390" s="91" t="s">
        <v>24</v>
      </c>
      <c r="G3390" s="4"/>
      <c r="H3390" s="4"/>
      <c r="I3390" s="4"/>
    </row>
    <row r="3391" spans="1:9" ht="15">
      <c r="A3391" s="21">
        <f t="shared" si="63"/>
        <v>84</v>
      </c>
      <c r="B3391" s="14" t="s">
        <v>4493</v>
      </c>
      <c r="C3391" s="85" t="str">
        <f ca="1">IFERROR(__xludf.DUMMYFUNCTION("GOOGLETRANSLATE(B3391:B3406,""RU"",""UK"")"),"Мітчик М - 16 гаєч. / 16 гаєч. нурка")</f>
        <v>Мітчик М - 16 гаєч. / 16 гаєч. нурка</v>
      </c>
      <c r="D3391" s="15" t="s">
        <v>6</v>
      </c>
      <c r="E3391" s="15" t="s">
        <v>4494</v>
      </c>
      <c r="F3391" s="91" t="s">
        <v>20</v>
      </c>
      <c r="G3391" s="4"/>
      <c r="H3391" s="4"/>
      <c r="I3391" s="4"/>
    </row>
    <row r="3392" spans="1:9" ht="15">
      <c r="A3392" s="21">
        <f t="shared" si="63"/>
        <v>85</v>
      </c>
      <c r="B3392" s="14" t="s">
        <v>4495</v>
      </c>
      <c r="C3392" s="85" t="str">
        <f ca="1">IFERROR(__xludf.DUMMYFUNCTION("GOOGLETRANSLATE(B3392:B3407,""RU"",""UK"")"),"Мітчик М - 16х1гаеч. / 16х1, 5гаєч.")</f>
        <v>Мітчик М - 16х1гаеч. / 16х1, 5гаєч.</v>
      </c>
      <c r="D3392" s="15" t="s">
        <v>6</v>
      </c>
      <c r="E3392" s="15" t="s">
        <v>4496</v>
      </c>
      <c r="F3392" s="91" t="s">
        <v>20</v>
      </c>
      <c r="G3392" s="4"/>
      <c r="H3392" s="4"/>
      <c r="I3392" s="4"/>
    </row>
    <row r="3393" spans="1:9" ht="15">
      <c r="A3393" s="21">
        <f t="shared" si="63"/>
        <v>86</v>
      </c>
      <c r="B3393" s="14" t="s">
        <v>4497</v>
      </c>
      <c r="C3393" s="85" t="str">
        <f ca="1">IFERROR(__xludf.DUMMYFUNCTION("GOOGLETRANSLATE(B3393:B3408,""RU"",""UK"")"),"Мітчик М - 16х1/16х1, 5 маш./руч.")</f>
        <v>Мітчик М - 16х1/16х1, 5 маш./руч.</v>
      </c>
      <c r="D3393" s="15" t="s">
        <v>4370</v>
      </c>
      <c r="E3393" s="15" t="s">
        <v>4498</v>
      </c>
      <c r="F3393" s="91" t="s">
        <v>24</v>
      </c>
      <c r="G3393" s="4"/>
      <c r="H3393" s="4"/>
      <c r="I3393" s="4"/>
    </row>
    <row r="3394" spans="1:9" ht="15">
      <c r="A3394" s="21">
        <f t="shared" si="63"/>
        <v>87</v>
      </c>
      <c r="B3394" s="14" t="s">
        <v>4499</v>
      </c>
      <c r="C3394" s="85" t="str">
        <f ca="1">IFERROR(__xludf.DUMMYFUNCTION("GOOGLETRANSLATE(B3394:B3409,""RU"",""UK"")"),"Мітчик М - 16лев / 16х1, 5лев / 16х1, 5лев.гаеч.")</f>
        <v>Мітчик М - 16лев / 16х1, 5лев / 16х1, 5лев.гаеч.</v>
      </c>
      <c r="D3394" s="15" t="s">
        <v>6</v>
      </c>
      <c r="E3394" s="15" t="s">
        <v>4500</v>
      </c>
      <c r="F3394" s="91" t="s">
        <v>760</v>
      </c>
      <c r="G3394" s="4"/>
      <c r="H3394" s="4"/>
      <c r="I3394" s="4"/>
    </row>
    <row r="3395" spans="1:9" ht="15">
      <c r="A3395" s="21">
        <f t="shared" si="63"/>
        <v>88</v>
      </c>
      <c r="B3395" s="14" t="s">
        <v>4501</v>
      </c>
      <c r="C3395" s="85" t="str">
        <f ca="1">IFERROR(__xludf.DUMMYFUNCTION("GOOGLETRANSLATE(B3395:B3410,""RU"",""UK"")"),"Мітчик М - 16х0, 75 / 16х1 / 16х1, 5 маш.")</f>
        <v>Мітчик М - 16х0, 75 / 16х1 / 16х1, 5 маш.</v>
      </c>
      <c r="D3395" s="15" t="s">
        <v>6</v>
      </c>
      <c r="E3395" s="15" t="s">
        <v>4502</v>
      </c>
      <c r="F3395" s="91" t="s">
        <v>140</v>
      </c>
      <c r="G3395" s="4"/>
      <c r="H3395" s="4"/>
      <c r="I3395" s="4"/>
    </row>
    <row r="3396" spans="1:9" ht="15">
      <c r="A3396" s="21">
        <f t="shared" si="63"/>
        <v>89</v>
      </c>
      <c r="B3396" s="14" t="s">
        <v>4503</v>
      </c>
      <c r="C3396" s="85" t="str">
        <f ca="1">IFERROR(__xludf.DUMMYFUNCTION("GOOGLETRANSLATE(B3396:B3411,""RU"",""UK"")"),"Мітчик М - 16х1ВК8/16х1,5 ВК8 маш./руч.")</f>
        <v>Мітчик М - 16х1ВК8/16х1,5 ВК8 маш./руч.</v>
      </c>
      <c r="D3396" s="15" t="s">
        <v>6</v>
      </c>
      <c r="E3396" s="15" t="s">
        <v>2067</v>
      </c>
      <c r="F3396" s="91" t="s">
        <v>140</v>
      </c>
      <c r="G3396" s="4"/>
      <c r="H3396" s="4"/>
      <c r="I3396" s="4"/>
    </row>
    <row r="3397" spans="1:9" ht="15">
      <c r="A3397" s="21">
        <f t="shared" si="63"/>
        <v>90</v>
      </c>
      <c r="B3397" s="14" t="s">
        <v>4504</v>
      </c>
      <c r="C3397" s="85" t="str">
        <f ca="1">IFERROR(__xludf.DUMMYFUNCTION("GOOGLETRANSLATE(B3397:B3412,""RU"",""UK"")"),"Мітчик М - 16,6х16ниток / 17,5х16ниток")</f>
        <v>Мітчик М - 16,6х16ниток / 17,5х16ниток</v>
      </c>
      <c r="D3397" s="15" t="s">
        <v>6</v>
      </c>
      <c r="E3397" s="15" t="s">
        <v>749</v>
      </c>
      <c r="F3397" s="91" t="s">
        <v>20</v>
      </c>
      <c r="G3397" s="4"/>
      <c r="H3397" s="4"/>
      <c r="I3397" s="4"/>
    </row>
    <row r="3398" spans="1:9" ht="15">
      <c r="A3398" s="21">
        <f t="shared" si="63"/>
        <v>91</v>
      </c>
      <c r="B3398" s="14" t="s">
        <v>4505</v>
      </c>
      <c r="C3398" s="85" t="str">
        <f ca="1">IFERROR(__xludf.DUMMYFUNCTION("GOOGLETRANSLATE(B3398:B3413,""RU"",""UK"")"),"Мітчик М - 18 маш.")</f>
        <v>Мітчик М - 18 маш.</v>
      </c>
      <c r="D3398" s="15" t="s">
        <v>6</v>
      </c>
      <c r="E3398" s="15">
        <v>440</v>
      </c>
      <c r="F3398" s="91" t="s">
        <v>140</v>
      </c>
      <c r="G3398" s="4"/>
      <c r="H3398" s="4"/>
      <c r="I3398" s="4"/>
    </row>
    <row r="3399" spans="1:9" ht="15">
      <c r="A3399" s="21">
        <f t="shared" si="63"/>
        <v>92</v>
      </c>
      <c r="B3399" s="14" t="s">
        <v>4506</v>
      </c>
      <c r="C3399" s="85" t="str">
        <f ca="1">IFERROR(__xludf.DUMMYFUNCTION("GOOGLETRANSLATE(B3399:B3414,""RU"",""UK"")"),"Мітчик М - 18 гаєч. / 18х1 гаєч.")</f>
        <v>Мітчик М - 18 гаєч. / 18х1 гаєч.</v>
      </c>
      <c r="D3399" s="15" t="s">
        <v>6</v>
      </c>
      <c r="E3399" s="15" t="s">
        <v>4507</v>
      </c>
      <c r="F3399" s="91" t="s">
        <v>20</v>
      </c>
      <c r="G3399" s="4"/>
      <c r="H3399" s="4"/>
      <c r="I3399" s="4"/>
    </row>
    <row r="3400" spans="1:9" ht="15">
      <c r="A3400" s="21">
        <f t="shared" si="63"/>
        <v>93</v>
      </c>
      <c r="B3400" s="14" t="s">
        <v>4508</v>
      </c>
      <c r="C3400" s="85" t="str">
        <f ca="1">IFERROR(__xludf.DUMMYFUNCTION("GOOGLETRANSLATE(B3400:B3415,""RU"",""UK"")"),"Мітчик М - 18х1,5 гаєч. / 18х2 гаєч.")</f>
        <v>Мітчик М - 18х1,5 гаєч. / 18х2 гаєч.</v>
      </c>
      <c r="D3400" s="15" t="s">
        <v>6</v>
      </c>
      <c r="E3400" s="15" t="s">
        <v>4509</v>
      </c>
      <c r="F3400" s="91" t="s">
        <v>20</v>
      </c>
      <c r="G3400" s="4"/>
      <c r="H3400" s="4"/>
      <c r="I3400" s="4"/>
    </row>
    <row r="3401" spans="1:9" ht="15">
      <c r="A3401" s="21">
        <f t="shared" si="63"/>
        <v>94</v>
      </c>
      <c r="B3401" s="14" t="s">
        <v>4510</v>
      </c>
      <c r="C3401" s="85" t="str">
        <f ca="1">IFERROR(__xludf.DUMMYFUNCTION("GOOGLETRANSLATE(B3401:B3416,""RU"",""UK"")"),"Мітчик М - 18 маш.руч.")</f>
        <v>Мітчик М - 18 маш.руч.</v>
      </c>
      <c r="D3401" s="15" t="s">
        <v>4370</v>
      </c>
      <c r="E3401" s="15">
        <v>305</v>
      </c>
      <c r="F3401" s="91" t="s">
        <v>224</v>
      </c>
      <c r="G3401" s="4"/>
      <c r="H3401" s="4"/>
      <c r="I3401" s="4"/>
    </row>
    <row r="3402" spans="1:9" ht="15">
      <c r="A3402" s="21">
        <f t="shared" si="63"/>
        <v>95</v>
      </c>
      <c r="B3402" s="14" t="s">
        <v>4511</v>
      </c>
      <c r="C3402" s="85" t="str">
        <f ca="1">IFERROR(__xludf.DUMMYFUNCTION("GOOGLETRANSLATE(B3402:B3417,""RU"",""UK"")"),"Мітчик М - 18х0,75 маш.руч. / 18х1 м/р.")</f>
        <v>Мітчик М - 18х0,75 маш.руч. / 18х1 м/р.</v>
      </c>
      <c r="D3402" s="15" t="s">
        <v>4370</v>
      </c>
      <c r="E3402" s="15" t="s">
        <v>4512</v>
      </c>
      <c r="F3402" s="91" t="s">
        <v>4513</v>
      </c>
      <c r="G3402" s="4"/>
      <c r="H3402" s="4"/>
      <c r="I3402" s="4"/>
    </row>
    <row r="3403" spans="1:9" ht="15">
      <c r="A3403" s="21">
        <f t="shared" si="63"/>
        <v>96</v>
      </c>
      <c r="B3403" s="14" t="s">
        <v>4514</v>
      </c>
      <c r="C3403" s="85" t="str">
        <f ca="1">IFERROR(__xludf.DUMMYFUNCTION("GOOGLETRANSLATE(B3403:B3418,""RU"",""UK"")"),"Мітчик М - 18х1/18х1, 25маш.")</f>
        <v>Мітчик М - 18х1/18х1, 25маш.</v>
      </c>
      <c r="D3403" s="15" t="s">
        <v>6</v>
      </c>
      <c r="E3403" s="15" t="s">
        <v>4515</v>
      </c>
      <c r="F3403" s="91" t="s">
        <v>140</v>
      </c>
      <c r="G3403" s="4"/>
      <c r="H3403" s="4"/>
      <c r="I3403" s="4"/>
    </row>
    <row r="3404" spans="1:9" ht="15">
      <c r="A3404" s="21">
        <f t="shared" si="63"/>
        <v>97</v>
      </c>
      <c r="B3404" s="14" t="s">
        <v>4516</v>
      </c>
      <c r="C3404" s="85" t="str">
        <f ca="1">IFERROR(__xludf.DUMMYFUNCTION("GOOGLETRANSLATE(B3404:B3419,""RU"",""UK"")"),"Мітчик М - 18х1, 5 маш.")</f>
        <v>Мітчик М - 18х1, 5 маш.</v>
      </c>
      <c r="D3404" s="15" t="s">
        <v>6</v>
      </c>
      <c r="E3404" s="15">
        <v>27</v>
      </c>
      <c r="F3404" s="91" t="s">
        <v>140</v>
      </c>
      <c r="G3404" s="4"/>
      <c r="H3404" s="4"/>
      <c r="I3404" s="4"/>
    </row>
    <row r="3405" spans="1:9" ht="15">
      <c r="A3405" s="21">
        <f t="shared" si="63"/>
        <v>98</v>
      </c>
      <c r="B3405" s="14" t="s">
        <v>4517</v>
      </c>
      <c r="C3405" s="85" t="str">
        <f ca="1">IFERROR(__xludf.DUMMYFUNCTION("GOOGLETRANSLATE(B3405:B3420,""RU"",""UK"")"),"Мітчик М - 18х1,5 м/р. / 18х2 м/р")</f>
        <v>Мітчик М - 18х1,5 м/р. / 18х2 м/р</v>
      </c>
      <c r="D3405" s="15" t="s">
        <v>4370</v>
      </c>
      <c r="E3405" s="15" t="s">
        <v>4518</v>
      </c>
      <c r="F3405" s="91" t="s">
        <v>779</v>
      </c>
      <c r="G3405" s="4"/>
      <c r="H3405" s="4"/>
      <c r="I3405" s="4"/>
    </row>
    <row r="3406" spans="1:9" ht="15">
      <c r="A3406" s="21">
        <f t="shared" si="63"/>
        <v>99</v>
      </c>
      <c r="B3406" s="16" t="s">
        <v>4519</v>
      </c>
      <c r="C3406" s="85" t="str">
        <f ca="1">IFERROR(__xludf.DUMMYFUNCTION("GOOGLETRANSLATE(B3406:B3421,""RU"",""UK"")"),"Мітчик М - 18лев. / 18х1,5 лев")</f>
        <v>Мітчик М - 18лев. / 18х1,5 лев</v>
      </c>
      <c r="D3406" s="15" t="s">
        <v>6</v>
      </c>
      <c r="E3406" s="15" t="s">
        <v>4520</v>
      </c>
      <c r="F3406" s="91" t="s">
        <v>20</v>
      </c>
      <c r="G3406" s="4"/>
      <c r="H3406" s="4"/>
      <c r="I3406" s="4"/>
    </row>
    <row r="3407" spans="1:9" ht="15">
      <c r="A3407" s="21">
        <f t="shared" si="63"/>
        <v>100</v>
      </c>
      <c r="B3407" s="14" t="s">
        <v>4521</v>
      </c>
      <c r="C3407" s="85" t="str">
        <f ca="1">IFERROR(__xludf.DUMMYFUNCTION("GOOGLETRANSLATE(B3407:B3422,""RU"",""UK"")"),"Мітчик М - 18х2 маш.")</f>
        <v>Мітчик М - 18х2 маш.</v>
      </c>
      <c r="D3407" s="15" t="s">
        <v>6</v>
      </c>
      <c r="E3407" s="15">
        <v>69</v>
      </c>
      <c r="F3407" s="91" t="s">
        <v>140</v>
      </c>
      <c r="G3407" s="4"/>
      <c r="H3407" s="4"/>
      <c r="I3407" s="4"/>
    </row>
    <row r="3408" spans="1:9" ht="15">
      <c r="A3408" s="21">
        <f t="shared" si="63"/>
        <v>101</v>
      </c>
      <c r="B3408" s="14" t="s">
        <v>4522</v>
      </c>
      <c r="C3408" s="85" t="str">
        <f ca="1">IFERROR(__xludf.DUMMYFUNCTION("GOOGLETRANSLATE(B3408:B3423,""RU"",""UK"")"),"Мітчик М - 20 маш.руч.")</f>
        <v>Мітчик М - 20 маш.руч.</v>
      </c>
      <c r="D3408" s="15" t="s">
        <v>6</v>
      </c>
      <c r="E3408" s="15">
        <v>103</v>
      </c>
      <c r="F3408" s="91" t="s">
        <v>20</v>
      </c>
      <c r="G3408" s="4"/>
      <c r="H3408" s="4"/>
      <c r="I3408" s="4"/>
    </row>
    <row r="3409" spans="1:9" ht="15">
      <c r="A3409" s="21">
        <f t="shared" si="63"/>
        <v>102</v>
      </c>
      <c r="B3409" s="14" t="s">
        <v>4523</v>
      </c>
      <c r="C3409" s="85" t="str">
        <f ca="1">IFERROR(__xludf.DUMMYFUNCTION("GOOGLETRANSLATE(B3409:B3424,""RU"",""UK"")"),"Мітчик М - 20 гаєч. / 20 гаєч. Нурка")</f>
        <v>Мітчик М - 20 гаєч. / 20 гаєч. Нурка</v>
      </c>
      <c r="D3409" s="15" t="s">
        <v>6</v>
      </c>
      <c r="E3409" s="15" t="s">
        <v>4524</v>
      </c>
      <c r="F3409" s="91" t="s">
        <v>20</v>
      </c>
      <c r="G3409" s="4"/>
      <c r="H3409" s="4"/>
      <c r="I3409" s="4"/>
    </row>
    <row r="3410" spans="1:9" ht="15">
      <c r="A3410" s="21">
        <f t="shared" si="63"/>
        <v>103</v>
      </c>
      <c r="B3410" s="14" t="s">
        <v>4525</v>
      </c>
      <c r="C3410" s="85" t="str">
        <f ca="1">IFERROR(__xludf.DUMMYFUNCTION("GOOGLETRANSLATE(B3410:B3425,""RU"",""UK"")"),"Мітчик М - 20х1 гаєч. / 20х1,5 гаєч.")</f>
        <v>Мітчик М - 20х1 гаєч. / 20х1,5 гаєч.</v>
      </c>
      <c r="D3410" s="15" t="s">
        <v>6</v>
      </c>
      <c r="E3410" s="15" t="s">
        <v>4526</v>
      </c>
      <c r="F3410" s="91" t="s">
        <v>20</v>
      </c>
      <c r="G3410" s="4"/>
      <c r="H3410" s="4"/>
      <c r="I3410" s="4"/>
    </row>
    <row r="3411" spans="1:9" ht="15">
      <c r="A3411" s="21">
        <f t="shared" si="63"/>
        <v>104</v>
      </c>
      <c r="B3411" s="14" t="s">
        <v>4527</v>
      </c>
      <c r="C3411" s="85" t="str">
        <f ca="1">IFERROR(__xludf.DUMMYFUNCTION("GOOGLETRANSLATE(B3411:B3426,""RU"",""UK"")"),"Мітчик М - 20 маш. / Руч. / 20х0.75")</f>
        <v>Мітчик М - 20 маш. / Руч. / 20х0.75</v>
      </c>
      <c r="D3411" s="15" t="s">
        <v>4370</v>
      </c>
      <c r="E3411" s="15" t="s">
        <v>4528</v>
      </c>
      <c r="F3411" s="91" t="s">
        <v>779</v>
      </c>
      <c r="G3411" s="4"/>
      <c r="H3411" s="4"/>
      <c r="I3411" s="4"/>
    </row>
    <row r="3412" spans="1:9" ht="15">
      <c r="A3412" s="21">
        <f t="shared" si="63"/>
        <v>105</v>
      </c>
      <c r="B3412" s="14" t="s">
        <v>4529</v>
      </c>
      <c r="C3412" s="85" t="str">
        <f ca="1">IFERROR(__xludf.DUMMYFUNCTION("GOOGLETRANSLATE(B3412:B3427,""RU"",""UK"")"),"Мітчик М - 20х0,5/20х1 маш.")</f>
        <v>Мітчик М - 20х0,5/20х1 маш.</v>
      </c>
      <c r="D3412" s="15" t="s">
        <v>6</v>
      </c>
      <c r="E3412" s="15" t="s">
        <v>705</v>
      </c>
      <c r="F3412" s="91" t="s">
        <v>20</v>
      </c>
      <c r="G3412" s="4"/>
      <c r="H3412" s="4"/>
      <c r="I3412" s="4"/>
    </row>
    <row r="3413" spans="1:9" ht="15">
      <c r="A3413" s="21">
        <f t="shared" si="63"/>
        <v>106</v>
      </c>
      <c r="B3413" s="14" t="s">
        <v>4530</v>
      </c>
      <c r="C3413" s="85" t="str">
        <f ca="1">IFERROR(__xludf.DUMMYFUNCTION("GOOGLETRANSLATE(B3413:B3428,""RU"",""UK"")"),"Мітчик М - 20х2гаєч. / 20х2гаєч. Нурка")</f>
        <v>Мітчик М - 20х2гаєч. / 20х2гаєч. Нурка</v>
      </c>
      <c r="D3413" s="15" t="s">
        <v>6</v>
      </c>
      <c r="E3413" s="15" t="s">
        <v>4531</v>
      </c>
      <c r="F3413" s="91" t="s">
        <v>20</v>
      </c>
      <c r="G3413" s="4"/>
      <c r="H3413" s="4"/>
      <c r="I3413" s="4"/>
    </row>
    <row r="3414" spans="1:9" ht="15">
      <c r="A3414" s="21">
        <f t="shared" si="63"/>
        <v>107</v>
      </c>
      <c r="B3414" s="14" t="s">
        <v>4532</v>
      </c>
      <c r="C3414" s="85" t="str">
        <f ca="1">IFERROR(__xludf.DUMMYFUNCTION("GOOGLETRANSLATE(B3414:B3429,""RU"",""UK"")"),"Мітчик М - 20х1,5/20х2,0 маш")</f>
        <v>Мітчик М - 20х1,5/20х2,0 маш</v>
      </c>
      <c r="D3414" s="15" t="s">
        <v>6</v>
      </c>
      <c r="E3414" s="15" t="s">
        <v>4533</v>
      </c>
      <c r="F3414" s="91" t="s">
        <v>20</v>
      </c>
      <c r="G3414" s="4"/>
      <c r="H3414" s="4"/>
      <c r="I3414" s="4"/>
    </row>
    <row r="3415" spans="1:9" ht="15">
      <c r="A3415" s="21">
        <f t="shared" si="63"/>
        <v>108</v>
      </c>
      <c r="B3415" s="14" t="s">
        <v>4534</v>
      </c>
      <c r="C3415" s="85" t="str">
        <f ca="1">IFERROR(__xludf.DUMMYFUNCTION("GOOGLETRANSLATE(B3415:B3430,""RU"",""UK"")"),"Мітчик М - 20х1, 5ВК8 / 20х2, 0ВК8")</f>
        <v>Мітчик М - 20х1, 5ВК8 / 20х2, 0ВК8</v>
      </c>
      <c r="D3415" s="15" t="s">
        <v>6</v>
      </c>
      <c r="E3415" s="15" t="s">
        <v>920</v>
      </c>
      <c r="F3415" s="91" t="s">
        <v>24</v>
      </c>
      <c r="G3415" s="4"/>
      <c r="H3415" s="4"/>
      <c r="I3415" s="4"/>
    </row>
    <row r="3416" spans="1:9" ht="15">
      <c r="A3416" s="21">
        <f t="shared" si="63"/>
        <v>109</v>
      </c>
      <c r="B3416" s="14" t="s">
        <v>4535</v>
      </c>
      <c r="C3416" s="85" t="str">
        <f ca="1">IFERROR(__xludf.DUMMYFUNCTION("GOOGLETRANSLATE(B3416:B3431,""RU"",""UK"")"),"Мітчик М - 20х1,0/20х1,5/20х2м/р")</f>
        <v>Мітчик М - 20х1,0/20х1,5/20х2м/р</v>
      </c>
      <c r="D3416" s="15" t="s">
        <v>4370</v>
      </c>
      <c r="E3416" s="15" t="s">
        <v>4536</v>
      </c>
      <c r="F3416" s="91" t="s">
        <v>106</v>
      </c>
      <c r="G3416" s="4"/>
      <c r="H3416" s="4"/>
      <c r="I3416" s="4"/>
    </row>
    <row r="3417" spans="1:9" ht="15">
      <c r="A3417" s="21">
        <f t="shared" si="63"/>
        <v>110</v>
      </c>
      <c r="B3417" s="14" t="s">
        <v>4537</v>
      </c>
      <c r="C3417" s="85" t="str">
        <f ca="1">IFERROR(__xludf.DUMMYFUNCTION("GOOGLETRANSLATE(B3417:B3432,""RU"",""UK"")"),"Мітчик М - 20лев / 20х1, 5лев.")</f>
        <v>Мітчик М - 20лев / 20х1, 5лев.</v>
      </c>
      <c r="D3417" s="15" t="s">
        <v>6</v>
      </c>
      <c r="E3417" s="15" t="s">
        <v>4122</v>
      </c>
      <c r="F3417" s="91" t="s">
        <v>162</v>
      </c>
      <c r="G3417" s="4"/>
      <c r="H3417" s="4"/>
      <c r="I3417" s="4"/>
    </row>
    <row r="3418" spans="1:9" ht="15">
      <c r="A3418" s="21">
        <f t="shared" si="63"/>
        <v>111</v>
      </c>
      <c r="B3418" s="19" t="s">
        <v>4538</v>
      </c>
      <c r="C3418" s="85" t="str">
        <f ca="1">IFERROR(__xludf.DUMMYFUNCTION("GOOGLETRANSLATE(B3418:B3433,""RU"",""UK"")"),"Мітчик М - 20х1, 5лев.")</f>
        <v>Мітчик М - 20х1, 5лев.</v>
      </c>
      <c r="D3418" s="15" t="s">
        <v>4370</v>
      </c>
      <c r="E3418" s="15">
        <v>0</v>
      </c>
      <c r="F3418" s="91" t="s">
        <v>272</v>
      </c>
      <c r="G3418" s="4"/>
      <c r="H3418" s="4"/>
      <c r="I3418" s="4"/>
    </row>
    <row r="3419" spans="1:9" ht="15">
      <c r="A3419" s="21">
        <f t="shared" si="63"/>
        <v>112</v>
      </c>
      <c r="B3419" s="14" t="s">
        <v>4539</v>
      </c>
      <c r="C3419" s="85" t="str">
        <f ca="1">IFERROR(__xludf.DUMMYFUNCTION("GOOGLETRANSLATE(B3419:B3434,""RU"",""UK"")"),"Мітчик М - 20х4 трапеція")</f>
        <v>Мітчик М - 20х4 трапеція</v>
      </c>
      <c r="D3419" s="15" t="s">
        <v>6</v>
      </c>
      <c r="E3419" s="17">
        <v>3</v>
      </c>
      <c r="F3419" s="92" t="s">
        <v>75</v>
      </c>
      <c r="G3419" s="4"/>
      <c r="H3419" s="4"/>
      <c r="I3419" s="4"/>
    </row>
    <row r="3420" spans="1:9" ht="15">
      <c r="A3420" s="21">
        <f t="shared" si="63"/>
        <v>113</v>
      </c>
      <c r="B3420" s="14" t="s">
        <v>4540</v>
      </c>
      <c r="C3420" s="85" t="str">
        <f ca="1">IFERROR(__xludf.DUMMYFUNCTION("GOOGLETRANSLATE(B3420:B3435,""RU"",""UK"")"),"Мітчик М - 20х4 трапеція (б/в)")</f>
        <v>Мітчик М - 20х4 трапеція (б/в)</v>
      </c>
      <c r="D3420" s="15" t="s">
        <v>6</v>
      </c>
      <c r="E3420" s="17">
        <v>1</v>
      </c>
      <c r="F3420" s="92" t="s">
        <v>102</v>
      </c>
      <c r="G3420" s="4"/>
      <c r="H3420" s="4"/>
      <c r="I3420" s="4"/>
    </row>
    <row r="3421" spans="1:9" ht="15">
      <c r="A3421" s="21">
        <f t="shared" si="63"/>
        <v>114</v>
      </c>
      <c r="B3421" s="14" t="s">
        <v>4541</v>
      </c>
      <c r="C3421" s="85" t="str">
        <f ca="1">IFERROR(__xludf.DUMMYFUNCTION("GOOGLETRANSLATE(B3421:B3436,""RU"",""UK"")"),"Мітчик М - 22/22х1")</f>
        <v>Мітчик М - 22/22х1</v>
      </c>
      <c r="D3421" s="15" t="s">
        <v>6</v>
      </c>
      <c r="E3421" s="15" t="s">
        <v>4542</v>
      </c>
      <c r="F3421" s="91" t="s">
        <v>140</v>
      </c>
      <c r="G3421" s="4"/>
      <c r="H3421" s="4"/>
      <c r="I3421" s="4"/>
    </row>
    <row r="3422" spans="1:9" ht="15">
      <c r="A3422" s="21">
        <f t="shared" si="63"/>
        <v>115</v>
      </c>
      <c r="B3422" s="14" t="s">
        <v>4543</v>
      </c>
      <c r="C3422" s="85" t="str">
        <f ca="1">IFERROR(__xludf.DUMMYFUNCTION("GOOGLETRANSLATE(B3422:B3437,""RU"",""UK"")"),"Мітчик М - 22х1гаеч. / 22х1,5 гаєч / 22гаєч.")</f>
        <v>Мітчик М - 22х1гаеч. / 22х1,5 гаєч / 22гаєч.</v>
      </c>
      <c r="D3422" s="15" t="s">
        <v>6</v>
      </c>
      <c r="E3422" s="15" t="s">
        <v>4544</v>
      </c>
      <c r="F3422" s="91" t="s">
        <v>24</v>
      </c>
      <c r="G3422" s="4"/>
      <c r="H3422" s="4"/>
      <c r="I3422" s="4"/>
    </row>
    <row r="3423" spans="1:9" ht="15">
      <c r="A3423" s="21">
        <f t="shared" si="63"/>
        <v>116</v>
      </c>
      <c r="B3423" s="14" t="s">
        <v>4545</v>
      </c>
      <c r="C3423" s="85" t="str">
        <f ca="1">IFERROR(__xludf.DUMMYFUNCTION("GOOGLETRANSLATE(B3423:B3438,""RU"",""UK"")"),"Мітчик М - 22лев")</f>
        <v>Мітчик М - 22лев</v>
      </c>
      <c r="D3423" s="15" t="s">
        <v>6</v>
      </c>
      <c r="E3423" s="15">
        <v>2</v>
      </c>
      <c r="F3423" s="91" t="s">
        <v>24</v>
      </c>
      <c r="G3423" s="4"/>
      <c r="H3423" s="4"/>
      <c r="I3423" s="4"/>
    </row>
    <row r="3424" spans="1:9" ht="15">
      <c r="A3424" s="21">
        <f t="shared" si="63"/>
        <v>117</v>
      </c>
      <c r="B3424" s="14" t="s">
        <v>4546</v>
      </c>
      <c r="C3424" s="85" t="str">
        <f ca="1">IFERROR(__xludf.DUMMYFUNCTION("GOOGLETRANSLATE(B3424:B3439,""RU"",""UK"")"),"Мітчик М - 22")</f>
        <v>Мітчик М - 22</v>
      </c>
      <c r="D3424" s="15" t="s">
        <v>4370</v>
      </c>
      <c r="E3424" s="15">
        <v>33</v>
      </c>
      <c r="F3424" s="91" t="s">
        <v>16</v>
      </c>
      <c r="G3424" s="4"/>
      <c r="H3424" s="4"/>
      <c r="I3424" s="4"/>
    </row>
    <row r="3425" spans="1:9" ht="15">
      <c r="A3425" s="21">
        <f t="shared" si="63"/>
        <v>118</v>
      </c>
      <c r="B3425" s="16" t="s">
        <v>4547</v>
      </c>
      <c r="C3425" s="85" t="str">
        <f ca="1">IFERROR(__xludf.DUMMYFUNCTION("GOOGLETRANSLATE(B3425:B3440,""RU"",""UK"")"),"Мітчик М - 22х0,75/22х1 м/р.")</f>
        <v>Мітчик М - 22х0,75/22х1 м/р.</v>
      </c>
      <c r="D3425" s="17" t="s">
        <v>4370</v>
      </c>
      <c r="E3425" s="17" t="s">
        <v>1599</v>
      </c>
      <c r="F3425" s="91" t="s">
        <v>16</v>
      </c>
      <c r="G3425" s="4"/>
      <c r="H3425" s="4"/>
      <c r="I3425" s="4"/>
    </row>
    <row r="3426" spans="1:9" ht="15">
      <c r="A3426" s="21">
        <f t="shared" si="63"/>
        <v>119</v>
      </c>
      <c r="B3426" s="19" t="s">
        <v>4548</v>
      </c>
      <c r="C3426" s="85" t="str">
        <f ca="1">IFERROR(__xludf.DUMMYFUNCTION("GOOGLETRANSLATE(B3426:B3441,""RU"",""UK"")"),"Мітчик М - 22х1,5 м/р. / 22х2")</f>
        <v>Мітчик М - 22х1,5 м/р. / 22х2</v>
      </c>
      <c r="D3426" s="15" t="s">
        <v>4370</v>
      </c>
      <c r="E3426" s="15" t="s">
        <v>3137</v>
      </c>
      <c r="F3426" s="91" t="s">
        <v>4549</v>
      </c>
      <c r="G3426" s="4"/>
      <c r="H3426" s="4"/>
      <c r="I3426" s="4"/>
    </row>
    <row r="3427" spans="1:9" ht="15">
      <c r="A3427" s="21">
        <f t="shared" si="63"/>
        <v>120</v>
      </c>
      <c r="B3427" s="14" t="s">
        <v>4550</v>
      </c>
      <c r="C3427" s="85" t="str">
        <f ca="1">IFERROR(__xludf.DUMMYFUNCTION("GOOGLETRANSLATE(B3427:B3442,""RU"",""UK"")"),"Мітчик М - 22х1, 5/22х2")</f>
        <v>Мітчик М - 22х1, 5/22х2</v>
      </c>
      <c r="D3427" s="15" t="s">
        <v>6</v>
      </c>
      <c r="E3427" s="15" t="s">
        <v>4551</v>
      </c>
      <c r="F3427" s="91" t="s">
        <v>16</v>
      </c>
      <c r="G3427" s="4"/>
      <c r="H3427" s="4"/>
      <c r="I3427" s="4"/>
    </row>
    <row r="3428" spans="1:9" ht="15">
      <c r="A3428" s="21">
        <f t="shared" si="63"/>
        <v>121</v>
      </c>
      <c r="B3428" s="14" t="s">
        <v>4552</v>
      </c>
      <c r="C3428" s="85" t="str">
        <f ca="1">IFERROR(__xludf.DUMMYFUNCTION("GOOGLETRANSLATE(B3428:B3443,""RU"",""UK"")"),"Мітчик М - 22х1.5лев / М22лев")</f>
        <v>Мітчик М - 22х1.5лев / М22лев</v>
      </c>
      <c r="D3428" s="15" t="s">
        <v>4370</v>
      </c>
      <c r="E3428" s="15" t="s">
        <v>793</v>
      </c>
      <c r="F3428" s="91" t="s">
        <v>4553</v>
      </c>
      <c r="G3428" s="4"/>
      <c r="H3428" s="4"/>
      <c r="I3428" s="4"/>
    </row>
    <row r="3429" spans="1:9" ht="15">
      <c r="A3429" s="21">
        <f t="shared" si="63"/>
        <v>122</v>
      </c>
      <c r="B3429" s="14" t="s">
        <v>4554</v>
      </c>
      <c r="C3429" s="85" t="str">
        <f ca="1">IFERROR(__xludf.DUMMYFUNCTION("GOOGLETRANSLATE(B3429:B3444,""RU"",""UK"")"),"Мітчик М - 22х3 трапеція")</f>
        <v>Мітчик М - 22х3 трапеція</v>
      </c>
      <c r="D3429" s="15" t="s">
        <v>6</v>
      </c>
      <c r="E3429" s="15">
        <v>3</v>
      </c>
      <c r="F3429" s="91" t="s">
        <v>38</v>
      </c>
      <c r="G3429" s="4"/>
      <c r="H3429" s="4"/>
      <c r="I3429" s="4"/>
    </row>
    <row r="3430" spans="1:9" ht="15">
      <c r="A3430" s="21">
        <f t="shared" si="63"/>
        <v>123</v>
      </c>
      <c r="B3430" s="14" t="s">
        <v>4555</v>
      </c>
      <c r="C3430" s="85" t="str">
        <f ca="1">IFERROR(__xludf.DUMMYFUNCTION("GOOGLETRANSLATE(B3430:B3445,""RU"",""UK"")"),"Мітчик М - 24/24х1,0 маш.")</f>
        <v>Мітчик М - 24/24х1,0 маш.</v>
      </c>
      <c r="D3430" s="15" t="s">
        <v>6</v>
      </c>
      <c r="E3430" s="15" t="s">
        <v>4556</v>
      </c>
      <c r="F3430" s="91" t="s">
        <v>16</v>
      </c>
      <c r="G3430" s="4"/>
      <c r="H3430" s="4"/>
      <c r="I3430" s="4"/>
    </row>
    <row r="3431" spans="1:9" ht="15">
      <c r="A3431" s="21">
        <f t="shared" si="63"/>
        <v>124</v>
      </c>
      <c r="B3431" s="36" t="s">
        <v>4557</v>
      </c>
      <c r="C3431" s="85" t="str">
        <f ca="1">IFERROR(__xludf.DUMMYFUNCTION("GOOGLETRANSLATE(B3431:B3446,""RU"",""UK"")"),"Мітчик М - 24 гвинтовий маш. Р6М5")</f>
        <v>Мітчик М - 24 гвинтовий маш. Р6М5</v>
      </c>
      <c r="D3431" s="71" t="s">
        <v>6</v>
      </c>
      <c r="E3431" s="71">
        <v>8</v>
      </c>
      <c r="F3431" s="107" t="s">
        <v>272</v>
      </c>
      <c r="G3431" s="4"/>
      <c r="H3431" s="4"/>
      <c r="I3431" s="4"/>
    </row>
    <row r="3432" spans="1:9" ht="15">
      <c r="A3432" s="21">
        <f t="shared" si="63"/>
        <v>125</v>
      </c>
      <c r="B3432" s="14" t="s">
        <v>4558</v>
      </c>
      <c r="C3432" s="85" t="str">
        <f ca="1">IFERROR(__xludf.DUMMYFUNCTION("GOOGLETRANSLATE(B3432:B3447,""RU"",""UK"")"),"Мітчик М - 24х1, 5/24х2маш.")</f>
        <v>Мітчик М - 24х1, 5/24х2маш.</v>
      </c>
      <c r="D3432" s="15" t="s">
        <v>6</v>
      </c>
      <c r="E3432" s="15" t="s">
        <v>4559</v>
      </c>
      <c r="F3432" s="91" t="s">
        <v>16</v>
      </c>
      <c r="G3432" s="4"/>
      <c r="H3432" s="4"/>
      <c r="I3432" s="4"/>
    </row>
    <row r="3433" spans="1:9" ht="15">
      <c r="A3433" s="21">
        <f t="shared" si="63"/>
        <v>126</v>
      </c>
      <c r="B3433" s="16" t="s">
        <v>4560</v>
      </c>
      <c r="C3433" s="85" t="str">
        <f ca="1">IFERROR(__xludf.DUMMYFUNCTION("GOOGLETRANSLATE(B3433:B3448,""RU"",""UK"")"),"Мітчик М - 24лев / 24х1, 5лев. / 24х2лев.")</f>
        <v>Мітчик М - 24лев / 24х1, 5лев. / 24х2лев.</v>
      </c>
      <c r="D3433" s="15" t="s">
        <v>6</v>
      </c>
      <c r="E3433" s="15" t="s">
        <v>905</v>
      </c>
      <c r="F3433" s="91" t="s">
        <v>272</v>
      </c>
      <c r="G3433" s="4"/>
      <c r="H3433" s="4"/>
      <c r="I3433" s="4"/>
    </row>
    <row r="3434" spans="1:9" ht="15">
      <c r="A3434" s="21">
        <f t="shared" si="63"/>
        <v>127</v>
      </c>
      <c r="B3434" s="14" t="s">
        <v>4561</v>
      </c>
      <c r="C3434" s="85" t="str">
        <f ca="1">IFERROR(__xludf.DUMMYFUNCTION("GOOGLETRANSLATE(B3434:B3449,""RU"",""UK"")"),"Мітчик М - 24х1, 5лев. Р18")</f>
        <v>Мітчик М - 24х1, 5лев. Р18</v>
      </c>
      <c r="D3434" s="15" t="s">
        <v>6</v>
      </c>
      <c r="E3434" s="15">
        <v>5</v>
      </c>
      <c r="F3434" s="91" t="s">
        <v>53</v>
      </c>
      <c r="G3434" s="4"/>
      <c r="H3434" s="4"/>
      <c r="I3434" s="4"/>
    </row>
    <row r="3435" spans="1:9" ht="15">
      <c r="A3435" s="21">
        <f t="shared" si="63"/>
        <v>128</v>
      </c>
      <c r="B3435" s="16" t="s">
        <v>4562</v>
      </c>
      <c r="C3435" s="85" t="str">
        <f ca="1">IFERROR(__xludf.DUMMYFUNCTION("GOOGLETRANSLATE(B3435:B3450,""RU"",""UK"")"),"Мітчик М - 24 м/р Р6М5")</f>
        <v>Мітчик М - 24 м/р Р6М5</v>
      </c>
      <c r="D3435" s="15" t="s">
        <v>4370</v>
      </c>
      <c r="E3435" s="15">
        <v>5</v>
      </c>
      <c r="F3435" s="91" t="s">
        <v>22</v>
      </c>
      <c r="G3435" s="4"/>
      <c r="H3435" s="4"/>
      <c r="I3435" s="4"/>
    </row>
    <row r="3436" spans="1:9" ht="15">
      <c r="A3436" s="21">
        <f t="shared" si="63"/>
        <v>129</v>
      </c>
      <c r="B3436" s="16" t="s">
        <v>4563</v>
      </c>
      <c r="C3436" s="85" t="str">
        <f ca="1">IFERROR(__xludf.DUMMYFUNCTION("GOOGLETRANSLATE(B3436:B3451,""RU"",""UK"")"),"Мітчик М - 24 м/р Р18")</f>
        <v>Мітчик М - 24 м/р Р18</v>
      </c>
      <c r="D3436" s="15" t="s">
        <v>4370</v>
      </c>
      <c r="E3436" s="15">
        <v>2</v>
      </c>
      <c r="F3436" s="91" t="s">
        <v>18</v>
      </c>
      <c r="G3436" s="4"/>
      <c r="H3436" s="4"/>
      <c r="I3436" s="4"/>
    </row>
    <row r="3437" spans="1:9" ht="15">
      <c r="A3437" s="21">
        <f t="shared" si="63"/>
        <v>130</v>
      </c>
      <c r="B3437" s="16" t="s">
        <v>4564</v>
      </c>
      <c r="C3437" s="85" t="str">
        <f ca="1">IFERROR(__xludf.DUMMYFUNCTION("GOOGLETRANSLATE(B3437:B3452,""RU"",""UK"")"),"Мітчик М - 24 м/р Р6М5 (з 3х шт)")</f>
        <v>Мітчик М - 24 м/р Р6М5 (з 3х шт)</v>
      </c>
      <c r="D3437" s="15" t="s">
        <v>4370</v>
      </c>
      <c r="E3437" s="15">
        <v>3</v>
      </c>
      <c r="F3437" s="91" t="s">
        <v>18</v>
      </c>
      <c r="G3437" s="4"/>
      <c r="H3437" s="4"/>
      <c r="I3437" s="4"/>
    </row>
    <row r="3438" spans="1:9" ht="15">
      <c r="A3438" s="21">
        <f t="shared" ref="A3438:A3501" si="64">A3437+1</f>
        <v>131</v>
      </c>
      <c r="B3438" s="19" t="s">
        <v>4565</v>
      </c>
      <c r="C3438" s="85" t="str">
        <f ca="1">IFERROR(__xludf.DUMMYFUNCTION("GOOGLETRANSLATE(B3438:B3453,""RU"",""UK"")"),"Мітчик М - 24 м/р лев")</f>
        <v>Мітчик М - 24 м/р лев</v>
      </c>
      <c r="D3438" s="15" t="s">
        <v>4370</v>
      </c>
      <c r="E3438" s="15">
        <v>0</v>
      </c>
      <c r="F3438" s="91" t="s">
        <v>272</v>
      </c>
      <c r="G3438" s="4"/>
      <c r="H3438" s="4"/>
      <c r="I3438" s="4"/>
    </row>
    <row r="3439" spans="1:9" ht="15">
      <c r="A3439" s="21">
        <f t="shared" si="64"/>
        <v>132</v>
      </c>
      <c r="B3439" s="16" t="s">
        <v>4566</v>
      </c>
      <c r="C3439" s="85" t="str">
        <f ca="1">IFERROR(__xludf.DUMMYFUNCTION("GOOGLETRANSLATE(B3439:B3454,""RU"",""UK"")"),"Мітчик М - 24х0,75/24х1 маш./руч.")</f>
        <v>Мітчик М - 24х0,75/24х1 маш./руч.</v>
      </c>
      <c r="D3439" s="15" t="s">
        <v>4370</v>
      </c>
      <c r="E3439" s="15" t="s">
        <v>4567</v>
      </c>
      <c r="F3439" s="91" t="s">
        <v>53</v>
      </c>
      <c r="G3439" s="4"/>
      <c r="H3439" s="4"/>
      <c r="I3439" s="4"/>
    </row>
    <row r="3440" spans="1:9" ht="15">
      <c r="A3440" s="21">
        <f t="shared" si="64"/>
        <v>133</v>
      </c>
      <c r="B3440" s="14" t="s">
        <v>4568</v>
      </c>
      <c r="C3440" s="85" t="str">
        <f ca="1">IFERROR(__xludf.DUMMYFUNCTION("GOOGLETRANSLATE(B3440:B3455,""RU"",""UK"")"),"Мітчик М - 24х1,5/24х2маш./руч.")</f>
        <v>Мітчик М - 24х1,5/24х2маш./руч.</v>
      </c>
      <c r="D3440" s="15" t="s">
        <v>4370</v>
      </c>
      <c r="E3440" s="15" t="s">
        <v>4569</v>
      </c>
      <c r="F3440" s="91" t="s">
        <v>53</v>
      </c>
      <c r="G3440" s="4"/>
      <c r="H3440" s="4"/>
      <c r="I3440" s="4"/>
    </row>
    <row r="3441" spans="1:9" ht="15">
      <c r="A3441" s="21">
        <f t="shared" si="64"/>
        <v>134</v>
      </c>
      <c r="B3441" s="14" t="s">
        <v>4570</v>
      </c>
      <c r="C3441" s="85" t="str">
        <f ca="1">IFERROR(__xludf.DUMMYFUNCTION("GOOGLETRANSLATE(B3441:B3456,""RU"",""UK"")"),"Мітчик М - 24х1,5 Лев. / 24х1, 5 (їх 3х шт) Лев.")</f>
        <v>Мітчик М - 24х1,5 Лев. / 24х1, 5 (їх 3х шт) Лев.</v>
      </c>
      <c r="D3441" s="15" t="s">
        <v>4370</v>
      </c>
      <c r="E3441" s="15" t="s">
        <v>3720</v>
      </c>
      <c r="F3441" s="91" t="s">
        <v>138</v>
      </c>
      <c r="G3441" s="4"/>
      <c r="H3441" s="4"/>
      <c r="I3441" s="4"/>
    </row>
    <row r="3442" spans="1:9" ht="15">
      <c r="A3442" s="21">
        <f t="shared" si="64"/>
        <v>135</v>
      </c>
      <c r="B3442" s="14" t="s">
        <v>4571</v>
      </c>
      <c r="C3442" s="85" t="str">
        <f ca="1">IFERROR(__xludf.DUMMYFUNCTION("GOOGLETRANSLATE(B3442:B3457,""RU"",""UK"")"),"Мітчик М - 24гаєч. / 24гаєч. нурка")</f>
        <v>Мітчик М - 24гаєч. / 24гаєч. нурка</v>
      </c>
      <c r="D3442" s="15" t="s">
        <v>6</v>
      </c>
      <c r="E3442" s="15" t="s">
        <v>4572</v>
      </c>
      <c r="F3442" s="91" t="s">
        <v>22</v>
      </c>
      <c r="G3442" s="4"/>
      <c r="H3442" s="4"/>
      <c r="I3442" s="4"/>
    </row>
    <row r="3443" spans="1:9" ht="15">
      <c r="A3443" s="21">
        <f t="shared" si="64"/>
        <v>136</v>
      </c>
      <c r="B3443" s="14" t="s">
        <v>4573</v>
      </c>
      <c r="C3443" s="85" t="str">
        <f ca="1">IFERROR(__xludf.DUMMYFUNCTION("GOOGLETRANSLATE(B3443:B3458,""RU"",""UK"")"),"Мітчик М - 24х1 гаєч. / 24х2 гаєч. / 24х1,5 гаєч.")</f>
        <v>Мітчик М - 24х1 гаєч. / 24х2 гаєч. / 24х1,5 гаєч.</v>
      </c>
      <c r="D3443" s="15" t="s">
        <v>6</v>
      </c>
      <c r="E3443" s="15" t="s">
        <v>4574</v>
      </c>
      <c r="F3443" s="91" t="s">
        <v>22</v>
      </c>
      <c r="G3443" s="4"/>
      <c r="H3443" s="4"/>
      <c r="I3443" s="4"/>
    </row>
    <row r="3444" spans="1:9" ht="15">
      <c r="A3444" s="21">
        <f t="shared" si="64"/>
        <v>137</v>
      </c>
      <c r="B3444" s="19" t="s">
        <v>4575</v>
      </c>
      <c r="C3444" s="85" t="str">
        <f ca="1">IFERROR(__xludf.DUMMYFUNCTION("GOOGLETRANSLATE(B3444:B3459,""RU"",""UK"")"),"Мітчик М - 24х5 трапеція м/р Р6М5 глухий")</f>
        <v>Мітчик М - 24х5 трапеція м/р Р6М5 глухий</v>
      </c>
      <c r="D3444" s="15" t="s">
        <v>6</v>
      </c>
      <c r="E3444" s="15">
        <v>0</v>
      </c>
      <c r="F3444" s="91" t="s">
        <v>36</v>
      </c>
      <c r="G3444" s="4"/>
      <c r="H3444" s="4"/>
      <c r="I3444" s="4"/>
    </row>
    <row r="3445" spans="1:9" ht="15">
      <c r="A3445" s="21">
        <f t="shared" si="64"/>
        <v>138</v>
      </c>
      <c r="B3445" s="19" t="s">
        <v>4576</v>
      </c>
      <c r="C3445" s="85" t="str">
        <f ca="1">IFERROR(__xludf.DUMMYFUNCTION("GOOGLETRANSLATE(B3445:B3460,""RU"",""UK"")"),"Мітчик М - 25х1,5 м/р")</f>
        <v>Мітчик М - 25х1,5 м/р</v>
      </c>
      <c r="D3445" s="15" t="s">
        <v>4370</v>
      </c>
      <c r="E3445" s="15">
        <v>1</v>
      </c>
      <c r="F3445" s="91" t="s">
        <v>53</v>
      </c>
      <c r="G3445" s="4"/>
      <c r="H3445" s="4"/>
      <c r="I3445" s="4"/>
    </row>
    <row r="3446" spans="1:9" ht="15">
      <c r="A3446" s="21">
        <f t="shared" si="64"/>
        <v>139</v>
      </c>
      <c r="B3446" s="14" t="s">
        <v>4577</v>
      </c>
      <c r="C3446" s="85" t="str">
        <f ca="1">IFERROR(__xludf.DUMMYFUNCTION("GOOGLETRANSLATE(B3446:B3461,""RU"",""UK"")"),"Мітчик М - 26х2 маш.")</f>
        <v>Мітчик М - 26х2 маш.</v>
      </c>
      <c r="D3446" s="15" t="s">
        <v>6</v>
      </c>
      <c r="E3446" s="15">
        <v>1</v>
      </c>
      <c r="F3446" s="91" t="s">
        <v>18</v>
      </c>
      <c r="G3446" s="4"/>
      <c r="H3446" s="4"/>
      <c r="I3446" s="4"/>
    </row>
    <row r="3447" spans="1:9" ht="15">
      <c r="A3447" s="21">
        <f t="shared" si="64"/>
        <v>140</v>
      </c>
      <c r="B3447" s="14" t="s">
        <v>4578</v>
      </c>
      <c r="C3447" s="85" t="str">
        <f ca="1">IFERROR(__xludf.DUMMYFUNCTION("GOOGLETRANSLATE(B3447:B3462,""RU"",""UK"")"),"Мітчик М - 27 / 27ВК8 / 27х1,0")</f>
        <v>Мітчик М - 27 / 27ВК8 / 27х1,0</v>
      </c>
      <c r="D3447" s="15" t="s">
        <v>6</v>
      </c>
      <c r="E3447" s="15" t="s">
        <v>4579</v>
      </c>
      <c r="F3447" s="91" t="s">
        <v>22</v>
      </c>
      <c r="G3447" s="4"/>
      <c r="H3447" s="4"/>
      <c r="I3447" s="4"/>
    </row>
    <row r="3448" spans="1:9" ht="15">
      <c r="A3448" s="21">
        <f t="shared" si="64"/>
        <v>141</v>
      </c>
      <c r="B3448" s="36" t="s">
        <v>4580</v>
      </c>
      <c r="C3448" s="85" t="str">
        <f ca="1">IFERROR(__xludf.DUMMYFUNCTION("GOOGLETRANSLATE(B3448:B3463,""RU"",""UK"")"),"Мітчик М - 27 гвинтовий маш. Р18")</f>
        <v>Мітчик М - 27 гвинтовий маш. Р18</v>
      </c>
      <c r="D3448" s="71" t="s">
        <v>6</v>
      </c>
      <c r="E3448" s="71">
        <v>6</v>
      </c>
      <c r="F3448" s="107" t="s">
        <v>18</v>
      </c>
      <c r="G3448" s="4"/>
      <c r="H3448" s="4"/>
      <c r="I3448" s="4"/>
    </row>
    <row r="3449" spans="1:9" ht="15">
      <c r="A3449" s="21">
        <f t="shared" si="64"/>
        <v>142</v>
      </c>
      <c r="B3449" s="14" t="s">
        <v>4581</v>
      </c>
      <c r="C3449" s="85" t="str">
        <f ca="1">IFERROR(__xludf.DUMMYFUNCTION("GOOGLETRANSLATE(B3449:B3464,""RU"",""UK"")"),"Мітчик М - 27 гаєч.")</f>
        <v>Мітчик М - 27 гаєч.</v>
      </c>
      <c r="D3449" s="15" t="s">
        <v>6</v>
      </c>
      <c r="E3449" s="15">
        <v>80</v>
      </c>
      <c r="F3449" s="91" t="s">
        <v>272</v>
      </c>
      <c r="G3449" s="4"/>
      <c r="H3449" s="4"/>
      <c r="I3449" s="4"/>
    </row>
    <row r="3450" spans="1:9" ht="15">
      <c r="A3450" s="21">
        <f t="shared" si="64"/>
        <v>143</v>
      </c>
      <c r="B3450" s="14" t="s">
        <v>4582</v>
      </c>
      <c r="C3450" s="85" t="str">
        <f ca="1">IFERROR(__xludf.DUMMYFUNCTION("GOOGLETRANSLATE(B3450:B3465,""RU"",""UK"")"),"Мітчик М - 27лев / 27х2 гаєч. лев.")</f>
        <v>Мітчик М - 27лев / 27х2 гаєч. лев.</v>
      </c>
      <c r="D3450" s="15" t="s">
        <v>6</v>
      </c>
      <c r="E3450" s="15" t="s">
        <v>749</v>
      </c>
      <c r="F3450" s="91" t="s">
        <v>18</v>
      </c>
      <c r="G3450" s="4"/>
      <c r="H3450" s="4"/>
      <c r="I3450" s="4"/>
    </row>
    <row r="3451" spans="1:9" ht="15">
      <c r="A3451" s="21">
        <f t="shared" si="64"/>
        <v>144</v>
      </c>
      <c r="B3451" s="14" t="s">
        <v>4583</v>
      </c>
      <c r="C3451" s="85" t="str">
        <f ca="1">IFERROR(__xludf.DUMMYFUNCTION("GOOGLETRANSLATE(B3451:B3466,""RU"",""UK"")"),"Мітчик М - 27/27х0.75 маш./руч.")</f>
        <v>Мітчик М - 27/27х0.75 маш./руч.</v>
      </c>
      <c r="D3451" s="15" t="s">
        <v>4370</v>
      </c>
      <c r="E3451" s="15" t="s">
        <v>4584</v>
      </c>
      <c r="F3451" s="91" t="s">
        <v>36</v>
      </c>
      <c r="G3451" s="4"/>
      <c r="H3451" s="4"/>
      <c r="I3451" s="4"/>
    </row>
    <row r="3452" spans="1:9" ht="15">
      <c r="A3452" s="21">
        <f t="shared" si="64"/>
        <v>145</v>
      </c>
      <c r="B3452" s="14" t="s">
        <v>4585</v>
      </c>
      <c r="C3452" s="85" t="str">
        <f ca="1">IFERROR(__xludf.DUMMYFUNCTION("GOOGLETRANSLATE(B3452:B3467,""RU"",""UK"")"),"Мітчик М - 27х1,0/27х1,5 маш./руч.")</f>
        <v>Мітчик М - 27х1,0/27х1,5 маш./руч.</v>
      </c>
      <c r="D3452" s="15" t="s">
        <v>4370</v>
      </c>
      <c r="E3452" s="15" t="s">
        <v>4586</v>
      </c>
      <c r="F3452" s="91" t="s">
        <v>36</v>
      </c>
      <c r="G3452" s="4"/>
      <c r="H3452" s="4"/>
      <c r="I3452" s="4"/>
    </row>
    <row r="3453" spans="1:9" ht="15">
      <c r="A3453" s="21">
        <f t="shared" si="64"/>
        <v>146</v>
      </c>
      <c r="B3453" s="14" t="s">
        <v>4587</v>
      </c>
      <c r="C3453" s="85" t="str">
        <f ca="1">IFERROR(__xludf.DUMMYFUNCTION("GOOGLETRANSLATE(B3453:B3468,""RU"",""UK"")"),"Мітчик М - 27х1, 5/27х2 маш.")</f>
        <v>Мітчик М - 27х1, 5/27х2 маш.</v>
      </c>
      <c r="D3453" s="15" t="s">
        <v>6</v>
      </c>
      <c r="E3453" s="15" t="s">
        <v>4588</v>
      </c>
      <c r="F3453" s="91" t="s">
        <v>22</v>
      </c>
      <c r="G3453" s="4"/>
      <c r="H3453" s="4"/>
      <c r="I3453" s="4"/>
    </row>
    <row r="3454" spans="1:9" ht="15">
      <c r="A3454" s="21">
        <f t="shared" si="64"/>
        <v>147</v>
      </c>
      <c r="B3454" s="14" t="s">
        <v>4589</v>
      </c>
      <c r="C3454" s="85" t="str">
        <f ca="1">IFERROR(__xludf.DUMMYFUNCTION("GOOGLETRANSLATE(B3454:B3469,""RU"",""UK"")"),"Мітчик М - 27х2 гаєч. / 27х1,5 гаєч.")</f>
        <v>Мітчик М - 27х2 гаєч. / 27х1,5 гаєч.</v>
      </c>
      <c r="D3454" s="15" t="s">
        <v>6</v>
      </c>
      <c r="E3454" s="15" t="s">
        <v>4590</v>
      </c>
      <c r="F3454" s="91" t="s">
        <v>272</v>
      </c>
      <c r="G3454" s="4"/>
      <c r="H3454" s="4"/>
      <c r="I3454" s="4"/>
    </row>
    <row r="3455" spans="1:9" ht="15">
      <c r="A3455" s="21">
        <f t="shared" si="64"/>
        <v>148</v>
      </c>
      <c r="B3455" s="14" t="s">
        <v>4591</v>
      </c>
      <c r="C3455" s="85" t="str">
        <f ca="1">IFERROR(__xludf.DUMMYFUNCTION("GOOGLETRANSLATE(B3455:B3470,""RU"",""UK"")"),"Мітчик М - 27х2 маш./руч.")</f>
        <v>Мітчик М - 27х2 маш./руч.</v>
      </c>
      <c r="D3455" s="15" t="s">
        <v>4370</v>
      </c>
      <c r="E3455" s="15">
        <v>40</v>
      </c>
      <c r="F3455" s="91" t="s">
        <v>36</v>
      </c>
      <c r="G3455" s="4"/>
      <c r="H3455" s="4"/>
      <c r="I3455" s="4"/>
    </row>
    <row r="3456" spans="1:9" ht="15">
      <c r="A3456" s="21">
        <f t="shared" si="64"/>
        <v>149</v>
      </c>
      <c r="B3456" s="14" t="s">
        <v>4592</v>
      </c>
      <c r="C3456" s="85" t="str">
        <f ca="1">IFERROR(__xludf.DUMMYFUNCTION("GOOGLETRANSLATE(B3456:B3471,""RU"",""UK"")"),"Мітчик М - 28х1, 5 для глух. відп.")</f>
        <v>Мітчик М - 28х1, 5 для глух. відп.</v>
      </c>
      <c r="D3456" s="15" t="s">
        <v>6</v>
      </c>
      <c r="E3456" s="15">
        <v>2</v>
      </c>
      <c r="F3456" s="91" t="s">
        <v>283</v>
      </c>
      <c r="G3456" s="4"/>
      <c r="H3456" s="4"/>
      <c r="I3456" s="4"/>
    </row>
    <row r="3457" spans="1:9" ht="15">
      <c r="A3457" s="21">
        <f t="shared" si="64"/>
        <v>150</v>
      </c>
      <c r="B3457" s="14" t="s">
        <v>4593</v>
      </c>
      <c r="C3457" s="85" t="str">
        <f ca="1">IFERROR(__xludf.DUMMYFUNCTION("GOOGLETRANSLATE(B3457:B3472,""RU"",""UK"")"),"Мітчик М - 28х5 трапеція (компл. 3шт)")</f>
        <v>Мітчик М - 28х5 трапеція (компл. 3шт)</v>
      </c>
      <c r="D3457" s="15" t="s">
        <v>4370</v>
      </c>
      <c r="E3457" s="17">
        <v>1</v>
      </c>
      <c r="F3457" s="92" t="s">
        <v>73</v>
      </c>
      <c r="G3457" s="4"/>
      <c r="H3457" s="4"/>
      <c r="I3457" s="4"/>
    </row>
    <row r="3458" spans="1:9" ht="15">
      <c r="A3458" s="21">
        <f t="shared" si="64"/>
        <v>151</v>
      </c>
      <c r="B3458" s="14" t="s">
        <v>4594</v>
      </c>
      <c r="C3458" s="85" t="str">
        <f ca="1">IFERROR(__xludf.DUMMYFUNCTION("GOOGLETRANSLATE(B3458:B3473,""RU"",""UK"")"),"Мітчик М - 30 маш./руч.Р6М5")</f>
        <v>Мітчик М - 30 маш./руч.Р6М5</v>
      </c>
      <c r="D3458" s="15" t="s">
        <v>6</v>
      </c>
      <c r="E3458" s="15">
        <v>65</v>
      </c>
      <c r="F3458" s="91" t="s">
        <v>663</v>
      </c>
      <c r="G3458" s="4"/>
      <c r="H3458" s="4"/>
      <c r="I3458" s="4"/>
    </row>
    <row r="3459" spans="1:9" ht="15">
      <c r="A3459" s="21">
        <f t="shared" si="64"/>
        <v>152</v>
      </c>
      <c r="B3459" s="14" t="s">
        <v>4595</v>
      </c>
      <c r="C3459" s="85" t="str">
        <f ca="1">IFERROR(__xludf.DUMMYFUNCTION("GOOGLETRANSLATE(B3459:B3474,""RU"",""UK"")"),"Мітчик М - 30 гвинтовий Р6М5")</f>
        <v>Мітчик М - 30 гвинтовий Р6М5</v>
      </c>
      <c r="D3459" s="15" t="s">
        <v>6</v>
      </c>
      <c r="E3459" s="15">
        <v>13</v>
      </c>
      <c r="F3459" s="91" t="s">
        <v>100</v>
      </c>
      <c r="G3459" s="4"/>
      <c r="H3459" s="4"/>
      <c r="I3459" s="4"/>
    </row>
    <row r="3460" spans="1:9" ht="15">
      <c r="A3460" s="21">
        <f t="shared" si="64"/>
        <v>153</v>
      </c>
      <c r="B3460" s="14" t="s">
        <v>4596</v>
      </c>
      <c r="C3460" s="85" t="str">
        <f ca="1">IFERROR(__xludf.DUMMYFUNCTION("GOOGLETRANSLATE(B3460:B3475,""RU"",""UK"")"),"Мітчик М - 30лев. / 30х1лев.")</f>
        <v>Мітчик М - 30лев. / 30х1лев.</v>
      </c>
      <c r="D3460" s="15" t="s">
        <v>6</v>
      </c>
      <c r="E3460" s="15" t="s">
        <v>737</v>
      </c>
      <c r="F3460" s="91" t="s">
        <v>1086</v>
      </c>
      <c r="G3460" s="4"/>
      <c r="H3460" s="4"/>
      <c r="I3460" s="4"/>
    </row>
    <row r="3461" spans="1:9" ht="15">
      <c r="A3461" s="21">
        <f t="shared" si="64"/>
        <v>154</v>
      </c>
      <c r="B3461" s="14" t="s">
        <v>4597</v>
      </c>
      <c r="C3461" s="85" t="str">
        <f ca="1">IFERROR(__xludf.DUMMYFUNCTION("GOOGLETRANSLATE(B3461:B3476,""RU"",""UK"")"),"Мітчик М - 30 гаєч. / 30х1гаєч")</f>
        <v>Мітчик М - 30 гаєч. / 30х1гаєч</v>
      </c>
      <c r="D3461" s="15" t="s">
        <v>6</v>
      </c>
      <c r="E3461" s="15" t="s">
        <v>4598</v>
      </c>
      <c r="F3461" s="91" t="s">
        <v>1874</v>
      </c>
      <c r="G3461" s="4"/>
      <c r="H3461" s="4"/>
      <c r="I3461" s="4"/>
    </row>
    <row r="3462" spans="1:9" ht="15">
      <c r="A3462" s="21">
        <f t="shared" si="64"/>
        <v>155</v>
      </c>
      <c r="B3462" s="14" t="s">
        <v>4599</v>
      </c>
      <c r="C3462" s="85" t="str">
        <f ca="1">IFERROR(__xludf.DUMMYFUNCTION("GOOGLETRANSLATE(B3462:B3477,""RU"",""UK"")"),"Мітчик М - 30х1,5гаєч / 30х2 гаєч.")</f>
        <v>Мітчик М - 30х1,5гаєч / 30х2 гаєч.</v>
      </c>
      <c r="D3462" s="15" t="s">
        <v>6</v>
      </c>
      <c r="E3462" s="15" t="s">
        <v>4600</v>
      </c>
      <c r="F3462" s="91" t="s">
        <v>1874</v>
      </c>
      <c r="G3462" s="4"/>
      <c r="H3462" s="4"/>
      <c r="I3462" s="4"/>
    </row>
    <row r="3463" spans="1:9" ht="15">
      <c r="A3463" s="21">
        <f t="shared" si="64"/>
        <v>156</v>
      </c>
      <c r="B3463" s="14" t="s">
        <v>4601</v>
      </c>
      <c r="C3463" s="85" t="str">
        <f ca="1">IFERROR(__xludf.DUMMYFUNCTION("GOOGLETRANSLATE(B3463:B3478,""RU"",""UK"")"),"Мітчик М - 30х1/30х1, 5 маш.")</f>
        <v>Мітчик М - 30х1/30х1, 5 маш.</v>
      </c>
      <c r="D3463" s="15" t="s">
        <v>6</v>
      </c>
      <c r="E3463" s="15" t="s">
        <v>4602</v>
      </c>
      <c r="F3463" s="91" t="s">
        <v>842</v>
      </c>
      <c r="G3463" s="4"/>
      <c r="H3463" s="4"/>
      <c r="I3463" s="4"/>
    </row>
    <row r="3464" spans="1:9" ht="15">
      <c r="A3464" s="21">
        <f t="shared" si="64"/>
        <v>157</v>
      </c>
      <c r="B3464" s="14" t="s">
        <v>4603</v>
      </c>
      <c r="C3464" s="85" t="str">
        <f ca="1">IFERROR(__xludf.DUMMYFUNCTION("GOOGLETRANSLATE(B3464:B3479,""RU"",""UK"")"),"Мітчик М - 30х2/30х3 маш.")</f>
        <v>Мітчик М - 30х2/30х3 маш.</v>
      </c>
      <c r="D3464" s="15" t="s">
        <v>6</v>
      </c>
      <c r="E3464" s="15" t="s">
        <v>4604</v>
      </c>
      <c r="F3464" s="91" t="s">
        <v>842</v>
      </c>
      <c r="G3464" s="4"/>
      <c r="H3464" s="4"/>
      <c r="I3464" s="4"/>
    </row>
    <row r="3465" spans="1:9" ht="15">
      <c r="A3465" s="21">
        <f t="shared" si="64"/>
        <v>158</v>
      </c>
      <c r="B3465" s="14" t="s">
        <v>4605</v>
      </c>
      <c r="C3465" s="85" t="str">
        <f ca="1">IFERROR(__xludf.DUMMYFUNCTION("GOOGLETRANSLATE(B3465:B3480,""RU"",""UK"")"),"Мітчик М - 30 маш./руч.")</f>
        <v>Мітчик М - 30 маш./руч.</v>
      </c>
      <c r="D3465" s="15" t="s">
        <v>4370</v>
      </c>
      <c r="E3465" s="15">
        <v>21</v>
      </c>
      <c r="F3465" s="91" t="s">
        <v>4606</v>
      </c>
      <c r="G3465" s="4"/>
      <c r="H3465" s="4"/>
      <c r="I3465" s="4"/>
    </row>
    <row r="3466" spans="1:9" ht="15">
      <c r="A3466" s="21">
        <f t="shared" si="64"/>
        <v>159</v>
      </c>
      <c r="B3466" s="14" t="s">
        <v>4607</v>
      </c>
      <c r="C3466" s="85" t="str">
        <f ca="1">IFERROR(__xludf.DUMMYFUNCTION("GOOGLETRANSLATE(B3466:B3481,""RU"",""UK"")"),"Мітчик М - 30х1/30х1,5 маш./руч.")</f>
        <v>Мітчик М - 30х1/30х1,5 маш./руч.</v>
      </c>
      <c r="D3466" s="15" t="s">
        <v>4370</v>
      </c>
      <c r="E3466" s="15" t="s">
        <v>4608</v>
      </c>
      <c r="F3466" s="91" t="s">
        <v>4606</v>
      </c>
      <c r="G3466" s="4"/>
      <c r="H3466" s="4"/>
      <c r="I3466" s="4"/>
    </row>
    <row r="3467" spans="1:9" ht="15">
      <c r="A3467" s="21">
        <f t="shared" si="64"/>
        <v>160</v>
      </c>
      <c r="B3467" s="14" t="s">
        <v>4609</v>
      </c>
      <c r="C3467" s="85" t="str">
        <f ca="1">IFERROR(__xludf.DUMMYFUNCTION("GOOGLETRANSLATE(B3467:B3482,""RU"",""UK"")"),"Мітчик М - 30х2/30х3 маш./руч.")</f>
        <v>Мітчик М - 30х2/30х3 маш./руч.</v>
      </c>
      <c r="D3467" s="15" t="s">
        <v>4370</v>
      </c>
      <c r="E3467" s="15" t="s">
        <v>1446</v>
      </c>
      <c r="F3467" s="91" t="s">
        <v>4606</v>
      </c>
      <c r="G3467" s="4"/>
      <c r="H3467" s="4"/>
      <c r="I3467" s="4"/>
    </row>
    <row r="3468" spans="1:9" ht="15">
      <c r="A3468" s="21">
        <f t="shared" si="64"/>
        <v>161</v>
      </c>
      <c r="B3468" s="19" t="s">
        <v>4610</v>
      </c>
      <c r="C3468" s="85" t="str">
        <f ca="1">IFERROR(__xludf.DUMMYFUNCTION("GOOGLETRANSLATE(B3468:B3483,""RU"",""UK"")"),"Мітчик М - 30х1,5 лев. маш./руч.")</f>
        <v>Мітчик М - 30х1,5 лев. маш./руч.</v>
      </c>
      <c r="D3468" s="15" t="s">
        <v>4370</v>
      </c>
      <c r="E3468" s="15">
        <v>1</v>
      </c>
      <c r="F3468" s="91" t="s">
        <v>71</v>
      </c>
      <c r="G3468" s="4"/>
      <c r="H3468" s="4"/>
      <c r="I3468" s="4"/>
    </row>
    <row r="3469" spans="1:9" ht="15">
      <c r="A3469" s="21">
        <f t="shared" si="64"/>
        <v>162</v>
      </c>
      <c r="B3469" s="14" t="s">
        <v>4611</v>
      </c>
      <c r="C3469" s="85" t="str">
        <f ca="1">IFERROR(__xludf.DUMMYFUNCTION("GOOGLETRANSLATE(B3469:B3484,""RU"",""UK"")"),"Мітчик М - 30лев.")</f>
        <v>Мітчик М - 30лев.</v>
      </c>
      <c r="D3469" s="15" t="s">
        <v>4370</v>
      </c>
      <c r="E3469" s="15">
        <v>11</v>
      </c>
      <c r="F3469" s="91" t="s">
        <v>71</v>
      </c>
      <c r="G3469" s="4"/>
      <c r="H3469" s="4"/>
      <c r="I3469" s="4"/>
    </row>
    <row r="3470" spans="1:9" ht="15">
      <c r="A3470" s="21">
        <f t="shared" si="64"/>
        <v>163</v>
      </c>
      <c r="B3470" s="14" t="s">
        <v>4612</v>
      </c>
      <c r="C3470" s="85" t="str">
        <f ca="1">IFERROR(__xludf.DUMMYFUNCTION("GOOGLETRANSLATE(B3470:B3485,""RU"",""UK"")"),"Мітчик М - 32х3 маш./руч. (3 шт)")</f>
        <v>Мітчик М - 32х3 маш./руч. (3 шт)</v>
      </c>
      <c r="D3470" s="15" t="s">
        <v>4370</v>
      </c>
      <c r="E3470" s="15">
        <v>1</v>
      </c>
      <c r="F3470" s="91" t="s">
        <v>4606</v>
      </c>
      <c r="G3470" s="4"/>
      <c r="H3470" s="4"/>
      <c r="I3470" s="4"/>
    </row>
    <row r="3471" spans="1:9" ht="15">
      <c r="A3471" s="21">
        <f t="shared" si="64"/>
        <v>164</v>
      </c>
      <c r="B3471" s="14" t="s">
        <v>4613</v>
      </c>
      <c r="C3471" s="85" t="str">
        <f ca="1">IFERROR(__xludf.DUMMYFUNCTION("GOOGLETRANSLATE(B3471:B3486,""RU"",""UK"")"),"Мітчик М - 32х3 трапеція")</f>
        <v>Мітчик М - 32х3 трапеція</v>
      </c>
      <c r="D3471" s="15" t="s">
        <v>6</v>
      </c>
      <c r="E3471" s="15">
        <v>1</v>
      </c>
      <c r="F3471" s="91" t="s">
        <v>914</v>
      </c>
      <c r="G3471" s="4"/>
      <c r="H3471" s="4"/>
      <c r="I3471" s="4"/>
    </row>
    <row r="3472" spans="1:9" ht="15">
      <c r="A3472" s="21">
        <f t="shared" si="64"/>
        <v>165</v>
      </c>
      <c r="B3472" s="14" t="s">
        <v>4614</v>
      </c>
      <c r="C3472" s="85" t="str">
        <f ca="1">IFERROR(__xludf.DUMMYFUNCTION("GOOGLETRANSLATE(B3472:B3487,""RU"",""UK"")"),"Мітчик М - 33 маш./руч.")</f>
        <v>Мітчик М - 33 маш./руч.</v>
      </c>
      <c r="D3472" s="15" t="s">
        <v>4370</v>
      </c>
      <c r="E3472" s="15">
        <v>71</v>
      </c>
      <c r="F3472" s="91" t="s">
        <v>4606</v>
      </c>
      <c r="G3472" s="4"/>
      <c r="H3472" s="4"/>
      <c r="I3472" s="4"/>
    </row>
    <row r="3473" spans="1:9" ht="15">
      <c r="A3473" s="21">
        <f t="shared" si="64"/>
        <v>166</v>
      </c>
      <c r="B3473" s="14" t="s">
        <v>4615</v>
      </c>
      <c r="C3473" s="85" t="str">
        <f ca="1">IFERROR(__xludf.DUMMYFUNCTION("GOOGLETRANSLATE(B3473:B3488,""RU"",""UK"")"),"Мітчик М - 33 маш./руч.(з 3-х шт)")</f>
        <v>Мітчик М - 33 маш./руч.(з 3-х шт)</v>
      </c>
      <c r="D3473" s="15" t="s">
        <v>4370</v>
      </c>
      <c r="E3473" s="15">
        <v>3</v>
      </c>
      <c r="F3473" s="91" t="s">
        <v>4606</v>
      </c>
      <c r="G3473" s="4"/>
      <c r="H3473" s="4"/>
      <c r="I3473" s="4"/>
    </row>
    <row r="3474" spans="1:9" ht="15">
      <c r="A3474" s="21">
        <f t="shared" si="64"/>
        <v>167</v>
      </c>
      <c r="B3474" s="14" t="s">
        <v>4616</v>
      </c>
      <c r="C3474" s="85" t="str">
        <f ca="1">IFERROR(__xludf.DUMMYFUNCTION("GOOGLETRANSLATE(B3474:B3489,""RU"",""UK"")"),"Мітчик М - 33лев. / 33х1, 5лев. маш./руч.")</f>
        <v>Мітчик М - 33лев. / 33х1, 5лев. маш./руч.</v>
      </c>
      <c r="D3474" s="15" t="s">
        <v>4370</v>
      </c>
      <c r="E3474" s="15" t="s">
        <v>4617</v>
      </c>
      <c r="F3474" s="91" t="s">
        <v>4606</v>
      </c>
      <c r="G3474" s="4"/>
      <c r="H3474" s="4"/>
      <c r="I3474" s="4"/>
    </row>
    <row r="3475" spans="1:9" ht="15">
      <c r="A3475" s="21">
        <f t="shared" si="64"/>
        <v>168</v>
      </c>
      <c r="B3475" s="14" t="s">
        <v>4618</v>
      </c>
      <c r="C3475" s="85" t="str">
        <f ca="1">IFERROR(__xludf.DUMMYFUNCTION("GOOGLETRANSLATE(B3475:B3490,""RU"",""UK"")"),"Мітчик М - 33х1/33х1,5 маш./руч.")</f>
        <v>Мітчик М - 33х1/33х1,5 маш./руч.</v>
      </c>
      <c r="D3475" s="15" t="s">
        <v>4370</v>
      </c>
      <c r="E3475" s="15" t="s">
        <v>4619</v>
      </c>
      <c r="F3475" s="91" t="s">
        <v>4606</v>
      </c>
      <c r="G3475" s="4"/>
      <c r="H3475" s="4"/>
      <c r="I3475" s="4"/>
    </row>
    <row r="3476" spans="1:9" ht="15">
      <c r="A3476" s="21">
        <f t="shared" si="64"/>
        <v>169</v>
      </c>
      <c r="B3476" s="14" t="s">
        <v>4620</v>
      </c>
      <c r="C3476" s="85" t="str">
        <f ca="1">IFERROR(__xludf.DUMMYFUNCTION("GOOGLETRANSLATE(B3476:B3491,""RU"",""UK"")"),"Мітчик М - 33гаєч. / 33х2гаєч.")</f>
        <v>Мітчик М - 33гаєч. / 33х2гаєч.</v>
      </c>
      <c r="D3476" s="15" t="s">
        <v>6</v>
      </c>
      <c r="E3476" s="15" t="s">
        <v>2529</v>
      </c>
      <c r="F3476" s="91" t="s">
        <v>663</v>
      </c>
      <c r="G3476" s="4"/>
      <c r="H3476" s="4"/>
      <c r="I3476" s="4"/>
    </row>
    <row r="3477" spans="1:9" ht="15">
      <c r="A3477" s="21">
        <f t="shared" si="64"/>
        <v>170</v>
      </c>
      <c r="B3477" s="14" t="s">
        <v>4621</v>
      </c>
      <c r="C3477" s="85" t="str">
        <f ca="1">IFERROR(__xludf.DUMMYFUNCTION("GOOGLETRANSLATE(B3477:B3492,""RU"",""UK"")"),"Мітчик М - 33х1,5 лев.")</f>
        <v>Мітчик М - 33х1,5 лев.</v>
      </c>
      <c r="D3477" s="15" t="s">
        <v>4370</v>
      </c>
      <c r="E3477" s="15">
        <v>2</v>
      </c>
      <c r="F3477" s="91" t="s">
        <v>80</v>
      </c>
      <c r="G3477" s="4"/>
      <c r="H3477" s="4"/>
      <c r="I3477" s="4"/>
    </row>
    <row r="3478" spans="1:9" ht="15">
      <c r="A3478" s="21">
        <f t="shared" si="64"/>
        <v>171</v>
      </c>
      <c r="B3478" s="14" t="s">
        <v>4621</v>
      </c>
      <c r="C3478" s="85" t="str">
        <f ca="1">IFERROR(__xludf.DUMMYFUNCTION("GOOGLETRANSLATE(B3478:B3493,""RU"",""UK"")"),"Мітчик М - 33х1,5 лев.")</f>
        <v>Мітчик М - 33х1,5 лев.</v>
      </c>
      <c r="D3478" s="15" t="s">
        <v>6</v>
      </c>
      <c r="E3478" s="15">
        <v>7</v>
      </c>
      <c r="F3478" s="91" t="s">
        <v>1874</v>
      </c>
      <c r="G3478" s="4"/>
      <c r="H3478" s="4"/>
      <c r="I3478" s="4"/>
    </row>
    <row r="3479" spans="1:9" ht="15">
      <c r="A3479" s="21">
        <f t="shared" si="64"/>
        <v>172</v>
      </c>
      <c r="B3479" s="14" t="s">
        <v>4622</v>
      </c>
      <c r="C3479" s="85" t="str">
        <f ca="1">IFERROR(__xludf.DUMMYFUNCTION("GOOGLETRANSLATE(B3479:B3494,""RU"",""UK"")"),"Мітчик М - 33/33х0, 75/33х1маш.")</f>
        <v>Мітчик М - 33/33х0, 75/33х1маш.</v>
      </c>
      <c r="D3479" s="15" t="s">
        <v>6</v>
      </c>
      <c r="E3479" s="15" t="s">
        <v>4623</v>
      </c>
      <c r="F3479" s="91" t="s">
        <v>842</v>
      </c>
      <c r="G3479" s="4"/>
      <c r="H3479" s="4"/>
      <c r="I3479" s="4"/>
    </row>
    <row r="3480" spans="1:9" ht="15">
      <c r="A3480" s="21">
        <f t="shared" si="64"/>
        <v>173</v>
      </c>
      <c r="B3480" s="14" t="s">
        <v>4624</v>
      </c>
      <c r="C3480" s="85" t="str">
        <f ca="1">IFERROR(__xludf.DUMMYFUNCTION("GOOGLETRANSLATE(B3480:B3495,""RU"",""UK"")"),"Мітчик М - 33х1, 5/33х1, 5ВК8 маш.")</f>
        <v>Мітчик М - 33х1, 5/33х1, 5ВК8 маш.</v>
      </c>
      <c r="D3480" s="15" t="s">
        <v>6</v>
      </c>
      <c r="E3480" s="15" t="s">
        <v>4625</v>
      </c>
      <c r="F3480" s="91" t="s">
        <v>842</v>
      </c>
      <c r="G3480" s="4"/>
      <c r="H3480" s="4"/>
      <c r="I3480" s="4"/>
    </row>
    <row r="3481" spans="1:9" ht="15">
      <c r="A3481" s="21">
        <f t="shared" si="64"/>
        <v>174</v>
      </c>
      <c r="B3481" s="14" t="s">
        <v>4626</v>
      </c>
      <c r="C3481" s="85" t="str">
        <f ca="1">IFERROR(__xludf.DUMMYFUNCTION("GOOGLETRANSLATE(B3481:B3496,""RU"",""UK"")"),"Мітчик М - 33х2/33х2ВК8/33х3")</f>
        <v>Мітчик М - 33х2/33х2ВК8/33х3</v>
      </c>
      <c r="D3481" s="15" t="s">
        <v>6</v>
      </c>
      <c r="E3481" s="15" t="s">
        <v>4627</v>
      </c>
      <c r="F3481" s="91" t="s">
        <v>842</v>
      </c>
      <c r="G3481" s="4"/>
      <c r="H3481" s="4"/>
      <c r="I3481" s="4"/>
    </row>
    <row r="3482" spans="1:9" ht="15">
      <c r="A3482" s="21">
        <f t="shared" si="64"/>
        <v>175</v>
      </c>
      <c r="B3482" s="14" t="s">
        <v>4628</v>
      </c>
      <c r="C3482" s="85" t="str">
        <f ca="1">IFERROR(__xludf.DUMMYFUNCTION("GOOGLETRANSLATE(B3482:B3497,""RU"",""UK"")"),"Мітчик М - 33х2/33х3 маш./руч.")</f>
        <v>Мітчик М - 33х2/33х3 маш./руч.</v>
      </c>
      <c r="D3482" s="15" t="s">
        <v>4370</v>
      </c>
      <c r="E3482" s="15" t="s">
        <v>4629</v>
      </c>
      <c r="F3482" s="91" t="s">
        <v>4606</v>
      </c>
      <c r="G3482" s="4"/>
      <c r="H3482" s="4"/>
      <c r="I3482" s="4"/>
    </row>
    <row r="3483" spans="1:9" ht="15">
      <c r="A3483" s="21">
        <f t="shared" si="64"/>
        <v>176</v>
      </c>
      <c r="B3483" s="14" t="s">
        <v>4630</v>
      </c>
      <c r="C3483" s="85" t="str">
        <f ca="1">IFERROR(__xludf.DUMMYFUNCTION("GOOGLETRANSLATE(B3483:B3498,""RU"",""UK"")"),"Мітчик М - 35х1,25")</f>
        <v>Мітчик М - 35х1,25</v>
      </c>
      <c r="D3483" s="15" t="s">
        <v>6</v>
      </c>
      <c r="E3483" s="15">
        <v>1</v>
      </c>
      <c r="F3483" s="91" t="s">
        <v>63</v>
      </c>
      <c r="G3483" s="4"/>
      <c r="H3483" s="4"/>
      <c r="I3483" s="4"/>
    </row>
    <row r="3484" spans="1:9" ht="15">
      <c r="A3484" s="21">
        <f t="shared" si="64"/>
        <v>177</v>
      </c>
      <c r="B3484" s="16" t="s">
        <v>4631</v>
      </c>
      <c r="C3484" s="85" t="str">
        <f ca="1">IFERROR(__xludf.DUMMYFUNCTION("GOOGLETRANSLATE(B3484:B3499,""RU"",""UK"")"),"Мітчик М - 36х1/36х1,5 ВК8/36х1,5 маш.")</f>
        <v>Мітчик М - 36х1/36х1,5 ВК8/36х1,5 маш.</v>
      </c>
      <c r="D3484" s="15" t="s">
        <v>6</v>
      </c>
      <c r="E3484" s="15" t="s">
        <v>4632</v>
      </c>
      <c r="F3484" s="91" t="s">
        <v>4633</v>
      </c>
      <c r="G3484" s="4"/>
      <c r="H3484" s="4"/>
      <c r="I3484" s="4"/>
    </row>
    <row r="3485" spans="1:9" ht="15">
      <c r="A3485" s="21">
        <f t="shared" si="64"/>
        <v>178</v>
      </c>
      <c r="B3485" s="19" t="s">
        <v>4634</v>
      </c>
      <c r="C3485" s="85" t="str">
        <f ca="1">IFERROR(__xludf.DUMMYFUNCTION("GOOGLETRANSLATE(B3485:B3500,""RU"",""UK"")"),"Мітчик М - 36 маш./руч.")</f>
        <v>Мітчик М - 36 маш./руч.</v>
      </c>
      <c r="D3485" s="15" t="s">
        <v>4370</v>
      </c>
      <c r="E3485" s="15">
        <v>0</v>
      </c>
      <c r="F3485" s="91" t="s">
        <v>29</v>
      </c>
      <c r="G3485" s="4"/>
      <c r="H3485" s="4"/>
      <c r="I3485" s="4"/>
    </row>
    <row r="3486" spans="1:9" ht="15">
      <c r="A3486" s="21">
        <f t="shared" si="64"/>
        <v>179</v>
      </c>
      <c r="B3486" s="14" t="s">
        <v>4635</v>
      </c>
      <c r="C3486" s="85" t="str">
        <f ca="1">IFERROR(__xludf.DUMMYFUNCTION("GOOGLETRANSLATE(B3486:B3501,""RU"",""UK"")"),"Мітчик М - 36 (з 3-х штук)")</f>
        <v>Мітчик М - 36 (з 3-х штук)</v>
      </c>
      <c r="D3486" s="15" t="s">
        <v>4370</v>
      </c>
      <c r="E3486" s="15">
        <v>8</v>
      </c>
      <c r="F3486" s="91" t="s">
        <v>80</v>
      </c>
      <c r="G3486" s="4"/>
      <c r="H3486" s="4"/>
      <c r="I3486" s="4"/>
    </row>
    <row r="3487" spans="1:9" ht="15">
      <c r="A3487" s="21">
        <f t="shared" si="64"/>
        <v>180</v>
      </c>
      <c r="B3487" s="14" t="s">
        <v>4636</v>
      </c>
      <c r="C3487" s="85" t="str">
        <f ca="1">IFERROR(__xludf.DUMMYFUNCTION("GOOGLETRANSLATE(B3487:B3502,""RU"",""UK"")"),"Мітчик М - 36/36 гаєч.")</f>
        <v>Мітчик М - 36/36 гаєч.</v>
      </c>
      <c r="D3487" s="15" t="s">
        <v>6</v>
      </c>
      <c r="E3487" s="15" t="s">
        <v>4637</v>
      </c>
      <c r="F3487" s="91" t="s">
        <v>1874</v>
      </c>
      <c r="G3487" s="4"/>
      <c r="H3487" s="4"/>
      <c r="I3487" s="4"/>
    </row>
    <row r="3488" spans="1:9" ht="15">
      <c r="A3488" s="21">
        <f t="shared" si="64"/>
        <v>181</v>
      </c>
      <c r="B3488" s="14" t="s">
        <v>4638</v>
      </c>
      <c r="C3488" s="85" t="str">
        <f ca="1">IFERROR(__xludf.DUMMYFUNCTION("GOOGLETRANSLATE(B3488:B3503,""RU"",""UK"")"),"Мітчик М - 36х2/36х2ВК8/36х3 маш.")</f>
        <v>Мітчик М - 36х2/36х2ВК8/36х3 маш.</v>
      </c>
      <c r="D3488" s="15" t="s">
        <v>6</v>
      </c>
      <c r="E3488" s="15" t="s">
        <v>4639</v>
      </c>
      <c r="F3488" s="91" t="s">
        <v>1874</v>
      </c>
      <c r="G3488" s="4"/>
      <c r="H3488" s="4"/>
      <c r="I3488" s="4"/>
    </row>
    <row r="3489" spans="1:9" ht="15">
      <c r="A3489" s="21">
        <f t="shared" si="64"/>
        <v>182</v>
      </c>
      <c r="B3489" s="16" t="s">
        <v>4640</v>
      </c>
      <c r="C3489" s="85" t="str">
        <f ca="1">IFERROR(__xludf.DUMMYFUNCTION("GOOGLETRANSLATE(B3489:B3504,""RU"",""UK"")"),"Мітчик М - 36х1/36х1,5 маш./руч.")</f>
        <v>Мітчик М - 36х1/36х1,5 маш./руч.</v>
      </c>
      <c r="D3489" s="15" t="s">
        <v>4370</v>
      </c>
      <c r="E3489" s="15" t="s">
        <v>4641</v>
      </c>
      <c r="F3489" s="91" t="s">
        <v>29</v>
      </c>
      <c r="G3489" s="4"/>
      <c r="H3489" s="4"/>
      <c r="I3489" s="4"/>
    </row>
    <row r="3490" spans="1:9" ht="15">
      <c r="A3490" s="21">
        <f t="shared" si="64"/>
        <v>183</v>
      </c>
      <c r="B3490" s="14" t="s">
        <v>4642</v>
      </c>
      <c r="C3490" s="85" t="str">
        <f ca="1">IFERROR(__xludf.DUMMYFUNCTION("GOOGLETRANSLATE(B3490:B3505,""RU"",""UK"")"),"Мітчик М - 36х2/36х3 маш./руч.")</f>
        <v>Мітчик М - 36х2/36х3 маш./руч.</v>
      </c>
      <c r="D3490" s="15" t="s">
        <v>4370</v>
      </c>
      <c r="E3490" s="15" t="s">
        <v>4643</v>
      </c>
      <c r="F3490" s="91" t="s">
        <v>29</v>
      </c>
      <c r="G3490" s="4"/>
      <c r="H3490" s="4"/>
      <c r="I3490" s="4"/>
    </row>
    <row r="3491" spans="1:9" ht="15">
      <c r="A3491" s="21">
        <f t="shared" si="64"/>
        <v>184</v>
      </c>
      <c r="B3491" s="16" t="s">
        <v>4644</v>
      </c>
      <c r="C3491" s="85" t="str">
        <f ca="1">IFERROR(__xludf.DUMMYFUNCTION("GOOGLETRANSLATE(B3491:B3506,""RU"",""UK"")"),"Мітчик М - 36 лев")</f>
        <v>Мітчик М - 36 лев</v>
      </c>
      <c r="D3491" s="15" t="s">
        <v>6</v>
      </c>
      <c r="E3491" s="15">
        <v>3</v>
      </c>
      <c r="F3491" s="91" t="s">
        <v>1874</v>
      </c>
      <c r="G3491" s="4"/>
      <c r="H3491" s="4"/>
      <c r="I3491" s="4"/>
    </row>
    <row r="3492" spans="1:9" ht="15">
      <c r="A3492" s="21">
        <f t="shared" si="64"/>
        <v>185</v>
      </c>
      <c r="B3492" s="14" t="s">
        <v>4645</v>
      </c>
      <c r="C3492" s="85" t="str">
        <f ca="1">IFERROR(__xludf.DUMMYFUNCTION("GOOGLETRANSLATE(B3492:B3507,""RU"",""UK"")"),"Мітчик М - 39 маш.")</f>
        <v>Мітчик М - 39 маш.</v>
      </c>
      <c r="D3492" s="15" t="s">
        <v>6</v>
      </c>
      <c r="E3492" s="15">
        <v>4</v>
      </c>
      <c r="F3492" s="91" t="s">
        <v>1874</v>
      </c>
      <c r="G3492" s="4"/>
      <c r="H3492" s="4"/>
      <c r="I3492" s="4"/>
    </row>
    <row r="3493" spans="1:9" ht="15">
      <c r="A3493" s="21">
        <f t="shared" si="64"/>
        <v>186</v>
      </c>
      <c r="B3493" s="16" t="s">
        <v>4646</v>
      </c>
      <c r="C3493" s="85" t="str">
        <f ca="1">IFERROR(__xludf.DUMMYFUNCTION("GOOGLETRANSLATE(B3493:B3508,""RU"",""UK"")"),"Мітчик М - 39х1/39х1,5/39х2/39х3")</f>
        <v>Мітчик М - 39х1/39х1,5/39х2/39х3</v>
      </c>
      <c r="D3493" s="15" t="s">
        <v>6</v>
      </c>
      <c r="E3493" s="15" t="s">
        <v>4647</v>
      </c>
      <c r="F3493" s="91" t="s">
        <v>1874</v>
      </c>
      <c r="G3493" s="4"/>
      <c r="H3493" s="4"/>
      <c r="I3493" s="4"/>
    </row>
    <row r="3494" spans="1:9" ht="15">
      <c r="A3494" s="21">
        <f t="shared" si="64"/>
        <v>187</v>
      </c>
      <c r="B3494" s="14" t="s">
        <v>4648</v>
      </c>
      <c r="C3494" s="85" t="str">
        <f ca="1">IFERROR(__xludf.DUMMYFUNCTION("GOOGLETRANSLATE(B3494:B3509,""RU"",""UK"")"),"Мітчик М - 39х1.5гаєч.")</f>
        <v>Мітчик М - 39х1.5гаєч.</v>
      </c>
      <c r="D3494" s="15" t="s">
        <v>6</v>
      </c>
      <c r="E3494" s="15">
        <v>21</v>
      </c>
      <c r="F3494" s="91" t="s">
        <v>1874</v>
      </c>
      <c r="G3494" s="4"/>
      <c r="H3494" s="4"/>
      <c r="I3494" s="4"/>
    </row>
    <row r="3495" spans="1:9" ht="15">
      <c r="A3495" s="21">
        <f t="shared" si="64"/>
        <v>188</v>
      </c>
      <c r="B3495" s="14" t="s">
        <v>4649</v>
      </c>
      <c r="C3495" s="85" t="str">
        <f ca="1">IFERROR(__xludf.DUMMYFUNCTION("GOOGLETRANSLATE(B3495:B3510,""RU"",""UK"")"),"Мітчик М - 39/39х1")</f>
        <v>Мітчик М - 39/39х1</v>
      </c>
      <c r="D3495" s="15" t="s">
        <v>4370</v>
      </c>
      <c r="E3495" s="15" t="s">
        <v>4650</v>
      </c>
      <c r="F3495" s="91" t="s">
        <v>29</v>
      </c>
      <c r="G3495" s="4"/>
      <c r="H3495" s="4"/>
      <c r="I3495" s="4"/>
    </row>
    <row r="3496" spans="1:9" ht="15">
      <c r="A3496" s="21">
        <f t="shared" si="64"/>
        <v>189</v>
      </c>
      <c r="B3496" s="14" t="s">
        <v>4651</v>
      </c>
      <c r="C3496" s="85" t="str">
        <f ca="1">IFERROR(__xludf.DUMMYFUNCTION("GOOGLETRANSLATE(B3496:B3511,""RU"",""UK"")"),"Мітчик М - 39 (з 3-х штук)")</f>
        <v>Мітчик М - 39 (з 3-х штук)</v>
      </c>
      <c r="D3496" s="15" t="s">
        <v>4370</v>
      </c>
      <c r="E3496" s="15">
        <v>6</v>
      </c>
      <c r="F3496" s="91" t="s">
        <v>102</v>
      </c>
      <c r="G3496" s="4"/>
      <c r="H3496" s="4"/>
      <c r="I3496" s="4"/>
    </row>
    <row r="3497" spans="1:9" ht="15">
      <c r="A3497" s="21">
        <f t="shared" si="64"/>
        <v>190</v>
      </c>
      <c r="B3497" s="14" t="s">
        <v>4652</v>
      </c>
      <c r="C3497" s="85" t="str">
        <f ca="1">IFERROR(__xludf.DUMMYFUNCTION("GOOGLETRANSLATE(B3497:B3512,""RU"",""UK"")"),"Мітчик М - 39х1,5/39х2 маш./руч")</f>
        <v>Мітчик М - 39х1,5/39х2 маш./руч</v>
      </c>
      <c r="D3497" s="15" t="s">
        <v>4370</v>
      </c>
      <c r="E3497" s="15" t="s">
        <v>3177</v>
      </c>
      <c r="F3497" s="91" t="s">
        <v>80</v>
      </c>
      <c r="G3497" s="4"/>
      <c r="H3497" s="4"/>
      <c r="I3497" s="4"/>
    </row>
    <row r="3498" spans="1:9" ht="15">
      <c r="A3498" s="21">
        <f t="shared" si="64"/>
        <v>191</v>
      </c>
      <c r="B3498" s="14" t="s">
        <v>4653</v>
      </c>
      <c r="C3498" s="85" t="str">
        <f ca="1">IFERROR(__xludf.DUMMYFUNCTION("GOOGLETRANSLATE(B3498:B3513,""RU"",""UK"")"),"Мітчик М - 39х2 ВК8")</f>
        <v>Мітчик М - 39х2 ВК8</v>
      </c>
      <c r="D3498" s="15" t="s">
        <v>6</v>
      </c>
      <c r="E3498" s="15">
        <v>14</v>
      </c>
      <c r="F3498" s="91" t="s">
        <v>1874</v>
      </c>
      <c r="G3498" s="4"/>
      <c r="H3498" s="4"/>
      <c r="I3498" s="4"/>
    </row>
    <row r="3499" spans="1:9" ht="15">
      <c r="A3499" s="21">
        <f t="shared" si="64"/>
        <v>192</v>
      </c>
      <c r="B3499" s="14" t="s">
        <v>4654</v>
      </c>
      <c r="C3499" s="85" t="str">
        <f ca="1">IFERROR(__xludf.DUMMYFUNCTION("GOOGLETRANSLATE(B3499:B3514,""RU"",""UK"")"),"Мітчик М - 39х3/39х4 маш./руч.")</f>
        <v>Мітчик М - 39х3/39х4 маш./руч.</v>
      </c>
      <c r="D3499" s="15" t="s">
        <v>4370</v>
      </c>
      <c r="E3499" s="15" t="s">
        <v>4655</v>
      </c>
      <c r="F3499" s="91" t="s">
        <v>80</v>
      </c>
      <c r="G3499" s="4"/>
      <c r="H3499" s="4"/>
      <c r="I3499" s="4"/>
    </row>
    <row r="3500" spans="1:9" ht="15">
      <c r="A3500" s="21">
        <f t="shared" si="64"/>
        <v>193</v>
      </c>
      <c r="B3500" s="14" t="s">
        <v>4656</v>
      </c>
      <c r="C3500" s="85" t="str">
        <f ca="1">IFERROR(__xludf.DUMMYFUNCTION("GOOGLETRANSLATE(B3500:B3515,""RU"",""UK"")"),"Мітчик М - 39х4 (з 3-х штук)")</f>
        <v>Мітчик М - 39х4 (з 3-х штук)</v>
      </c>
      <c r="D3500" s="15" t="s">
        <v>4370</v>
      </c>
      <c r="E3500" s="15">
        <v>9</v>
      </c>
      <c r="F3500" s="91" t="s">
        <v>102</v>
      </c>
      <c r="G3500" s="4"/>
      <c r="H3500" s="4"/>
      <c r="I3500" s="4"/>
    </row>
    <row r="3501" spans="1:9" ht="15">
      <c r="A3501" s="21">
        <f t="shared" si="64"/>
        <v>194</v>
      </c>
      <c r="B3501" s="14" t="s">
        <v>4657</v>
      </c>
      <c r="C3501" s="85" t="str">
        <f ca="1">IFERROR(__xludf.DUMMYFUNCTION("GOOGLETRANSLATE(B3501:B3516,""RU"",""UK"")"),"Мітчик М - 39х3 маш./руч. (Щербл.)")</f>
        <v>Мітчик М - 39х3 маш./руч. (Щербл.)</v>
      </c>
      <c r="D3501" s="15" t="s">
        <v>4370</v>
      </c>
      <c r="E3501" s="15">
        <v>1</v>
      </c>
      <c r="F3501" s="91" t="s">
        <v>663</v>
      </c>
      <c r="G3501" s="4"/>
      <c r="H3501" s="4"/>
      <c r="I3501" s="4"/>
    </row>
    <row r="3502" spans="1:9" ht="15">
      <c r="A3502" s="21">
        <f t="shared" ref="A3502:A3565" si="65">A3501+1</f>
        <v>195</v>
      </c>
      <c r="B3502" s="19" t="s">
        <v>4658</v>
      </c>
      <c r="C3502" s="85" t="str">
        <f ca="1">IFERROR(__xludf.DUMMYFUNCTION("GOOGLETRANSLATE(B3502:B3517,""RU"",""UK"")"),"Мітчик М - 40х1,5 маш./руч.")</f>
        <v>Мітчик М - 40х1,5 маш./руч.</v>
      </c>
      <c r="D3502" s="15" t="s">
        <v>6</v>
      </c>
      <c r="E3502" s="15">
        <v>0</v>
      </c>
      <c r="F3502" s="91" t="s">
        <v>1086</v>
      </c>
      <c r="G3502" s="4"/>
      <c r="H3502" s="4"/>
      <c r="I3502" s="4"/>
    </row>
    <row r="3503" spans="1:9" ht="15">
      <c r="A3503" s="21">
        <f t="shared" si="65"/>
        <v>196</v>
      </c>
      <c r="B3503" s="14" t="s">
        <v>4659</v>
      </c>
      <c r="C3503" s="85" t="str">
        <f ca="1">IFERROR(__xludf.DUMMYFUNCTION("GOOGLETRANSLATE(B3503:B3518,""RU"",""UK"")"),"Мітчик М - 42скв.")</f>
        <v>Мітчик М - 42скв.</v>
      </c>
      <c r="D3503" s="15" t="s">
        <v>6</v>
      </c>
      <c r="E3503" s="15">
        <v>28</v>
      </c>
      <c r="F3503" s="91" t="s">
        <v>1874</v>
      </c>
      <c r="G3503" s="4"/>
      <c r="H3503" s="4"/>
      <c r="I3503" s="4"/>
    </row>
    <row r="3504" spans="1:9" ht="15">
      <c r="A3504" s="21">
        <f t="shared" si="65"/>
        <v>197</v>
      </c>
      <c r="B3504" s="14" t="s">
        <v>4660</v>
      </c>
      <c r="C3504" s="85" t="str">
        <f ca="1">IFERROR(__xludf.DUMMYFUNCTION("GOOGLETRANSLATE(B3504:B3519,""RU"",""UK"")"),"Мітчик М - 42лев / 42х2лев")</f>
        <v>Мітчик М - 42лев / 42х2лев</v>
      </c>
      <c r="D3504" s="15" t="s">
        <v>6</v>
      </c>
      <c r="E3504" s="15" t="s">
        <v>774</v>
      </c>
      <c r="F3504" s="91" t="s">
        <v>88</v>
      </c>
      <c r="G3504" s="4"/>
      <c r="H3504" s="4"/>
      <c r="I3504" s="4"/>
    </row>
    <row r="3505" spans="1:9" ht="15">
      <c r="A3505" s="21">
        <f t="shared" si="65"/>
        <v>198</v>
      </c>
      <c r="B3505" s="16" t="s">
        <v>4661</v>
      </c>
      <c r="C3505" s="85" t="str">
        <f ca="1">IFERROR(__xludf.DUMMYFUNCTION("GOOGLETRANSLATE(B3505:B3520,""RU"",""UK"")"),"Мітчик М - 42х2/42х1,5/42х3 маш./руч.")</f>
        <v>Мітчик М - 42х2/42х1,5/42х3 маш./руч.</v>
      </c>
      <c r="D3505" s="15" t="s">
        <v>6</v>
      </c>
      <c r="E3505" s="17" t="s">
        <v>4662</v>
      </c>
      <c r="F3505" s="91" t="s">
        <v>100</v>
      </c>
      <c r="G3505" s="4"/>
      <c r="H3505" s="4"/>
      <c r="I3505" s="4"/>
    </row>
    <row r="3506" spans="1:9" ht="15">
      <c r="A3506" s="21">
        <f t="shared" si="65"/>
        <v>199</v>
      </c>
      <c r="B3506" s="19" t="s">
        <v>4663</v>
      </c>
      <c r="C3506" s="85" t="str">
        <f ca="1">IFERROR(__xludf.DUMMYFUNCTION("GOOGLETRANSLATE(B3506:B3521,""RU"",""UK"")"),"Мітчик М - 42/42х1.5 маш./руч.")</f>
        <v>Мітчик М - 42/42х1.5 маш./руч.</v>
      </c>
      <c r="D3506" s="15" t="s">
        <v>4370</v>
      </c>
      <c r="E3506" s="15" t="s">
        <v>4193</v>
      </c>
      <c r="F3506" s="91" t="s">
        <v>3424</v>
      </c>
      <c r="G3506" s="4"/>
      <c r="H3506" s="4"/>
      <c r="I3506" s="4"/>
    </row>
    <row r="3507" spans="1:9" ht="15">
      <c r="A3507" s="21">
        <f t="shared" si="65"/>
        <v>200</v>
      </c>
      <c r="B3507" s="14" t="s">
        <v>4664</v>
      </c>
      <c r="C3507" s="85" t="str">
        <f ca="1">IFERROR(__xludf.DUMMYFUNCTION("GOOGLETRANSLATE(B3507:B3522,""RU"",""UK"")"),"Мітчик М - 42 лев.(З 3-х штук)")</f>
        <v>Мітчик М - 42 лев.(З 3-х штук)</v>
      </c>
      <c r="D3507" s="15" t="s">
        <v>4370</v>
      </c>
      <c r="E3507" s="15">
        <v>1</v>
      </c>
      <c r="F3507" s="91" t="s">
        <v>231</v>
      </c>
      <c r="G3507" s="4"/>
      <c r="H3507" s="4"/>
      <c r="I3507" s="4"/>
    </row>
    <row r="3508" spans="1:9" ht="15">
      <c r="A3508" s="21">
        <f t="shared" si="65"/>
        <v>201</v>
      </c>
      <c r="B3508" s="16" t="s">
        <v>4665</v>
      </c>
      <c r="C3508" s="85" t="str">
        <f ca="1">IFERROR(__xludf.DUMMYFUNCTION("GOOGLETRANSLATE(B3508:B3523,""RU"",""UK"")"),"Мітчик М - 42х2/42х3 маш./руч.")</f>
        <v>Мітчик М - 42х2/42х3 маш./руч.</v>
      </c>
      <c r="D3508" s="15" t="s">
        <v>4370</v>
      </c>
      <c r="E3508" s="15" t="s">
        <v>4666</v>
      </c>
      <c r="F3508" s="91" t="s">
        <v>3424</v>
      </c>
      <c r="G3508" s="4"/>
      <c r="H3508" s="4"/>
      <c r="I3508" s="4"/>
    </row>
    <row r="3509" spans="1:9" ht="15">
      <c r="A3509" s="21">
        <f t="shared" si="65"/>
        <v>202</v>
      </c>
      <c r="B3509" s="14" t="s">
        <v>4667</v>
      </c>
      <c r="C3509" s="85" t="str">
        <f ca="1">IFERROR(__xludf.DUMMYFUNCTION("GOOGLETRANSLATE(B3509:B3524,""RU"",""UK"")"),"Мітчик М - 45/45х1.5 маш./руч.")</f>
        <v>Мітчик М - 45/45х1.5 маш./руч.</v>
      </c>
      <c r="D3509" s="15" t="s">
        <v>4370</v>
      </c>
      <c r="E3509" s="15" t="s">
        <v>3899</v>
      </c>
      <c r="F3509" s="91" t="s">
        <v>1113</v>
      </c>
      <c r="G3509" s="4"/>
      <c r="H3509" s="4"/>
      <c r="I3509" s="4"/>
    </row>
    <row r="3510" spans="1:9" ht="15">
      <c r="A3510" s="21">
        <f t="shared" si="65"/>
        <v>203</v>
      </c>
      <c r="B3510" s="14" t="s">
        <v>4668</v>
      </c>
      <c r="C3510" s="85" t="str">
        <f ca="1">IFERROR(__xludf.DUMMYFUNCTION("GOOGLETRANSLATE(B3510:B3525,""RU"",""UK"")"),"Мітчик М - 45 (з 3-х штук)")</f>
        <v>Мітчик М - 45 (з 3-х штук)</v>
      </c>
      <c r="D3510" s="15" t="s">
        <v>4370</v>
      </c>
      <c r="E3510" s="15">
        <v>3</v>
      </c>
      <c r="F3510" s="91" t="s">
        <v>111</v>
      </c>
      <c r="G3510" s="4"/>
      <c r="H3510" s="4"/>
      <c r="I3510" s="4"/>
    </row>
    <row r="3511" spans="1:9" ht="15">
      <c r="A3511" s="21">
        <f t="shared" si="65"/>
        <v>204</v>
      </c>
      <c r="B3511" s="14" t="s">
        <v>4669</v>
      </c>
      <c r="C3511" s="85" t="str">
        <f ca="1">IFERROR(__xludf.DUMMYFUNCTION("GOOGLETRANSLATE(B3511:B3526,""RU"",""UK"")"),"Мітчик М - 45х2/45х3 маш./руч.")</f>
        <v>Мітчик М - 45х2/45х3 маш./руч.</v>
      </c>
      <c r="D3511" s="15" t="s">
        <v>4370</v>
      </c>
      <c r="E3511" s="15" t="s">
        <v>4670</v>
      </c>
      <c r="F3511" s="91" t="s">
        <v>1113</v>
      </c>
      <c r="G3511" s="4"/>
      <c r="H3511" s="4"/>
      <c r="I3511" s="4"/>
    </row>
    <row r="3512" spans="1:9" ht="15">
      <c r="A3512" s="21">
        <f t="shared" si="65"/>
        <v>205</v>
      </c>
      <c r="B3512" s="16" t="s">
        <v>4671</v>
      </c>
      <c r="C3512" s="85" t="str">
        <f ca="1">IFERROR(__xludf.DUMMYFUNCTION("GOOGLETRANSLATE(B3512:B3527,""RU"",""UK"")"),"Мітчик М - 45/45х1, 5 маш.")</f>
        <v>Мітчик М - 45/45х1, 5 маш.</v>
      </c>
      <c r="D3512" s="15" t="s">
        <v>6</v>
      </c>
      <c r="E3512" s="15" t="s">
        <v>4672</v>
      </c>
      <c r="F3512" s="91" t="s">
        <v>1874</v>
      </c>
      <c r="G3512" s="4"/>
      <c r="H3512" s="4"/>
      <c r="I3512" s="4"/>
    </row>
    <row r="3513" spans="1:9" ht="15">
      <c r="A3513" s="21">
        <f t="shared" si="65"/>
        <v>206</v>
      </c>
      <c r="B3513" s="14" t="s">
        <v>4673</v>
      </c>
      <c r="C3513" s="85" t="str">
        <f ca="1">IFERROR(__xludf.DUMMYFUNCTION("GOOGLETRANSLATE(B3513:B3528,""RU"",""UK"")"),"Мітчик М - 45х2")</f>
        <v>Мітчик М - 45х2</v>
      </c>
      <c r="D3513" s="15" t="s">
        <v>6</v>
      </c>
      <c r="E3513" s="15">
        <v>4</v>
      </c>
      <c r="F3513" s="91" t="s">
        <v>1874</v>
      </c>
      <c r="G3513" s="4"/>
      <c r="H3513" s="4"/>
      <c r="I3513" s="4"/>
    </row>
    <row r="3514" spans="1:9" ht="15">
      <c r="A3514" s="21">
        <f t="shared" si="65"/>
        <v>207</v>
      </c>
      <c r="B3514" s="14" t="s">
        <v>4674</v>
      </c>
      <c r="C3514" s="85" t="str">
        <f ca="1">IFERROR(__xludf.DUMMYFUNCTION("GOOGLETRANSLATE(B3514:B3529,""RU"",""UK"")"),"Мітчик М - 48 маш. / 48х1, 5 маш.")</f>
        <v>Мітчик М - 48 маш. / 48х1, 5 маш.</v>
      </c>
      <c r="D3514" s="15" t="s">
        <v>6</v>
      </c>
      <c r="E3514" s="15" t="s">
        <v>2183</v>
      </c>
      <c r="F3514" s="91" t="s">
        <v>102</v>
      </c>
      <c r="G3514" s="4"/>
      <c r="H3514" s="4"/>
      <c r="I3514" s="4"/>
    </row>
    <row r="3515" spans="1:9" ht="15">
      <c r="A3515" s="21">
        <f t="shared" si="65"/>
        <v>208</v>
      </c>
      <c r="B3515" s="14" t="s">
        <v>4675</v>
      </c>
      <c r="C3515" s="85" t="str">
        <f ca="1">IFERROR(__xludf.DUMMYFUNCTION("GOOGLETRANSLATE(B3515:B3530,""RU"",""UK"")"),"Мітчик М - 48х2/48х3")</f>
        <v>Мітчик М - 48х2/48х3</v>
      </c>
      <c r="D3515" s="15" t="s">
        <v>6</v>
      </c>
      <c r="E3515" s="15" t="s">
        <v>4676</v>
      </c>
      <c r="F3515" s="91" t="s">
        <v>102</v>
      </c>
      <c r="G3515" s="4"/>
      <c r="H3515" s="4"/>
      <c r="I3515" s="4"/>
    </row>
    <row r="3516" spans="1:9" ht="15">
      <c r="A3516" s="21">
        <f t="shared" si="65"/>
        <v>209</v>
      </c>
      <c r="B3516" s="14" t="s">
        <v>4677</v>
      </c>
      <c r="C3516" s="85" t="str">
        <f ca="1">IFERROR(__xludf.DUMMYFUNCTION("GOOGLETRANSLATE(B3516:B3531,""RU"",""UK"")"),"Мітчик М - 48х2лев.")</f>
        <v>Мітчик М - 48х2лев.</v>
      </c>
      <c r="D3516" s="15" t="s">
        <v>4370</v>
      </c>
      <c r="E3516" s="15">
        <v>3</v>
      </c>
      <c r="F3516" s="91" t="s">
        <v>80</v>
      </c>
      <c r="G3516" s="4"/>
      <c r="H3516" s="4"/>
      <c r="I3516" s="4"/>
    </row>
    <row r="3517" spans="1:9" ht="15">
      <c r="A3517" s="21">
        <f t="shared" si="65"/>
        <v>210</v>
      </c>
      <c r="B3517" s="14" t="s">
        <v>4678</v>
      </c>
      <c r="C3517" s="85" t="str">
        <f ca="1">IFERROR(__xludf.DUMMYFUNCTION("GOOGLETRANSLATE(B3517:B3532,""RU"",""UK"")"),"Мітчик М - 48х3лев.")</f>
        <v>Мітчик М - 48х3лев.</v>
      </c>
      <c r="D3517" s="15" t="s">
        <v>6</v>
      </c>
      <c r="E3517" s="15">
        <v>1</v>
      </c>
      <c r="F3517" s="91" t="s">
        <v>4064</v>
      </c>
      <c r="G3517" s="4"/>
      <c r="H3517" s="4"/>
      <c r="I3517" s="4"/>
    </row>
    <row r="3518" spans="1:9" ht="15">
      <c r="A3518" s="21">
        <f t="shared" si="65"/>
        <v>211</v>
      </c>
      <c r="B3518" s="14" t="s">
        <v>4679</v>
      </c>
      <c r="C3518" s="85" t="str">
        <f ca="1">IFERROR(__xludf.DUMMYFUNCTION("GOOGLETRANSLATE(B3518:B3533,""RU"",""UK"")"),"Мітчик М - 48/48х1.5")</f>
        <v>Мітчик М - 48/48х1.5</v>
      </c>
      <c r="D3518" s="15" t="s">
        <v>4370</v>
      </c>
      <c r="E3518" s="15" t="s">
        <v>4680</v>
      </c>
      <c r="F3518" s="91" t="s">
        <v>1088</v>
      </c>
      <c r="G3518" s="4"/>
      <c r="H3518" s="4"/>
      <c r="I3518" s="4"/>
    </row>
    <row r="3519" spans="1:9" ht="15">
      <c r="A3519" s="21">
        <f t="shared" si="65"/>
        <v>212</v>
      </c>
      <c r="B3519" s="14" t="s">
        <v>4681</v>
      </c>
      <c r="C3519" s="85" t="str">
        <f ca="1">IFERROR(__xludf.DUMMYFUNCTION("GOOGLETRANSLATE(B3519:B3534,""RU"",""UK"")"),"Мітчик М - 48х2.0 / 48х3.0")</f>
        <v>Мітчик М - 48х2.0 / 48х3.0</v>
      </c>
      <c r="D3519" s="15" t="s">
        <v>4370</v>
      </c>
      <c r="E3519" s="15" t="s">
        <v>3101</v>
      </c>
      <c r="F3519" s="91" t="s">
        <v>1088</v>
      </c>
      <c r="G3519" s="4"/>
      <c r="H3519" s="4"/>
      <c r="I3519" s="4"/>
    </row>
    <row r="3520" spans="1:9" ht="15">
      <c r="A3520" s="21">
        <f t="shared" si="65"/>
        <v>213</v>
      </c>
      <c r="B3520" s="14" t="s">
        <v>4682</v>
      </c>
      <c r="C3520" s="85" t="str">
        <f ca="1">IFERROR(__xludf.DUMMYFUNCTION("GOOGLETRANSLATE(B3520:B3535,""RU"",""UK"")"),"Мітчик М - 52/52х1,5/52х2/52х3")</f>
        <v>Мітчик М - 52/52х1,5/52х2/52х3</v>
      </c>
      <c r="D3520" s="15" t="s">
        <v>6</v>
      </c>
      <c r="E3520" s="15" t="s">
        <v>4683</v>
      </c>
      <c r="F3520" s="91" t="s">
        <v>4684</v>
      </c>
      <c r="G3520" s="4"/>
      <c r="H3520" s="4"/>
      <c r="I3520" s="4"/>
    </row>
    <row r="3521" spans="1:9" ht="15">
      <c r="A3521" s="21">
        <f t="shared" si="65"/>
        <v>214</v>
      </c>
      <c r="B3521" s="14" t="s">
        <v>4685</v>
      </c>
      <c r="C3521" s="85" t="str">
        <f ca="1">IFERROR(__xludf.DUMMYFUNCTION("GOOGLETRANSLATE(B3521:B3536,""RU"",""UK"")"),"Мітчик М - 52/52х1,5 маш./руч.")</f>
        <v>Мітчик М - 52/52х1,5 маш./руч.</v>
      </c>
      <c r="D3521" s="15" t="s">
        <v>4370</v>
      </c>
      <c r="E3521" s="15" t="s">
        <v>211</v>
      </c>
      <c r="F3521" s="91" t="s">
        <v>2834</v>
      </c>
      <c r="G3521" s="4"/>
      <c r="H3521" s="4"/>
      <c r="I3521" s="4"/>
    </row>
    <row r="3522" spans="1:9" ht="15">
      <c r="A3522" s="21">
        <f t="shared" si="65"/>
        <v>215</v>
      </c>
      <c r="B3522" s="14" t="s">
        <v>4686</v>
      </c>
      <c r="C3522" s="85" t="str">
        <f ca="1">IFERROR(__xludf.DUMMYFUNCTION("GOOGLETRANSLATE(B3522:B3537,""RU"",""UK"")"),"Мітчик М - 52х2/52х3 маш./руч.")</f>
        <v>Мітчик М - 52х2/52х3 маш./руч.</v>
      </c>
      <c r="D3522" s="15" t="s">
        <v>4370</v>
      </c>
      <c r="E3522" s="15" t="s">
        <v>4687</v>
      </c>
      <c r="F3522" s="91" t="s">
        <v>2834</v>
      </c>
      <c r="G3522" s="4"/>
      <c r="H3522" s="4"/>
      <c r="I3522" s="4"/>
    </row>
    <row r="3523" spans="1:9" ht="15">
      <c r="A3523" s="21">
        <f t="shared" si="65"/>
        <v>216</v>
      </c>
      <c r="B3523" s="14" t="s">
        <v>4688</v>
      </c>
      <c r="C3523" s="85" t="str">
        <f ca="1">IFERROR(__xludf.DUMMYFUNCTION("GOOGLETRANSLATE(B3523:B3538,""RU"",""UK"")"),"Мітчик М - 52 (з 3-х штук)")</f>
        <v>Мітчик М - 52 (з 3-х штук)</v>
      </c>
      <c r="D3523" s="15" t="s">
        <v>4370</v>
      </c>
      <c r="E3523" s="15">
        <v>2</v>
      </c>
      <c r="F3523" s="91" t="s">
        <v>2834</v>
      </c>
      <c r="G3523" s="4"/>
      <c r="H3523" s="4"/>
      <c r="I3523" s="4"/>
    </row>
    <row r="3524" spans="1:9" ht="15">
      <c r="A3524" s="21">
        <f t="shared" si="65"/>
        <v>217</v>
      </c>
      <c r="B3524" s="14" t="s">
        <v>4689</v>
      </c>
      <c r="C3524" s="85" t="str">
        <f ca="1">IFERROR(__xludf.DUMMYFUNCTION("GOOGLETRANSLATE(B3524:B3539,""RU"",""UK"")"),"Мітчик М - 56х2 Р18")</f>
        <v>Мітчик М - 56х2 Р18</v>
      </c>
      <c r="D3524" s="15" t="s">
        <v>6</v>
      </c>
      <c r="E3524" s="15">
        <v>1</v>
      </c>
      <c r="F3524" s="91" t="s">
        <v>157</v>
      </c>
      <c r="G3524" s="4"/>
      <c r="H3524" s="4"/>
      <c r="I3524" s="4"/>
    </row>
    <row r="3525" spans="1:9" ht="15">
      <c r="A3525" s="21">
        <f t="shared" si="65"/>
        <v>218</v>
      </c>
      <c r="B3525" s="14" t="s">
        <v>4690</v>
      </c>
      <c r="C3525" s="85" t="str">
        <f ca="1">IFERROR(__xludf.DUMMYFUNCTION("GOOGLETRANSLATE(B3525:B3540,""RU"",""UK"")"),"Мітчик М - 56х1, 5/56х2")</f>
        <v>Мітчик М - 56х1, 5/56х2</v>
      </c>
      <c r="D3525" s="15" t="s">
        <v>4370</v>
      </c>
      <c r="E3525" s="15" t="s">
        <v>3720</v>
      </c>
      <c r="F3525" s="91" t="s">
        <v>237</v>
      </c>
      <c r="G3525" s="4"/>
      <c r="H3525" s="4"/>
      <c r="I3525" s="4"/>
    </row>
    <row r="3526" spans="1:9" ht="15">
      <c r="A3526" s="21">
        <f t="shared" si="65"/>
        <v>219</v>
      </c>
      <c r="B3526" s="14" t="s">
        <v>4691</v>
      </c>
      <c r="C3526" s="85" t="str">
        <f ca="1">IFERROR(__xludf.DUMMYFUNCTION("GOOGLETRANSLATE(B3526:B3541,""RU"",""UK"")"),"Мітчик М - 64х2")</f>
        <v>Мітчик М - 64х2</v>
      </c>
      <c r="D3526" s="15" t="s">
        <v>6</v>
      </c>
      <c r="E3526" s="15">
        <v>2</v>
      </c>
      <c r="F3526" s="91" t="s">
        <v>71</v>
      </c>
      <c r="G3526" s="4"/>
      <c r="H3526" s="4"/>
      <c r="I3526" s="4"/>
    </row>
    <row r="3527" spans="1:9" ht="15">
      <c r="A3527" s="21">
        <f t="shared" si="65"/>
        <v>220</v>
      </c>
      <c r="B3527" s="14" t="s">
        <v>4692</v>
      </c>
      <c r="C3527" s="85" t="str">
        <f ca="1">IFERROR(__xludf.DUMMYFUNCTION("GOOGLETRANSLATE(B3527:B3542,""RU"",""UK"")"),"Мітчик Тр 1/8"" маш./руч.")</f>
        <v>Мітчик Тр 1/8" маш./руч.</v>
      </c>
      <c r="D3527" s="15" t="s">
        <v>4370</v>
      </c>
      <c r="E3527" s="15">
        <v>53</v>
      </c>
      <c r="F3527" s="91" t="s">
        <v>351</v>
      </c>
      <c r="G3527" s="4"/>
      <c r="H3527" s="4"/>
      <c r="I3527" s="4"/>
    </row>
    <row r="3528" spans="1:9" ht="15">
      <c r="A3528" s="21">
        <f t="shared" si="65"/>
        <v>221</v>
      </c>
      <c r="B3528" s="14" t="s">
        <v>4693</v>
      </c>
      <c r="C3528" s="85" t="str">
        <f ca="1">IFERROR(__xludf.DUMMYFUNCTION("GOOGLETRANSLATE(B3528:B3543,""RU"",""UK"")"),"Мітчик Тр. 1/4""маш./руч.")</f>
        <v>Мітчик Тр. 1/4"маш./руч.</v>
      </c>
      <c r="D3528" s="15" t="s">
        <v>4370</v>
      </c>
      <c r="E3528" s="15">
        <v>107</v>
      </c>
      <c r="F3528" s="91" t="s">
        <v>351</v>
      </c>
      <c r="G3528" s="4"/>
      <c r="H3528" s="4"/>
      <c r="I3528" s="4"/>
    </row>
    <row r="3529" spans="1:9" ht="15">
      <c r="A3529" s="21">
        <f t="shared" si="65"/>
        <v>222</v>
      </c>
      <c r="B3529" s="14" t="s">
        <v>4694</v>
      </c>
      <c r="C3529" s="85" t="str">
        <f ca="1">IFERROR(__xludf.DUMMYFUNCTION("GOOGLETRANSLATE(B3529:B3544,""RU"",""UK"")"),"Мітчик 9/16"" W Вітварта (12 ниток)")</f>
        <v>Мітчик 9/16" W Вітварта (12 ниток)</v>
      </c>
      <c r="D3529" s="15" t="s">
        <v>4370</v>
      </c>
      <c r="E3529" s="15">
        <v>25</v>
      </c>
      <c r="F3529" s="91" t="s">
        <v>1704</v>
      </c>
      <c r="G3529" s="4"/>
      <c r="H3529" s="4"/>
      <c r="I3529" s="4"/>
    </row>
    <row r="3530" spans="1:9" ht="15">
      <c r="A3530" s="21">
        <f t="shared" si="65"/>
        <v>223</v>
      </c>
      <c r="B3530" s="14" t="s">
        <v>4695</v>
      </c>
      <c r="C3530" s="85" t="str">
        <f ca="1">IFERROR(__xludf.DUMMYFUNCTION("GOOGLETRANSLATE(B3530:B3545,""RU"",""UK"")"),"Мітчик Тр. 3/8"" маш. / руч. / 3 / 8 ""Тр.К маш. / руч.")</f>
        <v>Мітчик Тр. 3/8" маш. / руч. / 3 / 8 "Тр.К маш. / руч.</v>
      </c>
      <c r="D3530" s="15" t="s">
        <v>4370</v>
      </c>
      <c r="E3530" s="15" t="s">
        <v>4696</v>
      </c>
      <c r="F3530" s="91" t="s">
        <v>128</v>
      </c>
      <c r="G3530" s="4"/>
      <c r="H3530" s="4"/>
      <c r="I3530" s="4"/>
    </row>
    <row r="3531" spans="1:9" ht="15">
      <c r="A3531" s="21">
        <f t="shared" si="65"/>
        <v>224</v>
      </c>
      <c r="B3531" s="14" t="s">
        <v>4697</v>
      </c>
      <c r="C3531" s="85" t="str">
        <f ca="1">IFERROR(__xludf.DUMMYFUNCTION("GOOGLETRANSLATE(B3531:B3546,""RU"",""UK"")"),"Мітчик 1/2""W маш./руч. (12 ниток)")</f>
        <v>Мітчик 1/2"W маш./руч. (12 ниток)</v>
      </c>
      <c r="D3531" s="15" t="s">
        <v>4370</v>
      </c>
      <c r="E3531" s="15">
        <v>22</v>
      </c>
      <c r="F3531" s="91" t="s">
        <v>106</v>
      </c>
      <c r="G3531" s="4"/>
      <c r="H3531" s="4"/>
      <c r="I3531" s="4"/>
    </row>
    <row r="3532" spans="1:9" ht="15">
      <c r="A3532" s="21">
        <f t="shared" si="65"/>
        <v>225</v>
      </c>
      <c r="B3532" s="14" t="s">
        <v>4698</v>
      </c>
      <c r="C3532" s="85" t="str">
        <f ca="1">IFERROR(__xludf.DUMMYFUNCTION("GOOGLETRANSLATE(B3532:B3547,""RU"",""UK"")"),"Мітчик 3/8""W маш./руч.(16ниток) / 3/8""W")</f>
        <v>Мітчик 3/8"W маш./руч.(16ниток) / 3/8"W</v>
      </c>
      <c r="D3532" s="15" t="s">
        <v>4370</v>
      </c>
      <c r="E3532" s="15" t="s">
        <v>700</v>
      </c>
      <c r="F3532" s="91" t="s">
        <v>22</v>
      </c>
      <c r="G3532" s="4"/>
      <c r="H3532" s="4"/>
      <c r="I3532" s="4"/>
    </row>
    <row r="3533" spans="1:9" ht="15">
      <c r="A3533" s="21">
        <f t="shared" si="65"/>
        <v>226</v>
      </c>
      <c r="B3533" s="56" t="s">
        <v>4699</v>
      </c>
      <c r="C3533" s="85" t="str">
        <f ca="1">IFERROR(__xludf.DUMMYFUNCTION("GOOGLETRANSLATE(B3533:B3548,""RU"",""UK"")"),"Мітчик 5/8""W маш./руч. з 2х шт(11ниток)")</f>
        <v>Мітчик 5/8"W маш./руч. з 2х шт(11ниток)</v>
      </c>
      <c r="D3533" s="15" t="s">
        <v>4370</v>
      </c>
      <c r="E3533" s="15">
        <v>65</v>
      </c>
      <c r="F3533" s="91" t="s">
        <v>16</v>
      </c>
      <c r="G3533" s="4"/>
      <c r="H3533" s="4"/>
      <c r="I3533" s="4"/>
    </row>
    <row r="3534" spans="1:9" ht="15">
      <c r="A3534" s="21">
        <f t="shared" si="65"/>
        <v>227</v>
      </c>
      <c r="B3534" s="56" t="s">
        <v>4700</v>
      </c>
      <c r="C3534" s="85" t="str">
        <f ca="1">IFERROR(__xludf.DUMMYFUNCTION("GOOGLETRANSLATE(B3534:B3549,""RU"",""UK"")"),"Мітчик 5/8""W маш./руч. з 3 шт (11 ниток)")</f>
        <v>Мітчик 5/8"W маш./руч. з 3 шт (11 ниток)</v>
      </c>
      <c r="D3534" s="15" t="s">
        <v>4370</v>
      </c>
      <c r="E3534" s="15">
        <v>10</v>
      </c>
      <c r="F3534" s="91" t="s">
        <v>16</v>
      </c>
      <c r="G3534" s="4"/>
      <c r="H3534" s="4"/>
      <c r="I3534" s="4"/>
    </row>
    <row r="3535" spans="1:9" ht="15">
      <c r="A3535" s="21">
        <f t="shared" si="65"/>
        <v>228</v>
      </c>
      <c r="B3535" s="16" t="s">
        <v>4701</v>
      </c>
      <c r="C3535" s="85" t="str">
        <f ca="1">IFERROR(__xludf.DUMMYFUNCTION("GOOGLETRANSLATE(B3535:B3550,""RU"",""UK"")"),"Мітчик Тр. 5/8"" маш./руч.")</f>
        <v>Мітчик Тр. 5/8" маш./руч.</v>
      </c>
      <c r="D3535" s="15" t="s">
        <v>4370</v>
      </c>
      <c r="E3535" s="15">
        <v>12</v>
      </c>
      <c r="F3535" s="91" t="s">
        <v>16</v>
      </c>
      <c r="G3535" s="4"/>
      <c r="H3535" s="4"/>
      <c r="I3535" s="4"/>
    </row>
    <row r="3536" spans="1:9" ht="15">
      <c r="A3536" s="21">
        <f t="shared" si="65"/>
        <v>229</v>
      </c>
      <c r="B3536" s="14" t="s">
        <v>4702</v>
      </c>
      <c r="C3536" s="85" t="str">
        <f ca="1">IFERROR(__xludf.DUMMYFUNCTION("GOOGLETRANSLATE(B3536:B3551,""RU"",""UK"")"),"Мітчик ТР. 7/8"" маш./руч. / 7/8"" гаєчн.")</f>
        <v>Мітчик ТР. 7/8" маш./руч. / 7/8" гаєчн.</v>
      </c>
      <c r="D3536" s="15" t="s">
        <v>4370</v>
      </c>
      <c r="E3536" s="15" t="s">
        <v>4703</v>
      </c>
      <c r="F3536" s="91" t="s">
        <v>22</v>
      </c>
      <c r="G3536" s="4"/>
      <c r="H3536" s="4"/>
      <c r="I3536" s="4"/>
    </row>
    <row r="3537" spans="1:9" ht="15">
      <c r="A3537" s="21">
        <f t="shared" si="65"/>
        <v>230</v>
      </c>
      <c r="B3537" s="19" t="s">
        <v>4704</v>
      </c>
      <c r="C3537" s="85" t="str">
        <f ca="1">IFERROR(__xludf.DUMMYFUNCTION("GOOGLETRANSLATE(B3537:B3552,""RU"",""UK"")"),"Мітчик 7/8""W маш.руч. (9ниток)")</f>
        <v>Мітчик 7/8"W маш.руч. (9ниток)</v>
      </c>
      <c r="D3537" s="15" t="s">
        <v>4370</v>
      </c>
      <c r="E3537" s="26">
        <v>68</v>
      </c>
      <c r="F3537" s="91" t="s">
        <v>22</v>
      </c>
      <c r="G3537" s="4"/>
      <c r="H3537" s="4"/>
      <c r="I3537" s="4"/>
    </row>
    <row r="3538" spans="1:9" ht="15">
      <c r="A3538" s="21">
        <f t="shared" si="65"/>
        <v>231</v>
      </c>
      <c r="B3538" s="16" t="s">
        <v>4705</v>
      </c>
      <c r="C3538" s="85" t="str">
        <f ca="1">IFERROR(__xludf.DUMMYFUNCTION("GOOGLETRANSLATE(B3538:B3553,""RU"",""UK"")"),"Мітчик ТР. 1/2"" маш./руч.")</f>
        <v>Мітчик ТР. 1/2" маш./руч.</v>
      </c>
      <c r="D3538" s="15" t="s">
        <v>4370</v>
      </c>
      <c r="E3538" s="17">
        <v>276</v>
      </c>
      <c r="F3538" s="91" t="s">
        <v>140</v>
      </c>
      <c r="G3538" s="4"/>
      <c r="H3538" s="4"/>
      <c r="I3538" s="4"/>
    </row>
    <row r="3539" spans="1:9" ht="15">
      <c r="A3539" s="21">
        <f t="shared" si="65"/>
        <v>232</v>
      </c>
      <c r="B3539" s="14" t="s">
        <v>4706</v>
      </c>
      <c r="C3539" s="85" t="str">
        <f ca="1">IFERROR(__xludf.DUMMYFUNCTION("GOOGLETRANSLATE(B3539:B3554,""RU"",""UK"")"),"Мітчик ТР. 1/2"" маш./руч. Р6М5")</f>
        <v>Мітчик ТР. 1/2" маш./руч. Р6М5</v>
      </c>
      <c r="D3539" s="15" t="s">
        <v>4370</v>
      </c>
      <c r="E3539" s="15">
        <v>2</v>
      </c>
      <c r="F3539" s="91" t="s">
        <v>24</v>
      </c>
      <c r="G3539" s="4"/>
      <c r="H3539" s="4"/>
      <c r="I3539" s="4"/>
    </row>
    <row r="3540" spans="1:9" ht="15">
      <c r="A3540" s="21">
        <f t="shared" si="65"/>
        <v>233</v>
      </c>
      <c r="B3540" s="14" t="s">
        <v>4707</v>
      </c>
      <c r="C3540" s="85" t="str">
        <f ca="1">IFERROR(__xludf.DUMMYFUNCTION("GOOGLETRANSLATE(B3540:B3555,""RU"",""UK"")"),"Мітчик Тр. 1/2"" Р6М5")</f>
        <v>Мітчик Тр. 1/2" Р6М5</v>
      </c>
      <c r="D3540" s="15" t="s">
        <v>6</v>
      </c>
      <c r="E3540" s="15">
        <v>17</v>
      </c>
      <c r="F3540" s="91" t="s">
        <v>140</v>
      </c>
      <c r="G3540" s="4"/>
      <c r="H3540" s="4"/>
      <c r="I3540" s="4"/>
    </row>
    <row r="3541" spans="1:9" ht="15">
      <c r="A3541" s="21">
        <f t="shared" si="65"/>
        <v>234</v>
      </c>
      <c r="B3541" s="14" t="s">
        <v>4708</v>
      </c>
      <c r="C3541" s="85" t="str">
        <f ca="1">IFERROR(__xludf.DUMMYFUNCTION("GOOGLETRANSLATE(B3541:B3556,""RU"",""UK"")"),"Мітчик К1/2"" / Тр.К.1/2""")</f>
        <v>Мітчик К1/2" / Тр.К.1/2"</v>
      </c>
      <c r="D3541" s="15" t="s">
        <v>6</v>
      </c>
      <c r="E3541" s="15" t="s">
        <v>4709</v>
      </c>
      <c r="F3541" s="91" t="s">
        <v>515</v>
      </c>
      <c r="G3541" s="4"/>
      <c r="H3541" s="4"/>
      <c r="I3541" s="4"/>
    </row>
    <row r="3542" spans="1:9" ht="15">
      <c r="A3542" s="21">
        <f t="shared" si="65"/>
        <v>235</v>
      </c>
      <c r="B3542" s="14" t="s">
        <v>4710</v>
      </c>
      <c r="C3542" s="85" t="str">
        <f ca="1">IFERROR(__xludf.DUMMYFUNCTION("GOOGLETRANSLATE(B3542:B3557,""RU"",""UK"")"),"Мітчик 1/2""Wгаєчн. (12ниток) / 1/2""W (14 ниток)")</f>
        <v>Мітчик 1/2"Wгаєчн. (12ниток) / 1/2"W (14 ниток)</v>
      </c>
      <c r="D3542" s="15" t="s">
        <v>6</v>
      </c>
      <c r="E3542" s="15" t="s">
        <v>686</v>
      </c>
      <c r="F3542" s="91" t="s">
        <v>20</v>
      </c>
      <c r="G3542" s="4"/>
      <c r="H3542" s="4"/>
      <c r="I3542" s="4"/>
    </row>
    <row r="3543" spans="1:9" ht="15">
      <c r="A3543" s="21">
        <f t="shared" si="65"/>
        <v>236</v>
      </c>
      <c r="B3543" s="14" t="s">
        <v>4711</v>
      </c>
      <c r="C3543" s="85" t="str">
        <f ca="1">IFERROR(__xludf.DUMMYFUNCTION("GOOGLETRANSLATE(B3543:B3558,""RU"",""UK"")"),"Мітчик К1/4"" / Тр. К. 1/4""")</f>
        <v>Мітчик К1/4" / Тр. К. 1/4"</v>
      </c>
      <c r="D3543" s="15" t="s">
        <v>6</v>
      </c>
      <c r="E3543" s="15" t="s">
        <v>4712</v>
      </c>
      <c r="F3543" s="91" t="s">
        <v>119</v>
      </c>
      <c r="G3543" s="4"/>
      <c r="H3543" s="4"/>
      <c r="I3543" s="4"/>
    </row>
    <row r="3544" spans="1:9" ht="15">
      <c r="A3544" s="21">
        <f t="shared" si="65"/>
        <v>237</v>
      </c>
      <c r="B3544" s="14" t="s">
        <v>4713</v>
      </c>
      <c r="C3544" s="85" t="str">
        <f ca="1">IFERROR(__xludf.DUMMYFUNCTION("GOOGLETRANSLATE(B3544:B3559,""RU"",""UK"")"),"Мітчик К1/8"" / Тр. К. 1/8""")</f>
        <v>Мітчик К1/8" / Тр. К. 1/8"</v>
      </c>
      <c r="D3544" s="15" t="s">
        <v>6</v>
      </c>
      <c r="E3544" s="15" t="s">
        <v>4714</v>
      </c>
      <c r="F3544" s="91" t="s">
        <v>119</v>
      </c>
      <c r="G3544" s="4"/>
      <c r="H3544" s="4"/>
      <c r="I3544" s="4"/>
    </row>
    <row r="3545" spans="1:9" ht="15">
      <c r="A3545" s="21">
        <f t="shared" si="65"/>
        <v>238</v>
      </c>
      <c r="B3545" s="14" t="s">
        <v>4715</v>
      </c>
      <c r="C3545" s="85" t="str">
        <f ca="1">IFERROR(__xludf.DUMMYFUNCTION("GOOGLETRANSLATE(B3545:B3560,""RU"",""UK"")"),"Мітчик 3/4"" W(10ниток) / 5/16"" W(18ниток) / 5/16"" W")</f>
        <v>Мітчик 3/4" W(10ниток) / 5/16" W(18ниток) / 5/16" W</v>
      </c>
      <c r="D3545" s="15" t="s">
        <v>4370</v>
      </c>
      <c r="E3545" s="15" t="s">
        <v>4716</v>
      </c>
      <c r="F3545" s="91" t="s">
        <v>22</v>
      </c>
      <c r="G3545" s="4"/>
      <c r="H3545" s="4"/>
      <c r="I3545" s="4"/>
    </row>
    <row r="3546" spans="1:9" ht="15">
      <c r="A3546" s="21">
        <f t="shared" si="65"/>
        <v>239</v>
      </c>
      <c r="B3546" s="14" t="s">
        <v>4717</v>
      </c>
      <c r="C3546" s="85" t="str">
        <f ca="1">IFERROR(__xludf.DUMMYFUNCTION("GOOGLETRANSLATE(B3546:B3561,""RU"",""UK"")"),"Мітчик 3/16"" W(24нитки) / 1/4""W(20ниток)")</f>
        <v>Мітчик 3/16" W(24нитки) / 1/4"W(20ниток)</v>
      </c>
      <c r="D3546" s="15" t="s">
        <v>6</v>
      </c>
      <c r="E3546" s="15" t="s">
        <v>2711</v>
      </c>
      <c r="F3546" s="91" t="s">
        <v>162</v>
      </c>
      <c r="G3546" s="4"/>
      <c r="H3546" s="4"/>
      <c r="I3546" s="4"/>
    </row>
    <row r="3547" spans="1:9" ht="15">
      <c r="A3547" s="21">
        <f t="shared" si="65"/>
        <v>240</v>
      </c>
      <c r="B3547" s="14" t="s">
        <v>4718</v>
      </c>
      <c r="C3547" s="85" t="str">
        <f ca="1">IFERROR(__xludf.DUMMYFUNCTION("GOOGLETRANSLATE(B3547:B3562,""RU"",""UK"")"),"Мітчик К3/4"" / Тр. К. 3/4""")</f>
        <v>Мітчик К3/4" / Тр. К. 3/4"</v>
      </c>
      <c r="D3547" s="15" t="s">
        <v>6</v>
      </c>
      <c r="E3547" s="15" t="s">
        <v>4719</v>
      </c>
      <c r="F3547" s="91" t="s">
        <v>327</v>
      </c>
      <c r="G3547" s="4"/>
      <c r="H3547" s="4"/>
      <c r="I3547" s="4"/>
    </row>
    <row r="3548" spans="1:9" ht="15">
      <c r="A3548" s="21">
        <f t="shared" si="65"/>
        <v>241</v>
      </c>
      <c r="B3548" s="16" t="s">
        <v>4720</v>
      </c>
      <c r="C3548" s="85" t="str">
        <f ca="1">IFERROR(__xludf.DUMMYFUNCTION("GOOGLETRANSLATE(B3548:B3563,""RU"",""UK"")"),"Мітчик ТР. 3/4""")</f>
        <v>Мітчик ТР. 3/4"</v>
      </c>
      <c r="D3548" s="15" t="s">
        <v>4370</v>
      </c>
      <c r="E3548" s="15">
        <v>0</v>
      </c>
      <c r="F3548" s="91" t="s">
        <v>22</v>
      </c>
      <c r="G3548" s="4"/>
      <c r="H3548" s="4"/>
      <c r="I3548" s="4"/>
    </row>
    <row r="3549" spans="1:9" ht="15">
      <c r="A3549" s="21">
        <f t="shared" si="65"/>
        <v>242</v>
      </c>
      <c r="B3549" s="16" t="s">
        <v>4721</v>
      </c>
      <c r="C3549" s="85" t="str">
        <f ca="1">IFERROR(__xludf.DUMMYFUNCTION("GOOGLETRANSLATE(B3549:B3564,""RU"",""UK"")"),"Мітчик ТР. 3/4"" Р6М5")</f>
        <v>Мітчик ТР. 3/4" Р6М5</v>
      </c>
      <c r="D3549" s="15" t="s">
        <v>6</v>
      </c>
      <c r="E3549" s="15">
        <v>1</v>
      </c>
      <c r="F3549" s="91" t="s">
        <v>24</v>
      </c>
      <c r="G3549" s="4"/>
      <c r="H3549" s="4"/>
      <c r="I3549" s="4"/>
    </row>
    <row r="3550" spans="1:9" ht="15">
      <c r="A3550" s="21">
        <f t="shared" si="65"/>
        <v>243</v>
      </c>
      <c r="B3550" s="14" t="s">
        <v>4722</v>
      </c>
      <c r="C3550" s="85" t="str">
        <f ca="1">IFERROR(__xludf.DUMMYFUNCTION("GOOGLETRANSLATE(B3550:B3565,""RU"",""UK"")"),"Мітчик Тр 3/4"" ВК8")</f>
        <v>Мітчик Тр 3/4" ВК8</v>
      </c>
      <c r="D3550" s="15" t="s">
        <v>6</v>
      </c>
      <c r="E3550" s="15">
        <v>21</v>
      </c>
      <c r="F3550" s="91" t="s">
        <v>20</v>
      </c>
      <c r="G3550" s="4"/>
      <c r="H3550" s="4"/>
      <c r="I3550" s="4"/>
    </row>
    <row r="3551" spans="1:9" ht="15">
      <c r="A3551" s="21">
        <f t="shared" si="65"/>
        <v>244</v>
      </c>
      <c r="B3551" s="14" t="s">
        <v>4723</v>
      </c>
      <c r="C3551" s="85" t="str">
        <f ca="1">IFERROR(__xludf.DUMMYFUNCTION("GOOGLETRANSLATE(B3551:B3566,""RU"",""UK"")"),"Мітчик W 3/4"" (16ниток) гаєчн. / W 3/4"" (10ниток) гаєчн.")</f>
        <v>Мітчик W 3/4" (16ниток) гаєчн. / W 3/4" (10ниток) гаєчн.</v>
      </c>
      <c r="D3551" s="15" t="s">
        <v>6</v>
      </c>
      <c r="E3551" s="15" t="s">
        <v>1893</v>
      </c>
      <c r="F3551" s="91" t="s">
        <v>4724</v>
      </c>
      <c r="G3551" s="4"/>
      <c r="H3551" s="4"/>
      <c r="I3551" s="4"/>
    </row>
    <row r="3552" spans="1:9" ht="15">
      <c r="A3552" s="21">
        <f t="shared" si="65"/>
        <v>245</v>
      </c>
      <c r="B3552" s="14" t="s">
        <v>4725</v>
      </c>
      <c r="C3552" s="85" t="str">
        <f ca="1">IFERROR(__xludf.DUMMYFUNCTION("GOOGLETRANSLATE(B3552:B3567,""RU"",""UK"")"),"Мітчик 5/16""W(18ниток) / 7/8""W(14ниток)")</f>
        <v>Мітчик 5/16"W(18ниток) / 7/8"W(14ниток)</v>
      </c>
      <c r="D3552" s="15" t="s">
        <v>6</v>
      </c>
      <c r="E3552" s="15" t="s">
        <v>4344</v>
      </c>
      <c r="F3552" s="91" t="s">
        <v>106</v>
      </c>
      <c r="G3552" s="4"/>
      <c r="H3552" s="4"/>
      <c r="I3552" s="4"/>
    </row>
    <row r="3553" spans="1:9" ht="15">
      <c r="A3553" s="21">
        <f t="shared" si="65"/>
        <v>246</v>
      </c>
      <c r="B3553" s="14" t="s">
        <v>4726</v>
      </c>
      <c r="C3553" s="85" t="str">
        <f ca="1">IFERROR(__xludf.DUMMYFUNCTION("GOOGLETRANSLATE(B3553:B3568,""RU"",""UK"")"),"Мітчик 1 1/8""W(16ниток)прав / 1 1/8""W(16ниток)лев")</f>
        <v>Мітчик 1 1/8"W(16ниток)прав / 1 1/8"W(16ниток)лев</v>
      </c>
      <c r="D3553" s="15" t="s">
        <v>6</v>
      </c>
      <c r="E3553" s="15" t="s">
        <v>749</v>
      </c>
      <c r="F3553" s="91" t="s">
        <v>413</v>
      </c>
      <c r="G3553" s="4"/>
      <c r="H3553" s="4"/>
      <c r="I3553" s="4"/>
    </row>
    <row r="3554" spans="1:9" ht="15">
      <c r="A3554" s="21">
        <f t="shared" si="65"/>
        <v>247</v>
      </c>
      <c r="B3554" s="14" t="s">
        <v>4727</v>
      </c>
      <c r="C3554" s="85" t="str">
        <f ca="1">IFERROR(__xludf.DUMMYFUNCTION("GOOGLETRANSLATE(B3554:B3569,""RU"",""UK"")"),"Мітчик 1 1/16"" W (12 ниток)")</f>
        <v>Мітчик 1 1/16" W (12 ниток)</v>
      </c>
      <c r="D3554" s="15" t="s">
        <v>6</v>
      </c>
      <c r="E3554" s="15">
        <v>3</v>
      </c>
      <c r="F3554" s="91" t="s">
        <v>413</v>
      </c>
      <c r="G3554" s="4"/>
      <c r="H3554" s="4"/>
      <c r="I3554" s="4"/>
    </row>
    <row r="3555" spans="1:9" ht="15">
      <c r="A3555" s="21">
        <f t="shared" si="65"/>
        <v>248</v>
      </c>
      <c r="B3555" s="14" t="s">
        <v>4728</v>
      </c>
      <c r="C3555" s="85" t="str">
        <f ca="1">IFERROR(__xludf.DUMMYFUNCTION("GOOGLETRANSLATE(B3555:B3570,""RU"",""UK"")"),"Мітчик 1""W (8ниток)/ 1 1/8"" W (7ниток)")</f>
        <v>Мітчик 1"W (8ниток)/ 1 1/8" W (7ниток)</v>
      </c>
      <c r="D3555" s="15" t="s">
        <v>6</v>
      </c>
      <c r="E3555" s="15" t="s">
        <v>749</v>
      </c>
      <c r="F3555" s="91" t="s">
        <v>27</v>
      </c>
      <c r="G3555" s="4"/>
      <c r="H3555" s="4"/>
      <c r="I3555" s="4"/>
    </row>
    <row r="3556" spans="1:9" ht="15">
      <c r="A3556" s="21">
        <f t="shared" si="65"/>
        <v>249</v>
      </c>
      <c r="B3556" s="56" t="s">
        <v>4729</v>
      </c>
      <c r="C3556" s="85" t="str">
        <f ca="1">IFERROR(__xludf.DUMMYFUNCTION("GOOGLETRANSLATE(B3556:B3571,""RU"",""UK"")"),"Мітчик 5/8"" W(11 ниток) / 5/8"" Wгаечн.(11ниток)")</f>
        <v>Мітчик 5/8" W(11 ниток) / 5/8" Wгаечн.(11ниток)</v>
      </c>
      <c r="D3556" s="79" t="s">
        <v>6</v>
      </c>
      <c r="E3556" s="79" t="s">
        <v>3140</v>
      </c>
      <c r="F3556" s="108" t="s">
        <v>106</v>
      </c>
      <c r="G3556" s="4"/>
      <c r="H3556" s="4"/>
      <c r="I3556" s="4"/>
    </row>
    <row r="3557" spans="1:9" ht="15">
      <c r="A3557" s="21">
        <f t="shared" si="65"/>
        <v>250</v>
      </c>
      <c r="B3557" s="14" t="s">
        <v>4730</v>
      </c>
      <c r="C3557" s="85" t="str">
        <f ca="1">IFERROR(__xludf.DUMMYFUNCTION("GOOGLETRANSLATE(B3557:B3572,""RU"",""UK"")"),"Мітчик К3/8"" / Тр. К.3/8""")</f>
        <v>Мітчик К3/8" / Тр. К.3/8"</v>
      </c>
      <c r="D3557" s="15" t="s">
        <v>6</v>
      </c>
      <c r="E3557" s="15" t="s">
        <v>4731</v>
      </c>
      <c r="F3557" s="91" t="s">
        <v>327</v>
      </c>
      <c r="G3557" s="4"/>
      <c r="H3557" s="4"/>
      <c r="I3557" s="4"/>
    </row>
    <row r="3558" spans="1:9" ht="15">
      <c r="A3558" s="21">
        <f t="shared" si="65"/>
        <v>251</v>
      </c>
      <c r="B3558" s="14" t="s">
        <v>4732</v>
      </c>
      <c r="C3558" s="85" t="str">
        <f ca="1">IFERROR(__xludf.DUMMYFUNCTION("GOOGLETRANSLATE(B3558:B3573,""RU"",""UK"")"),"Мітчик К Тр 1"" маш. / К1""")</f>
        <v>Мітчик К Тр 1" маш. / К1"</v>
      </c>
      <c r="D3558" s="15" t="s">
        <v>6</v>
      </c>
      <c r="E3558" s="15" t="s">
        <v>4733</v>
      </c>
      <c r="F3558" s="91" t="s">
        <v>272</v>
      </c>
      <c r="G3558" s="4"/>
      <c r="H3558" s="4"/>
      <c r="I3558" s="4"/>
    </row>
    <row r="3559" spans="1:9" ht="15">
      <c r="A3559" s="21">
        <f t="shared" si="65"/>
        <v>252</v>
      </c>
      <c r="B3559" s="14" t="s">
        <v>4734</v>
      </c>
      <c r="C3559" s="85" t="str">
        <f ca="1">IFERROR(__xludf.DUMMYFUNCTION("GOOGLETRANSLATE(B3559:B3574,""RU"",""UK"")"),"Мітчик К Газ 29 / К 27.8")</f>
        <v>Мітчик К Газ 29 / К 27.8</v>
      </c>
      <c r="D3559" s="15" t="s">
        <v>6</v>
      </c>
      <c r="E3559" s="15" t="s">
        <v>4433</v>
      </c>
      <c r="F3559" s="91" t="s">
        <v>27</v>
      </c>
      <c r="G3559" s="4"/>
      <c r="H3559" s="4"/>
      <c r="I3559" s="4"/>
    </row>
    <row r="3560" spans="1:9" ht="15">
      <c r="A3560" s="21">
        <f t="shared" si="65"/>
        <v>253</v>
      </c>
      <c r="B3560" s="14" t="s">
        <v>4735</v>
      </c>
      <c r="C3560" s="85" t="str">
        <f ca="1">IFERROR(__xludf.DUMMYFUNCTION("GOOGLETRANSLATE(B3560:B3575,""RU"",""UK"")"),"Мітчик Тр 1"" / Тр 1"" ВК8")</f>
        <v>Мітчик Тр 1" / Тр 1" ВК8</v>
      </c>
      <c r="D3560" s="15" t="s">
        <v>6</v>
      </c>
      <c r="E3560" s="15" t="s">
        <v>4736</v>
      </c>
      <c r="F3560" s="91" t="s">
        <v>272</v>
      </c>
      <c r="G3560" s="4"/>
      <c r="H3560" s="4"/>
      <c r="I3560" s="4"/>
    </row>
    <row r="3561" spans="1:9" ht="15">
      <c r="A3561" s="21">
        <f t="shared" si="65"/>
        <v>254</v>
      </c>
      <c r="B3561" s="14" t="s">
        <v>4737</v>
      </c>
      <c r="C3561" s="85" t="str">
        <f ca="1">IFERROR(__xludf.DUMMYFUNCTION("GOOGLETRANSLATE(B3561:B3576,""RU"",""UK"")"),"Мітчик Тр 1""")</f>
        <v>Мітчик Тр 1"</v>
      </c>
      <c r="D3561" s="15" t="s">
        <v>4370</v>
      </c>
      <c r="E3561" s="15">
        <v>5</v>
      </c>
      <c r="F3561" s="91" t="s">
        <v>283</v>
      </c>
      <c r="G3561" s="4"/>
      <c r="H3561" s="4"/>
      <c r="I3561" s="4"/>
    </row>
    <row r="3562" spans="1:9" ht="15">
      <c r="A3562" s="21">
        <f t="shared" si="65"/>
        <v>255</v>
      </c>
      <c r="B3562" s="14" t="s">
        <v>4738</v>
      </c>
      <c r="C3562" s="85" t="str">
        <f ca="1">IFERROR(__xludf.DUMMYFUNCTION("GOOGLETRANSLATE(B3562:B3577,""RU"",""UK"")"),"Мітчик 1"" W гаєчн.(8ниток)")</f>
        <v>Мітчик 1" W гаєчн.(8ниток)</v>
      </c>
      <c r="D3562" s="15" t="s">
        <v>6</v>
      </c>
      <c r="E3562" s="15">
        <v>10</v>
      </c>
      <c r="F3562" s="91" t="s">
        <v>272</v>
      </c>
      <c r="G3562" s="4"/>
      <c r="H3562" s="4"/>
      <c r="I3562" s="4"/>
    </row>
    <row r="3563" spans="1:9" ht="15">
      <c r="A3563" s="21">
        <f t="shared" si="65"/>
        <v>256</v>
      </c>
      <c r="B3563" s="14" t="s">
        <v>4739</v>
      </c>
      <c r="C3563" s="85" t="str">
        <f ca="1">IFERROR(__xludf.DUMMYFUNCTION("GOOGLETRANSLATE(B3563:B3578,""RU"",""UK"")"),"Мітчик 1"" W (8ниток)")</f>
        <v>Мітчик 1" W (8ниток)</v>
      </c>
      <c r="D3563" s="15" t="s">
        <v>4370</v>
      </c>
      <c r="E3563" s="15">
        <v>17</v>
      </c>
      <c r="F3563" s="91" t="s">
        <v>4633</v>
      </c>
      <c r="G3563" s="4"/>
      <c r="H3563" s="4"/>
      <c r="I3563" s="4"/>
    </row>
    <row r="3564" spans="1:9" ht="15">
      <c r="A3564" s="21">
        <f t="shared" si="65"/>
        <v>257</v>
      </c>
      <c r="B3564" s="14" t="s">
        <v>4740</v>
      </c>
      <c r="C3564" s="85" t="str">
        <f ca="1">IFERROR(__xludf.DUMMYFUNCTION("GOOGLETRANSLATE(B3564:B3579,""RU"",""UK"")"),"Мітчик 1"" W гаєч. (8ниток)/ 1 3/8""W(6ниток) / 1 1/8""W(7ниток)")</f>
        <v>Мітчик 1" W гаєч. (8ниток)/ 1 3/8"W(6ниток) / 1 1/8"W(7ниток)</v>
      </c>
      <c r="D3564" s="15" t="s">
        <v>6</v>
      </c>
      <c r="E3564" s="15" t="s">
        <v>4741</v>
      </c>
      <c r="F3564" s="91" t="s">
        <v>22</v>
      </c>
      <c r="G3564" s="4"/>
      <c r="H3564" s="4"/>
      <c r="I3564" s="4"/>
    </row>
    <row r="3565" spans="1:9" ht="15">
      <c r="A3565" s="21">
        <f t="shared" si="65"/>
        <v>258</v>
      </c>
      <c r="B3565" s="14" t="s">
        <v>4742</v>
      </c>
      <c r="C3565" s="85" t="str">
        <f ca="1">IFERROR(__xludf.DUMMYFUNCTION("GOOGLETRANSLATE(B3565:B3580,""RU"",""UK"")"),"Мітчик 1 3/8""W(6ниток) (з 3х шт) / 1 3/8""W(10ниток) (з 3х шт)")</f>
        <v>Мітчик 1 3/8"W(6ниток) (з 3х шт) / 1 3/8"W(10ниток) (з 3х шт)</v>
      </c>
      <c r="D3565" s="15" t="s">
        <v>4370</v>
      </c>
      <c r="E3565" s="15" t="s">
        <v>749</v>
      </c>
      <c r="F3565" s="91" t="s">
        <v>842</v>
      </c>
      <c r="G3565" s="4"/>
      <c r="H3565" s="4"/>
      <c r="I3565" s="4"/>
    </row>
    <row r="3566" spans="1:9" ht="15">
      <c r="A3566" s="21">
        <f t="shared" ref="A3566:A3574" si="66">A3565+1</f>
        <v>259</v>
      </c>
      <c r="B3566" s="14" t="s">
        <v>4743</v>
      </c>
      <c r="C3566" s="85" t="str">
        <f ca="1">IFERROR(__xludf.DUMMYFUNCTION("GOOGLETRANSLATE(B3566:B3581,""RU"",""UK"")"),"Мітчик Тр. К. 1 1/4 ""/ К. 1 1/4"" / Тр. 1 1/4""")</f>
        <v>Мітчик Тр. К. 1 1/4 "/ К. 1 1/4" / Тр. 1 1/4"</v>
      </c>
      <c r="D3566" s="15" t="s">
        <v>6</v>
      </c>
      <c r="E3566" s="15" t="s">
        <v>4744</v>
      </c>
      <c r="F3566" s="91" t="s">
        <v>102</v>
      </c>
      <c r="G3566" s="4"/>
      <c r="H3566" s="4"/>
      <c r="I3566" s="4"/>
    </row>
    <row r="3567" spans="1:9" ht="15">
      <c r="A3567" s="21">
        <f t="shared" si="66"/>
        <v>260</v>
      </c>
      <c r="B3567" s="14" t="s">
        <v>4745</v>
      </c>
      <c r="C3567" s="85" t="str">
        <f ca="1">IFERROR(__xludf.DUMMYFUNCTION("GOOGLETRANSLATE(B3567:B3582,""RU"",""UK"")"),"Мітчик К. 1 1/2"" / Тр. К. 1 1/2""")</f>
        <v>Мітчик К. 1 1/2" / Тр. К. 1 1/2"</v>
      </c>
      <c r="D3567" s="15" t="s">
        <v>6</v>
      </c>
      <c r="E3567" s="15" t="s">
        <v>4746</v>
      </c>
      <c r="F3567" s="91" t="s">
        <v>663</v>
      </c>
      <c r="G3567" s="4"/>
      <c r="H3567" s="4"/>
      <c r="I3567" s="4"/>
    </row>
    <row r="3568" spans="1:9" ht="15">
      <c r="A3568" s="21">
        <f t="shared" si="66"/>
        <v>261</v>
      </c>
      <c r="B3568" s="14" t="s">
        <v>4747</v>
      </c>
      <c r="C3568" s="85" t="str">
        <f ca="1">IFERROR(__xludf.DUMMYFUNCTION("GOOGLETRANSLATE(B3568:B3583,""RU"",""UK"")"),"Мітчик К2"" / Тр. К. 2""")</f>
        <v>Мітчик К2" / Тр. К. 2"</v>
      </c>
      <c r="D3568" s="15" t="s">
        <v>6</v>
      </c>
      <c r="E3568" s="15" t="s">
        <v>4748</v>
      </c>
      <c r="F3568" s="91" t="s">
        <v>102</v>
      </c>
      <c r="G3568" s="4"/>
      <c r="H3568" s="4"/>
      <c r="I3568" s="4"/>
    </row>
    <row r="3569" spans="1:9" ht="15">
      <c r="A3569" s="21">
        <f t="shared" si="66"/>
        <v>262</v>
      </c>
      <c r="B3569" s="14" t="s">
        <v>4749</v>
      </c>
      <c r="C3569" s="85" t="str">
        <f ca="1">IFERROR(__xludf.DUMMYFUNCTION("GOOGLETRANSLATE(B3569:B3584,""RU"",""UK"")"),"Мітчик Тр.1 1/2"" маш. / Тр.1 3/8""")</f>
        <v>Мітчик Тр.1 1/2" маш. / Тр.1 3/8"</v>
      </c>
      <c r="D3569" s="15" t="s">
        <v>6</v>
      </c>
      <c r="E3569" s="15" t="s">
        <v>4750</v>
      </c>
      <c r="F3569" s="91" t="s">
        <v>63</v>
      </c>
      <c r="G3569" s="4"/>
      <c r="H3569" s="4"/>
      <c r="I3569" s="4"/>
    </row>
    <row r="3570" spans="1:9" ht="15">
      <c r="A3570" s="21">
        <f t="shared" si="66"/>
        <v>263</v>
      </c>
      <c r="B3570" s="14" t="s">
        <v>4751</v>
      </c>
      <c r="C3570" s="85" t="str">
        <f ca="1">IFERROR(__xludf.DUMMYFUNCTION("GOOGLETRANSLATE(B3570:B3585,""RU"",""UK"")"),"Мітчик ТР. 2"" маш.")</f>
        <v>Мітчик ТР. 2" маш.</v>
      </c>
      <c r="D3570" s="15" t="s">
        <v>6</v>
      </c>
      <c r="E3570" s="15">
        <v>9</v>
      </c>
      <c r="F3570" s="91" t="s">
        <v>102</v>
      </c>
      <c r="G3570" s="4"/>
      <c r="H3570" s="4"/>
      <c r="I3570" s="4"/>
    </row>
    <row r="3571" spans="1:9" ht="15">
      <c r="A3571" s="21">
        <f t="shared" si="66"/>
        <v>264</v>
      </c>
      <c r="B3571" s="19" t="s">
        <v>4752</v>
      </c>
      <c r="C3571" s="85" t="str">
        <f ca="1">IFERROR(__xludf.DUMMYFUNCTION("GOOGLETRANSLATE(B3571:B3586,""RU"",""UK"")"),"Мітчик Тр. 1 1/8""/1 1/4""/1 1/2"" маш./руч.")</f>
        <v>Мітчик Тр. 1 1/8"/1 1/4"/1 1/2" маш./руч.</v>
      </c>
      <c r="D3571" s="15" t="s">
        <v>4370</v>
      </c>
      <c r="E3571" s="15" t="s">
        <v>4753</v>
      </c>
      <c r="F3571" s="91" t="s">
        <v>111</v>
      </c>
      <c r="G3571" s="4"/>
      <c r="H3571" s="4"/>
      <c r="I3571" s="4"/>
    </row>
    <row r="3572" spans="1:9" ht="15">
      <c r="A3572" s="21">
        <f t="shared" si="66"/>
        <v>265</v>
      </c>
      <c r="B3572" s="14" t="s">
        <v>4754</v>
      </c>
      <c r="C3572" s="85" t="str">
        <f ca="1">IFERROR(__xludf.DUMMYFUNCTION("GOOGLETRANSLATE(B3572:B3587,""RU"",""UK"")"),"Мітчик Тр. 1 3/8"" / Тр. 1 3/4"" маш./руч.")</f>
        <v>Мітчик Тр. 1 3/8" / Тр. 1 3/4" маш./руч.</v>
      </c>
      <c r="D3572" s="15" t="s">
        <v>4370</v>
      </c>
      <c r="E3572" s="15" t="s">
        <v>4755</v>
      </c>
      <c r="F3572" s="91" t="s">
        <v>111</v>
      </c>
      <c r="G3572" s="4"/>
      <c r="H3572" s="4"/>
      <c r="I3572" s="4"/>
    </row>
    <row r="3573" spans="1:9" ht="15">
      <c r="A3573" s="21">
        <f t="shared" si="66"/>
        <v>266</v>
      </c>
      <c r="B3573" s="14" t="s">
        <v>4756</v>
      </c>
      <c r="C3573" s="85" t="str">
        <f ca="1">IFERROR(__xludf.DUMMYFUNCTION("GOOGLETRANSLATE(B3573:B3588,""RU"",""UK"")"),"Мітчик Тр. 2"" маш./руч. / Тр.К 2""")</f>
        <v>Мітчик Тр. 2" маш./руч. / Тр.К 2"</v>
      </c>
      <c r="D3573" s="15" t="s">
        <v>4370</v>
      </c>
      <c r="E3573" s="15" t="s">
        <v>749</v>
      </c>
      <c r="F3573" s="91" t="s">
        <v>111</v>
      </c>
      <c r="G3573" s="4"/>
      <c r="H3573" s="4"/>
      <c r="I3573" s="4"/>
    </row>
    <row r="3574" spans="1:9" ht="15">
      <c r="A3574" s="21">
        <f t="shared" si="66"/>
        <v>267</v>
      </c>
      <c r="B3574" s="14" t="s">
        <v>4757</v>
      </c>
      <c r="C3574" s="85" t="str">
        <f ca="1">IFERROR(__xludf.DUMMYFUNCTION("GOOGLETRANSLATE(B3574:B3589,""RU"",""UK"")"),"Мітчик Тр. К. 3""")</f>
        <v>Мітчик Тр. К. 3"</v>
      </c>
      <c r="D3574" s="15" t="s">
        <v>6</v>
      </c>
      <c r="E3574" s="15">
        <v>1</v>
      </c>
      <c r="F3574" s="91" t="s">
        <v>102</v>
      </c>
      <c r="G3574" s="4"/>
      <c r="H3574" s="4"/>
      <c r="I3574" s="4"/>
    </row>
    <row r="3575" spans="1:9" ht="15">
      <c r="A3575" s="27"/>
      <c r="B3575" s="28"/>
      <c r="C3575" s="110" t="s">
        <v>6049</v>
      </c>
      <c r="D3575" s="28"/>
      <c r="E3575" s="28"/>
      <c r="F3575" s="94"/>
      <c r="G3575" s="4"/>
      <c r="H3575" s="4"/>
      <c r="I3575" s="4"/>
    </row>
    <row r="3576" spans="1:9" ht="15">
      <c r="A3576" s="13">
        <v>1</v>
      </c>
      <c r="B3576" s="14" t="s">
        <v>4758</v>
      </c>
      <c r="C3576" s="85" t="str">
        <f ca="1">IFERROR(__xludf.DUMMYFUNCTION("GOOGLETRANSLATE(B3576:B3591,""RU"",""UK"")"),"Патрон токарний трикулачковий ПСС-70мм")</f>
        <v>Патрон токарний трикулачковий ПСС-70мм</v>
      </c>
      <c r="D3576" s="15" t="s">
        <v>6</v>
      </c>
      <c r="E3576" s="15">
        <v>1</v>
      </c>
      <c r="F3576" s="91" t="s">
        <v>14</v>
      </c>
      <c r="G3576" s="4"/>
      <c r="H3576" s="4"/>
      <c r="I3576" s="4"/>
    </row>
    <row r="3577" spans="1:9" ht="15">
      <c r="A3577" s="13">
        <f>A3576+1</f>
        <v>2</v>
      </c>
      <c r="B3577" s="14" t="s">
        <v>4759</v>
      </c>
      <c r="C3577" s="85" t="str">
        <f ca="1">IFERROR(__xludf.DUMMYFUNCTION("GOOGLETRANSLATE(B3577:B3592,""RU"",""UK"")"),"Патрон токарний трикулачковий ПСС-80мм Польща")</f>
        <v>Патрон токарний трикулачковий ПСС-80мм Польща</v>
      </c>
      <c r="D3577" s="15" t="s">
        <v>6</v>
      </c>
      <c r="E3577" s="15">
        <v>1</v>
      </c>
      <c r="F3577" s="91" t="s">
        <v>3770</v>
      </c>
      <c r="G3577" s="4"/>
      <c r="H3577" s="4"/>
      <c r="I3577" s="4"/>
    </row>
    <row r="3578" spans="1:9" ht="15">
      <c r="A3578" s="21">
        <f t="shared" ref="A3578:A3641" si="67">A3577+1</f>
        <v>3</v>
      </c>
      <c r="B3578" s="19" t="s">
        <v>4760</v>
      </c>
      <c r="C3578" s="85" t="str">
        <f ca="1">IFERROR(__xludf.DUMMYFUNCTION("GOOGLETRANSLATE(B3578:B3593,""RU"",""UK"")"),"Патрон токарний трикулачковий ПСС-100мм Польща")</f>
        <v>Патрон токарний трикулачковий ПСС-100мм Польща</v>
      </c>
      <c r="D3578" s="15" t="s">
        <v>6</v>
      </c>
      <c r="E3578" s="15">
        <v>0</v>
      </c>
      <c r="F3578" s="91" t="s">
        <v>4761</v>
      </c>
      <c r="G3578" s="4"/>
      <c r="H3578" s="4"/>
      <c r="I3578" s="4"/>
    </row>
    <row r="3579" spans="1:9" ht="15">
      <c r="A3579" s="21">
        <f t="shared" si="67"/>
        <v>4</v>
      </c>
      <c r="B3579" s="45" t="s">
        <v>4762</v>
      </c>
      <c r="C3579" s="85" t="str">
        <f ca="1">IFERROR(__xludf.DUMMYFUNCTION("GOOGLETRANSLATE(B3579:B3594,""RU"",""UK"")"),"Патрон токарний трикулачковий ПСС-100мм")</f>
        <v>Патрон токарний трикулачковий ПСС-100мм</v>
      </c>
      <c r="D3579" s="15" t="s">
        <v>6</v>
      </c>
      <c r="E3579" s="15">
        <v>1</v>
      </c>
      <c r="F3579" s="91" t="s">
        <v>4763</v>
      </c>
      <c r="G3579" s="4"/>
      <c r="H3579" s="4"/>
      <c r="I3579" s="4"/>
    </row>
    <row r="3580" spans="1:9" ht="15">
      <c r="A3580" s="21">
        <f t="shared" si="67"/>
        <v>5</v>
      </c>
      <c r="B3580" s="19" t="s">
        <v>4764</v>
      </c>
      <c r="C3580" s="85" t="str">
        <f ca="1">IFERROR(__xludf.DUMMYFUNCTION("GOOGLETRANSLATE(B3580:B3595,""RU"",""UK"")"),"Патрон токарний трикулачковий ПСС-125мм")</f>
        <v>Патрон токарний трикулачковий ПСС-125мм</v>
      </c>
      <c r="D3580" s="15" t="s">
        <v>6</v>
      </c>
      <c r="E3580" s="15">
        <v>0</v>
      </c>
      <c r="F3580" s="91" t="s">
        <v>94</v>
      </c>
      <c r="G3580" s="4"/>
      <c r="H3580" s="4"/>
      <c r="I3580" s="4"/>
    </row>
    <row r="3581" spans="1:9" ht="15">
      <c r="A3581" s="21">
        <f t="shared" si="67"/>
        <v>6</v>
      </c>
      <c r="B3581" s="19" t="s">
        <v>4765</v>
      </c>
      <c r="C3581" s="85" t="str">
        <f ca="1">IFERROR(__xludf.DUMMYFUNCTION("GOOGLETRANSLATE(B3581:B3596,""RU"",""UK"")"),"Патрон токарний трикулачковий ПСС-125мм Польща")</f>
        <v>Патрон токарний трикулачковий ПСС-125мм Польща</v>
      </c>
      <c r="D3581" s="15" t="s">
        <v>6</v>
      </c>
      <c r="E3581" s="15">
        <v>1</v>
      </c>
      <c r="F3581" s="91" t="s">
        <v>3474</v>
      </c>
      <c r="G3581" s="4"/>
      <c r="H3581" s="4"/>
      <c r="I3581" s="4"/>
    </row>
    <row r="3582" spans="1:9" ht="15">
      <c r="A3582" s="21">
        <f t="shared" si="67"/>
        <v>7</v>
      </c>
      <c r="B3582" s="14" t="s">
        <v>4766</v>
      </c>
      <c r="C3582" s="85" t="str">
        <f ca="1">IFERROR(__xludf.DUMMYFUNCTION("GOOGLETRANSLATE(B3582:B3597,""RU"",""UK"")"),"Патрон токарний трикулачковий ПСС-125мм Польща без кул.")</f>
        <v>Патрон токарний трикулачковий ПСС-125мм Польща без кул.</v>
      </c>
      <c r="D3582" s="15" t="s">
        <v>6</v>
      </c>
      <c r="E3582" s="15">
        <v>1</v>
      </c>
      <c r="F3582" s="91" t="s">
        <v>14</v>
      </c>
      <c r="G3582" s="4"/>
      <c r="H3582" s="4"/>
      <c r="I3582" s="4"/>
    </row>
    <row r="3583" spans="1:9" ht="15">
      <c r="A3583" s="21">
        <f t="shared" si="67"/>
        <v>8</v>
      </c>
      <c r="B3583" s="14" t="s">
        <v>4767</v>
      </c>
      <c r="C3583" s="85" t="str">
        <f ca="1">IFERROR(__xludf.DUMMYFUNCTION("GOOGLETRANSLATE(B3583:B3598,""RU"",""UK"")"),"Патрон токарний трикулачковий ПСС-160мм ПНР СТ-160ПФ4")</f>
        <v>Патрон токарний трикулачковий ПСС-160мм ПНР СТ-160ПФ4</v>
      </c>
      <c r="D3583" s="15" t="s">
        <v>6</v>
      </c>
      <c r="E3583" s="15">
        <v>3</v>
      </c>
      <c r="F3583" s="91" t="s">
        <v>4768</v>
      </c>
      <c r="G3583" s="4"/>
      <c r="H3583" s="4"/>
      <c r="I3583" s="4"/>
    </row>
    <row r="3584" spans="1:9" ht="15">
      <c r="A3584" s="21">
        <f t="shared" si="67"/>
        <v>9</v>
      </c>
      <c r="B3584" s="14" t="s">
        <v>4769</v>
      </c>
      <c r="C3584" s="85" t="str">
        <f ca="1">IFERROR(__xludf.DUMMYFUNCTION("GOOGLETRANSLATE(B3584:B3599,""RU"",""UK"")"),"Патрон токарний трикулачковий ПСС-160мм ПНР Ф5 легке б/у")</f>
        <v>Патрон токарний трикулачковий ПСС-160мм ПНР Ф5 легке б/у</v>
      </c>
      <c r="D3584" s="15" t="s">
        <v>6</v>
      </c>
      <c r="E3584" s="15">
        <v>1</v>
      </c>
      <c r="F3584" s="91" t="s">
        <v>4770</v>
      </c>
      <c r="G3584" s="4"/>
      <c r="H3584" s="4"/>
      <c r="I3584" s="4"/>
    </row>
    <row r="3585" spans="1:9" ht="15">
      <c r="A3585" s="21">
        <f t="shared" si="67"/>
        <v>10</v>
      </c>
      <c r="B3585" s="14" t="s">
        <v>4771</v>
      </c>
      <c r="C3585" s="85" t="str">
        <f ca="1">IFERROR(__xludf.DUMMYFUNCTION("GOOGLETRANSLATE(B3585:B3600,""RU"",""UK"")"),"Патрон токарний трикулачковий ПСС-160мм")</f>
        <v>Патрон токарний трикулачковий ПСС-160мм</v>
      </c>
      <c r="D3585" s="15" t="s">
        <v>6</v>
      </c>
      <c r="E3585" s="15">
        <v>1</v>
      </c>
      <c r="F3585" s="91" t="s">
        <v>3770</v>
      </c>
      <c r="G3585" s="4"/>
      <c r="H3585" s="4"/>
      <c r="I3585" s="4"/>
    </row>
    <row r="3586" spans="1:9" ht="15">
      <c r="A3586" s="21">
        <f t="shared" si="67"/>
        <v>11</v>
      </c>
      <c r="B3586" s="14" t="s">
        <v>4772</v>
      </c>
      <c r="C3586" s="85" t="str">
        <f ca="1">IFERROR(__xludf.DUMMYFUNCTION("GOOGLETRANSLATE(B3586:B3601,""RU"",""UK"")"),"Патрон токарний трикулачковий ПСС-160мм Псков")</f>
        <v>Патрон токарний трикулачковий ПСС-160мм Псков</v>
      </c>
      <c r="D3586" s="15" t="s">
        <v>6</v>
      </c>
      <c r="E3586" s="15">
        <v>11</v>
      </c>
      <c r="F3586" s="91" t="s">
        <v>4773</v>
      </c>
      <c r="G3586" s="4"/>
      <c r="H3586" s="4"/>
      <c r="I3586" s="4"/>
    </row>
    <row r="3587" spans="1:9" ht="15">
      <c r="A3587" s="21">
        <f t="shared" si="67"/>
        <v>12</v>
      </c>
      <c r="B3587" s="14" t="s">
        <v>4774</v>
      </c>
      <c r="C3587" s="85" t="str">
        <f ca="1">IFERROR(__xludf.DUMMYFUNCTION("GOOGLETRANSLATE(B3587:B3602,""RU"",""UK"")"),"Патрон токарний трикулачковий клиновий механізований 160мм.")</f>
        <v>Патрон токарний трикулачковий клиновий механізований 160мм.</v>
      </c>
      <c r="D3587" s="15" t="s">
        <v>6</v>
      </c>
      <c r="E3587" s="15">
        <v>1</v>
      </c>
      <c r="F3587" s="91" t="s">
        <v>61</v>
      </c>
      <c r="G3587" s="4"/>
      <c r="H3587" s="4"/>
      <c r="I3587" s="4"/>
    </row>
    <row r="3588" spans="1:9" ht="15">
      <c r="A3588" s="21">
        <f t="shared" si="67"/>
        <v>13</v>
      </c>
      <c r="B3588" s="14" t="s">
        <v>4775</v>
      </c>
      <c r="C3588" s="85" t="str">
        <f ca="1">IFERROR(__xludf.DUMMYFUNCTION("GOOGLETRANSLATE(B3588:B3603,""RU"",""UK"")"),"Патрон токарний трикулачковий ПСС-200мм Польща Ф6 (4 шпильки)")</f>
        <v>Патрон токарний трикулачковий ПСС-200мм Польща Ф6 (4 шпильки)</v>
      </c>
      <c r="D3588" s="15" t="s">
        <v>6</v>
      </c>
      <c r="E3588" s="15">
        <v>2</v>
      </c>
      <c r="F3588" s="91" t="s">
        <v>4768</v>
      </c>
      <c r="G3588" s="4"/>
      <c r="H3588" s="4"/>
      <c r="I3588" s="4"/>
    </row>
    <row r="3589" spans="1:9" ht="15">
      <c r="A3589" s="21">
        <f t="shared" si="67"/>
        <v>14</v>
      </c>
      <c r="B3589" s="14" t="s">
        <v>4776</v>
      </c>
      <c r="C3589" s="85" t="str">
        <f ca="1">IFERROR(__xludf.DUMMYFUNCTION("GOOGLETRANSLATE(B3589:B3604,""RU"",""UK"")"),"Патрон токарний трикулачковий ПСС-200мм Гродно Ф6")</f>
        <v>Патрон токарний трикулачковий ПСС-200мм Гродно Ф6</v>
      </c>
      <c r="D3589" s="15" t="s">
        <v>6</v>
      </c>
      <c r="E3589" s="15">
        <v>2</v>
      </c>
      <c r="F3589" s="91" t="s">
        <v>4770</v>
      </c>
      <c r="G3589" s="4"/>
      <c r="H3589" s="4"/>
      <c r="I3589" s="4"/>
    </row>
    <row r="3590" spans="1:9" ht="15">
      <c r="A3590" s="21">
        <f t="shared" si="67"/>
        <v>15</v>
      </c>
      <c r="B3590" s="14" t="s">
        <v>4777</v>
      </c>
      <c r="C3590" s="85" t="str">
        <f ca="1">IFERROR(__xludf.DUMMYFUNCTION("GOOGLETRANSLATE(B3590:B3605,""RU"",""UK"")"),"Патрон токарний трикулачковий ПСС-200мм Псков планшайба")</f>
        <v>Патрон токарний трикулачковий ПСС-200мм Псков планшайба</v>
      </c>
      <c r="D3590" s="15" t="s">
        <v>6</v>
      </c>
      <c r="E3590" s="15">
        <v>1</v>
      </c>
      <c r="F3590" s="91" t="s">
        <v>3638</v>
      </c>
      <c r="G3590" s="4"/>
      <c r="H3590" s="4"/>
      <c r="I3590" s="4"/>
    </row>
    <row r="3591" spans="1:9" ht="15">
      <c r="A3591" s="21">
        <f t="shared" si="67"/>
        <v>16</v>
      </c>
      <c r="B3591" s="19" t="s">
        <v>4778</v>
      </c>
      <c r="C3591" s="85" t="str">
        <f ca="1">IFERROR(__xludf.DUMMYFUNCTION("GOOGLETRANSLATE(B3591:B3606,""RU"",""UK"")"),"Патрон токарний трикулачковий ПСС-250мм Псков на планшайбу")</f>
        <v>Патрон токарний трикулачковий ПСС-250мм Псков на планшайбу</v>
      </c>
      <c r="D3591" s="15" t="s">
        <v>6</v>
      </c>
      <c r="E3591" s="15">
        <v>0</v>
      </c>
      <c r="F3591" s="91" t="s">
        <v>3716</v>
      </c>
      <c r="G3591" s="4"/>
      <c r="H3591" s="4"/>
      <c r="I3591" s="4"/>
    </row>
    <row r="3592" spans="1:9" ht="15">
      <c r="A3592" s="21">
        <f t="shared" si="67"/>
        <v>17</v>
      </c>
      <c r="B3592" s="16" t="s">
        <v>4779</v>
      </c>
      <c r="C3592" s="85" t="str">
        <f ca="1">IFERROR(__xludf.DUMMYFUNCTION("GOOGLETRANSLATE(B3592:B3607,""RU"",""UK"")"),"Патрон токарний трикулачковий ПСС-250мм Гродно Ф6 (4 шп) із зберігається.")</f>
        <v>Патрон токарний трикулачковий ПСС-250мм Гродно Ф6 (4 шп) із зберігається.</v>
      </c>
      <c r="D3592" s="15" t="s">
        <v>6</v>
      </c>
      <c r="E3592" s="15">
        <v>1</v>
      </c>
      <c r="F3592" s="91" t="s">
        <v>4780</v>
      </c>
      <c r="G3592" s="4"/>
      <c r="H3592" s="4"/>
      <c r="I3592" s="4"/>
    </row>
    <row r="3593" spans="1:9" ht="15">
      <c r="A3593" s="21">
        <f t="shared" si="67"/>
        <v>18</v>
      </c>
      <c r="B3593" s="14" t="s">
        <v>4781</v>
      </c>
      <c r="C3593" s="85" t="str">
        <f ca="1">IFERROR(__xludf.DUMMYFUNCTION("GOOGLETRANSLATE(B3593:B3608,""RU"",""UK"")"),"Патрон токарний трикулачковий ПСС-250мм Гродно Ф6 (4 шп) б/у")</f>
        <v>Патрон токарний трикулачковий ПСС-250мм Гродно Ф6 (4 шп) б/у</v>
      </c>
      <c r="D3593" s="15" t="s">
        <v>6</v>
      </c>
      <c r="E3593" s="15">
        <v>3</v>
      </c>
      <c r="F3593" s="91" t="s">
        <v>4782</v>
      </c>
      <c r="G3593" s="4"/>
      <c r="H3593" s="4"/>
      <c r="I3593" s="4"/>
    </row>
    <row r="3594" spans="1:9" ht="15">
      <c r="A3594" s="21">
        <f t="shared" si="67"/>
        <v>19</v>
      </c>
      <c r="B3594" s="19" t="s">
        <v>4783</v>
      </c>
      <c r="C3594" s="85" t="str">
        <f ca="1">IFERROR(__xludf.DUMMYFUNCTION("GOOGLETRANSLATE(B3594:B3609,""RU"",""UK"")"),"Патрон токарний трикулачковий ПСС-250П Ф6 ПНР")</f>
        <v>Патрон токарний трикулачковий ПСС-250П Ф6 ПНР</v>
      </c>
      <c r="D3594" s="15" t="s">
        <v>6</v>
      </c>
      <c r="E3594" s="15">
        <v>0</v>
      </c>
      <c r="F3594" s="91" t="s">
        <v>4784</v>
      </c>
      <c r="G3594" s="4"/>
      <c r="H3594" s="4"/>
      <c r="I3594" s="4"/>
    </row>
    <row r="3595" spans="1:9" ht="15">
      <c r="A3595" s="21">
        <f t="shared" si="67"/>
        <v>20</v>
      </c>
      <c r="B3595" s="14" t="s">
        <v>4785</v>
      </c>
      <c r="C3595" s="85" t="str">
        <f ca="1">IFERROR(__xludf.DUMMYFUNCTION("GOOGLETRANSLATE(B3595:B3610,""RU"",""UK"")"),"Патрон токарний трикулачковий ПСС-230 б/в (обр. кулачки) РЕВ")</f>
        <v>Патрон токарний трикулачковий ПСС-230 б/в (обр. кулачки) РЕВ</v>
      </c>
      <c r="D3595" s="15" t="s">
        <v>6</v>
      </c>
      <c r="E3595" s="15">
        <v>1</v>
      </c>
      <c r="F3595" s="91" t="s">
        <v>914</v>
      </c>
      <c r="G3595" s="4"/>
      <c r="H3595" s="4"/>
      <c r="I3595" s="4"/>
    </row>
    <row r="3596" spans="1:9" ht="15">
      <c r="A3596" s="21">
        <f t="shared" si="67"/>
        <v>21</v>
      </c>
      <c r="B3596" s="14" t="s">
        <v>4786</v>
      </c>
      <c r="C3596" s="85" t="str">
        <f ca="1">IFERROR(__xludf.DUMMYFUNCTION("GOOGLETRANSLATE(B3596:B3611,""RU"",""UK"")"),"Патрон токарний чотирикулачковий на планшайбу СТ-250 Борисоглібськ")</f>
        <v>Патрон токарний чотирикулачковий на планшайбу СТ-250 Борисоглібськ</v>
      </c>
      <c r="D3596" s="15" t="s">
        <v>6</v>
      </c>
      <c r="E3596" s="15">
        <v>1</v>
      </c>
      <c r="F3596" s="91" t="s">
        <v>4761</v>
      </c>
      <c r="G3596" s="4"/>
      <c r="H3596" s="4"/>
      <c r="I3596" s="4"/>
    </row>
    <row r="3597" spans="1:9" ht="15">
      <c r="A3597" s="21">
        <f t="shared" si="67"/>
        <v>22</v>
      </c>
      <c r="B3597" s="14" t="s">
        <v>4787</v>
      </c>
      <c r="C3597" s="85" t="str">
        <f ca="1">IFERROR(__xludf.DUMMYFUNCTION("GOOGLETRANSLATE(B3597:B3612,""RU"",""UK"")"),"Патрон токарний чотирикулачковий СТ-250 конус F6 Борисоглібськ")</f>
        <v>Патрон токарний чотирикулачковий СТ-250 конус F6 Борисоглібськ</v>
      </c>
      <c r="D3597" s="15" t="s">
        <v>6</v>
      </c>
      <c r="E3597" s="15">
        <v>1</v>
      </c>
      <c r="F3597" s="91" t="s">
        <v>3677</v>
      </c>
      <c r="G3597" s="4"/>
      <c r="H3597" s="4"/>
      <c r="I3597" s="4"/>
    </row>
    <row r="3598" spans="1:9" ht="15">
      <c r="A3598" s="21">
        <f t="shared" si="67"/>
        <v>23</v>
      </c>
      <c r="B3598" s="14" t="s">
        <v>4788</v>
      </c>
      <c r="C3598" s="85" t="str">
        <f ca="1">IFERROR(__xludf.DUMMYFUNCTION("GOOGLETRANSLATE(B3598:B3613,""RU"",""UK"")"),"Патрон токарний чотирикулачковий ПСС-250 конус F6 легкий. б/в імпорт")</f>
        <v>Патрон токарний чотирикулачковий ПСС-250 конус F6 легкий. б/в імпорт</v>
      </c>
      <c r="D3598" s="15" t="s">
        <v>6</v>
      </c>
      <c r="E3598" s="15">
        <v>1</v>
      </c>
      <c r="F3598" s="91" t="s">
        <v>3677</v>
      </c>
      <c r="G3598" s="4"/>
      <c r="H3598" s="4"/>
      <c r="I3598" s="4"/>
    </row>
    <row r="3599" spans="1:9" ht="15">
      <c r="A3599" s="21">
        <f t="shared" si="67"/>
        <v>24</v>
      </c>
      <c r="B3599" s="14" t="s">
        <v>4789</v>
      </c>
      <c r="C3599" s="85" t="str">
        <f ca="1">IFERROR(__xludf.DUMMYFUNCTION("GOOGLETRANSLATE(B3599:B3614,""RU"",""UK"")"),"Патрон токарний трикулачковий ПСС-315мм Гродно F8 (4 шп)")</f>
        <v>Патрон токарний трикулачковий ПСС-315мм Гродно F8 (4 шп)</v>
      </c>
      <c r="D3599" s="15" t="s">
        <v>6</v>
      </c>
      <c r="E3599" s="15">
        <v>12</v>
      </c>
      <c r="F3599" s="91" t="s">
        <v>4790</v>
      </c>
      <c r="G3599" s="4"/>
      <c r="H3599" s="4"/>
      <c r="I3599" s="4"/>
    </row>
    <row r="3600" spans="1:9" ht="15">
      <c r="A3600" s="21">
        <f t="shared" si="67"/>
        <v>25</v>
      </c>
      <c r="B3600" s="14" t="s">
        <v>4791</v>
      </c>
      <c r="C3600" s="85" t="str">
        <f ca="1">IFERROR(__xludf.DUMMYFUNCTION("GOOGLETRANSLATE(B3600:B3615,""RU"",""UK"")"),"Патрон токарний трикулачковий ПСС-315мм Польща F8 (4 шп)")</f>
        <v>Патрон токарний трикулачковий ПСС-315мм Польща F8 (4 шп)</v>
      </c>
      <c r="D3600" s="15" t="s">
        <v>6</v>
      </c>
      <c r="E3600" s="15">
        <v>2</v>
      </c>
      <c r="F3600" s="91" t="s">
        <v>4784</v>
      </c>
      <c r="G3600" s="4"/>
      <c r="H3600" s="4"/>
      <c r="I3600" s="4"/>
    </row>
    <row r="3601" spans="1:9" ht="15">
      <c r="A3601" s="21">
        <f t="shared" si="67"/>
        <v>26</v>
      </c>
      <c r="B3601" s="14" t="s">
        <v>4792</v>
      </c>
      <c r="C3601" s="85" t="str">
        <f ca="1">IFERROR(__xludf.DUMMYFUNCTION("GOOGLETRANSLATE(B3601:B3616,""RU"",""UK"")"),"Патрон токарний чотирикулачковий СТ-315мм F6 (4 шп)")</f>
        <v>Патрон токарний чотирикулачковий СТ-315мм F6 (4 шп)</v>
      </c>
      <c r="D3601" s="15" t="s">
        <v>6</v>
      </c>
      <c r="E3601" s="15">
        <v>3</v>
      </c>
      <c r="F3601" s="91" t="s">
        <v>3677</v>
      </c>
      <c r="G3601" s="4"/>
      <c r="H3601" s="4"/>
      <c r="I3601" s="4"/>
    </row>
    <row r="3602" spans="1:9" ht="15">
      <c r="A3602" s="21">
        <f t="shared" si="67"/>
        <v>27</v>
      </c>
      <c r="B3602" s="14" t="s">
        <v>4793</v>
      </c>
      <c r="C3602" s="85" t="str">
        <f ca="1">IFERROR(__xludf.DUMMYFUNCTION("GOOGLETRANSLATE(B3602:B3617,""RU"",""UK"")"),"Патрон токарний чотирикулачковий СТ-400мм конус")</f>
        <v>Патрон токарний чотирикулачковий СТ-400мм конус</v>
      </c>
      <c r="D3602" s="15" t="s">
        <v>6</v>
      </c>
      <c r="E3602" s="15">
        <v>4</v>
      </c>
      <c r="F3602" s="91" t="s">
        <v>4794</v>
      </c>
      <c r="G3602" s="4"/>
      <c r="H3602" s="4"/>
      <c r="I3602" s="4"/>
    </row>
    <row r="3603" spans="1:9" ht="15">
      <c r="A3603" s="21">
        <f t="shared" si="67"/>
        <v>28</v>
      </c>
      <c r="B3603" s="14" t="s">
        <v>4795</v>
      </c>
      <c r="C3603" s="85" t="str">
        <f ca="1">IFERROR(__xludf.DUMMYFUNCTION("GOOGLETRANSLATE(B3603:B3618,""RU"",""UK"")"),"Патрон токарний чотирикулачковий СТ-500мм")</f>
        <v>Патрон токарний чотирикулачковий СТ-500мм</v>
      </c>
      <c r="D3603" s="15" t="s">
        <v>6</v>
      </c>
      <c r="E3603" s="15">
        <v>1</v>
      </c>
      <c r="F3603" s="91" t="s">
        <v>4782</v>
      </c>
      <c r="G3603" s="4"/>
      <c r="H3603" s="4"/>
      <c r="I3603" s="4"/>
    </row>
    <row r="3604" spans="1:9" ht="15">
      <c r="A3604" s="21">
        <f t="shared" si="67"/>
        <v>29</v>
      </c>
      <c r="B3604" s="14" t="s">
        <v>4796</v>
      </c>
      <c r="C3604" s="85" t="str">
        <f ca="1">IFERROR(__xludf.DUMMYFUNCTION("GOOGLETRANSLATE(B3604:B3619,""RU"",""UK"")"),"Кулачки прямі до патрона струм. 250мм Крок 10")</f>
        <v>Кулачки прямі до патрона струм. 250мм Крок 10</v>
      </c>
      <c r="D3604" s="15" t="s">
        <v>4370</v>
      </c>
      <c r="E3604" s="15">
        <v>1</v>
      </c>
      <c r="F3604" s="91" t="s">
        <v>73</v>
      </c>
      <c r="G3604" s="4"/>
      <c r="H3604" s="4"/>
      <c r="I3604" s="4"/>
    </row>
    <row r="3605" spans="1:9" ht="15">
      <c r="A3605" s="21">
        <f t="shared" si="67"/>
        <v>30</v>
      </c>
      <c r="B3605" s="14" t="s">
        <v>4797</v>
      </c>
      <c r="C3605" s="85" t="str">
        <f ca="1">IFERROR(__xludf.DUMMYFUNCTION("GOOGLETRANSLATE(B3605:B3620,""RU"",""UK"")"),"Кулачки прямі до патрона струм. 250мм Крок 10 (б/в)")</f>
        <v>Кулачки прямі до патрона струм. 250мм Крок 10 (б/в)</v>
      </c>
      <c r="D3605" s="15" t="s">
        <v>4370</v>
      </c>
      <c r="E3605" s="15">
        <v>3</v>
      </c>
      <c r="F3605" s="91" t="s">
        <v>71</v>
      </c>
      <c r="G3605" s="4"/>
      <c r="H3605" s="4"/>
      <c r="I3605" s="4"/>
    </row>
    <row r="3606" spans="1:9" ht="15">
      <c r="A3606" s="21">
        <f t="shared" si="67"/>
        <v>31</v>
      </c>
      <c r="B3606" s="14" t="s">
        <v>4798</v>
      </c>
      <c r="C3606" s="85" t="str">
        <f ca="1">IFERROR(__xludf.DUMMYFUNCTION("GOOGLETRANSLATE(B3606:B3621,""RU"",""UK"")"),"Кулачки зворотні до патрона струм. 250мм Крок 10")</f>
        <v>Кулачки зворотні до патрона струм. 250мм Крок 10</v>
      </c>
      <c r="D3606" s="15" t="s">
        <v>4370</v>
      </c>
      <c r="E3606" s="15">
        <v>7</v>
      </c>
      <c r="F3606" s="91" t="s">
        <v>71</v>
      </c>
      <c r="G3606" s="4"/>
      <c r="H3606" s="4"/>
      <c r="I3606" s="4"/>
    </row>
    <row r="3607" spans="1:9" ht="15">
      <c r="A3607" s="21">
        <f t="shared" si="67"/>
        <v>32</v>
      </c>
      <c r="B3607" s="14" t="s">
        <v>4799</v>
      </c>
      <c r="C3607" s="85" t="str">
        <f ca="1">IFERROR(__xludf.DUMMYFUNCTION("GOOGLETRANSLATE(B3607:B3622,""RU"",""UK"")"),"Кулачки зворотні до патрона струм. 250мм Крок 10 ПНР")</f>
        <v>Кулачки зворотні до патрона струм. 250мм Крок 10 ПНР</v>
      </c>
      <c r="D3607" s="15" t="s">
        <v>4370</v>
      </c>
      <c r="E3607" s="15">
        <v>5</v>
      </c>
      <c r="F3607" s="91" t="s">
        <v>38</v>
      </c>
      <c r="G3607" s="4"/>
      <c r="H3607" s="4"/>
      <c r="I3607" s="4"/>
    </row>
    <row r="3608" spans="1:9" ht="15">
      <c r="A3608" s="21">
        <f t="shared" si="67"/>
        <v>33</v>
      </c>
      <c r="B3608" s="16" t="s">
        <v>4800</v>
      </c>
      <c r="C3608" s="85" t="str">
        <f ca="1">IFERROR(__xludf.DUMMYFUNCTION("GOOGLETRANSLATE(B3608:B3623,""RU"",""UK"")"),"Патрони цангові кон. 7:24-К50 (6-20мм (кім. 12шт))")</f>
        <v>Патрони цангові кон. 7:24-К50 (6-20мм (кім. 12шт))</v>
      </c>
      <c r="D3608" s="17" t="s">
        <v>4370</v>
      </c>
      <c r="E3608" s="17">
        <v>2</v>
      </c>
      <c r="F3608" s="92" t="s">
        <v>50</v>
      </c>
      <c r="G3608" s="4"/>
      <c r="H3608" s="4"/>
      <c r="I3608" s="4"/>
    </row>
    <row r="3609" spans="1:9" ht="15">
      <c r="A3609" s="21">
        <f t="shared" si="67"/>
        <v>34</v>
      </c>
      <c r="B3609" s="16" t="s">
        <v>4801</v>
      </c>
      <c r="C3609" s="85" t="str">
        <f ca="1">IFERROR(__xludf.DUMMYFUNCTION("GOOGLETRANSLATE(B3609:B3624,""RU"",""UK"")"),"Патрони цангові кон. 7:24-К50, К45 (5-20мм (кім. 9шт))")</f>
        <v>Патрони цангові кон. 7:24-К50, К45 (5-20мм (кім. 9шт))</v>
      </c>
      <c r="D3609" s="17" t="s">
        <v>4370</v>
      </c>
      <c r="E3609" s="17">
        <v>1</v>
      </c>
      <c r="F3609" s="92" t="s">
        <v>59</v>
      </c>
      <c r="G3609" s="4"/>
      <c r="H3609" s="4"/>
      <c r="I3609" s="4"/>
    </row>
    <row r="3610" spans="1:9" ht="15">
      <c r="A3610" s="21">
        <f t="shared" si="67"/>
        <v>35</v>
      </c>
      <c r="B3610" s="16" t="s">
        <v>4802</v>
      </c>
      <c r="C3610" s="85" t="str">
        <f ca="1">IFERROR(__xludf.DUMMYFUNCTION("GOOGLETRANSLATE(B3610:B3625,""RU"",""UK"")"),"Патрони цангові кон. 7:24-К50, К40 (5-20мм (кім. 12шт))")</f>
        <v>Патрони цангові кон. 7:24-К50, К40 (5-20мм (кім. 12шт))</v>
      </c>
      <c r="D3610" s="17" t="s">
        <v>4370</v>
      </c>
      <c r="E3610" s="17">
        <v>1</v>
      </c>
      <c r="F3610" s="92" t="s">
        <v>991</v>
      </c>
      <c r="G3610" s="4"/>
      <c r="H3610" s="4"/>
      <c r="I3610" s="4"/>
    </row>
    <row r="3611" spans="1:9" ht="15">
      <c r="A3611" s="21">
        <f t="shared" si="67"/>
        <v>36</v>
      </c>
      <c r="B3611" s="80" t="s">
        <v>4803</v>
      </c>
      <c r="C3611" s="85" t="str">
        <f ca="1">IFERROR(__xludf.DUMMYFUNCTION("GOOGLETRANSLATE(B3611:B3626,""RU"",""UK"")"),"Патрони цангові кон. 7:24-К50(5; 6,5; 7; 8,5; 10; 10,5; 11; 12; 13; 14мм-10шт)")</f>
        <v>Патрони цангові кон. 7:24-К50(5; 6,5; 7; 8,5; 10; 10,5; 11; 12; 13; 14мм-10шт)</v>
      </c>
      <c r="D3611" s="17" t="s">
        <v>4370</v>
      </c>
      <c r="E3611" s="17">
        <v>1</v>
      </c>
      <c r="F3611" s="92" t="s">
        <v>910</v>
      </c>
      <c r="G3611" s="4"/>
      <c r="H3611" s="4"/>
      <c r="I3611" s="4"/>
    </row>
    <row r="3612" spans="1:9" ht="15">
      <c r="A3612" s="21">
        <f t="shared" si="67"/>
        <v>37</v>
      </c>
      <c r="B3612" s="16" t="s">
        <v>4804</v>
      </c>
      <c r="C3612" s="85" t="str">
        <f ca="1">IFERROR(__xludf.DUMMYFUNCTION("GOOGLETRANSLATE(B3612:B3627,""RU"",""UK"")"),"Патрони цангові кон. 7:24-К50 (5, 8, 8,5, 9, 10, 12, 14, 16мм - 8шт)")</f>
        <v>Патрони цангові кон. 7:24-К50 (5, 8, 8,5, 9, 10, 12, 14, 16мм - 8шт)</v>
      </c>
      <c r="D3612" s="17" t="s">
        <v>4370</v>
      </c>
      <c r="E3612" s="17">
        <v>1</v>
      </c>
      <c r="F3612" s="92" t="s">
        <v>3672</v>
      </c>
      <c r="G3612" s="4"/>
      <c r="H3612" s="4"/>
      <c r="I3612" s="4"/>
    </row>
    <row r="3613" spans="1:9" ht="15">
      <c r="A3613" s="21">
        <f t="shared" si="67"/>
        <v>38</v>
      </c>
      <c r="B3613" s="16" t="s">
        <v>4805</v>
      </c>
      <c r="C3613" s="85" t="str">
        <f ca="1">IFERROR(__xludf.DUMMYFUNCTION("GOOGLETRANSLATE(B3613:B3628,""RU"",""UK"")"),"Патрони цангові кон. 7:24-К50 (5, 8, 10, 10,5, 12, 14мм - 6шт)")</f>
        <v>Патрони цангові кон. 7:24-К50 (5, 8, 10, 10,5, 12, 14мм - 6шт)</v>
      </c>
      <c r="D3613" s="17" t="s">
        <v>4370</v>
      </c>
      <c r="E3613" s="17">
        <v>1</v>
      </c>
      <c r="F3613" s="92" t="s">
        <v>10</v>
      </c>
      <c r="G3613" s="4"/>
      <c r="H3613" s="4"/>
      <c r="I3613" s="4"/>
    </row>
    <row r="3614" spans="1:9" ht="15">
      <c r="A3614" s="21">
        <f t="shared" si="67"/>
        <v>39</v>
      </c>
      <c r="B3614" s="16" t="s">
        <v>4806</v>
      </c>
      <c r="C3614" s="85" t="str">
        <f ca="1">IFERROR(__xludf.DUMMYFUNCTION("GOOGLETRANSLATE(B3614:B3629,""RU"",""UK"")"),"Патрони цангові кон. 7:24-К50 (5, 8, 10, 12, 14мм - 5шт)")</f>
        <v>Патрони цангові кон. 7:24-К50 (5, 8, 10, 12, 14мм - 5шт)</v>
      </c>
      <c r="D3614" s="17" t="s">
        <v>4370</v>
      </c>
      <c r="E3614" s="17">
        <v>1</v>
      </c>
      <c r="F3614" s="92" t="s">
        <v>38</v>
      </c>
      <c r="G3614" s="4"/>
      <c r="H3614" s="4"/>
      <c r="I3614" s="4"/>
    </row>
    <row r="3615" spans="1:9" ht="15">
      <c r="A3615" s="21">
        <f t="shared" si="67"/>
        <v>40</v>
      </c>
      <c r="B3615" s="16" t="s">
        <v>4807</v>
      </c>
      <c r="C3615" s="85" t="str">
        <f ca="1">IFERROR(__xludf.DUMMYFUNCTION("GOOGLETRANSLATE(B3615:B3630,""RU"",""UK"")"),"Патрони цангові кон. 7:24-К50 (10, 12, 14, 18, 20мм - 5шт)")</f>
        <v>Патрони цангові кон. 7:24-К50 (10, 12, 14, 18, 20мм - 5шт)</v>
      </c>
      <c r="D3615" s="17" t="s">
        <v>4370</v>
      </c>
      <c r="E3615" s="17">
        <v>1</v>
      </c>
      <c r="F3615" s="92" t="s">
        <v>10</v>
      </c>
      <c r="G3615" s="4"/>
      <c r="H3615" s="4"/>
      <c r="I3615" s="4"/>
    </row>
    <row r="3616" spans="1:9" ht="15">
      <c r="A3616" s="21">
        <f t="shared" si="67"/>
        <v>41</v>
      </c>
      <c r="B3616" s="16" t="s">
        <v>4808</v>
      </c>
      <c r="C3616" s="85" t="str">
        <f ca="1">IFERROR(__xludf.DUMMYFUNCTION("GOOGLETRANSLATE(B3616:B3631,""RU"",""UK"")"),"Патрони цангові кон. 7:24-К50 (4, 6, 8, 12, 16мм-5шт))")</f>
        <v>Патрони цангові кон. 7:24-К50 (4, 6, 8, 12, 16мм-5шт))</v>
      </c>
      <c r="D3616" s="17" t="s">
        <v>4370</v>
      </c>
      <c r="E3616" s="17">
        <v>1</v>
      </c>
      <c r="F3616" s="92" t="s">
        <v>10</v>
      </c>
      <c r="G3616" s="4"/>
      <c r="H3616" s="4"/>
      <c r="I3616" s="4"/>
    </row>
    <row r="3617" spans="1:9" ht="15">
      <c r="A3617" s="21">
        <f t="shared" si="67"/>
        <v>42</v>
      </c>
      <c r="B3617" s="16" t="s">
        <v>4809</v>
      </c>
      <c r="C3617" s="85" t="str">
        <f ca="1">IFERROR(__xludf.DUMMYFUNCTION("GOOGLETRANSLATE(B3617:B3632,""RU"",""UK"")"),"Патрони цангові кон. 7:24-К50 (20, 25, 32, 40мм-компл.4шт)")</f>
        <v>Патрони цангові кон. 7:24-К50 (20, 25, 32, 40мм-компл.4шт)</v>
      </c>
      <c r="D3617" s="17" t="s">
        <v>4370</v>
      </c>
      <c r="E3617" s="17">
        <v>1</v>
      </c>
      <c r="F3617" s="92" t="s">
        <v>38</v>
      </c>
      <c r="G3617" s="4"/>
      <c r="H3617" s="4"/>
      <c r="I3617" s="4"/>
    </row>
    <row r="3618" spans="1:9" ht="15">
      <c r="A3618" s="21">
        <f t="shared" si="67"/>
        <v>43</v>
      </c>
      <c r="B3618" s="16" t="s">
        <v>4810</v>
      </c>
      <c r="C3618" s="85" t="str">
        <f ca="1">IFERROR(__xludf.DUMMYFUNCTION("GOOGLETRANSLATE(B3618:B3633,""RU"",""UK"")"),"Патрони цангові кон. 7:24-К40 (20, 25, 32, 40мм-компл.4шт)")</f>
        <v>Патрони цангові кон. 7:24-К40 (20, 25, 32, 40мм-компл.4шт)</v>
      </c>
      <c r="D3618" s="17" t="s">
        <v>4370</v>
      </c>
      <c r="E3618" s="17">
        <v>2</v>
      </c>
      <c r="F3618" s="92" t="s">
        <v>10</v>
      </c>
      <c r="G3618" s="4"/>
      <c r="H3618" s="4"/>
      <c r="I3618" s="4"/>
    </row>
    <row r="3619" spans="1:9" ht="15">
      <c r="A3619" s="21">
        <f t="shared" si="67"/>
        <v>44</v>
      </c>
      <c r="B3619" s="16" t="s">
        <v>4811</v>
      </c>
      <c r="C3619" s="85" t="str">
        <f ca="1">IFERROR(__xludf.DUMMYFUNCTION("GOOGLETRANSLATE(B3619:B3634,""RU"",""UK"")"),"Патрони цангові кон. 7:24-К40 (20-2, 25-2, 32-2, 40-2-компл.8шт)")</f>
        <v>Патрони цангові кон. 7:24-К40 (20-2, 25-2, 32-2, 40-2-компл.8шт)</v>
      </c>
      <c r="D3619" s="17" t="s">
        <v>4370</v>
      </c>
      <c r="E3619" s="17">
        <v>2</v>
      </c>
      <c r="F3619" s="92" t="s">
        <v>914</v>
      </c>
      <c r="G3619" s="4"/>
      <c r="H3619" s="4"/>
      <c r="I3619" s="4"/>
    </row>
    <row r="3620" spans="1:9" ht="15">
      <c r="A3620" s="21">
        <f t="shared" si="67"/>
        <v>45</v>
      </c>
      <c r="B3620" s="16" t="s">
        <v>4812</v>
      </c>
      <c r="C3620" s="85" t="str">
        <f ca="1">IFERROR(__xludf.DUMMYFUNCTION("GOOGLETRANSLATE(B3620:B3635,""RU"",""UK"")"),"Патрони цангові кон. 7:24-К40 (5-20мм (кім. 15шт))")</f>
        <v>Патрони цангові кон. 7:24-К40 (5-20мм (кім. 15шт))</v>
      </c>
      <c r="D3620" s="17" t="s">
        <v>4370</v>
      </c>
      <c r="E3620" s="17">
        <v>2</v>
      </c>
      <c r="F3620" s="92" t="s">
        <v>991</v>
      </c>
      <c r="G3620" s="4"/>
      <c r="H3620" s="4"/>
      <c r="I3620" s="4"/>
    </row>
    <row r="3621" spans="1:9" ht="15">
      <c r="A3621" s="21">
        <f t="shared" si="67"/>
        <v>46</v>
      </c>
      <c r="B3621" s="16" t="s">
        <v>4813</v>
      </c>
      <c r="C3621" s="85" t="str">
        <f ca="1">IFERROR(__xludf.DUMMYFUNCTION("GOOGLETRANSLATE(B3621:B3636,""RU"",""UK"")"),"Патрони цангові кон. 7:24-К40 (5-20мм (кім. 11шт))")</f>
        <v>Патрони цангові кон. 7:24-К40 (5-20мм (кім. 11шт))</v>
      </c>
      <c r="D3621" s="17" t="s">
        <v>4370</v>
      </c>
      <c r="E3621" s="17">
        <v>1</v>
      </c>
      <c r="F3621" s="92" t="s">
        <v>59</v>
      </c>
      <c r="G3621" s="4"/>
      <c r="H3621" s="4"/>
      <c r="I3621" s="4"/>
    </row>
    <row r="3622" spans="1:9" ht="15">
      <c r="A3622" s="21">
        <f t="shared" si="67"/>
        <v>47</v>
      </c>
      <c r="B3622" s="19" t="s">
        <v>4814</v>
      </c>
      <c r="C3622" s="85" t="str">
        <f ca="1">IFERROR(__xludf.DUMMYFUNCTION("GOOGLETRANSLATE(B3622:B3637,""RU"",""UK"")"),"Патрони цангові кон. 7:24-К40 (5-20мм (кім. 10шт))")</f>
        <v>Патрони цангові кон. 7:24-К40 (5-20мм (кім. 10шт))</v>
      </c>
      <c r="D3622" s="26" t="s">
        <v>4370</v>
      </c>
      <c r="E3622" s="26">
        <v>1</v>
      </c>
      <c r="F3622" s="105" t="s">
        <v>12</v>
      </c>
      <c r="G3622" s="4"/>
      <c r="H3622" s="4"/>
      <c r="I3622" s="4"/>
    </row>
    <row r="3623" spans="1:9" ht="15">
      <c r="A3623" s="21">
        <f t="shared" si="67"/>
        <v>48</v>
      </c>
      <c r="B3623" s="16" t="s">
        <v>4815</v>
      </c>
      <c r="C3623" s="85" t="str">
        <f ca="1">IFERROR(__xludf.DUMMYFUNCTION("GOOGLETRANSLATE(B3623:B3638,""RU"",""UK"")"),"Патрони цангові кон. 7:24-К40 (20-40мм (кім. 8шт))")</f>
        <v>Патрони цангові кон. 7:24-К40 (20-40мм (кім. 8шт))</v>
      </c>
      <c r="D3623" s="17" t="s">
        <v>4370</v>
      </c>
      <c r="E3623" s="17">
        <v>1</v>
      </c>
      <c r="F3623" s="92" t="s">
        <v>61</v>
      </c>
      <c r="G3623" s="4"/>
      <c r="H3623" s="4"/>
      <c r="I3623" s="4"/>
    </row>
    <row r="3624" spans="1:9" ht="15">
      <c r="A3624" s="21">
        <f t="shared" si="67"/>
        <v>49</v>
      </c>
      <c r="B3624" s="16" t="s">
        <v>4816</v>
      </c>
      <c r="C3624" s="85" t="str">
        <f ca="1">IFERROR(__xludf.DUMMYFUNCTION("GOOGLETRANSLATE(B3624:B3639,""RU"",""UK"")"),"Патрони цангові кон. 7:24-К40 (4, 5, 6, 8, 10мм -5шт)")</f>
        <v>Патрони цангові кон. 7:24-К40 (4, 5, 6, 8, 10мм -5шт)</v>
      </c>
      <c r="D3624" s="17" t="s">
        <v>4370</v>
      </c>
      <c r="E3624" s="17">
        <v>1</v>
      </c>
      <c r="F3624" s="92" t="s">
        <v>10</v>
      </c>
      <c r="G3624" s="4"/>
      <c r="H3624" s="4"/>
      <c r="I3624" s="4"/>
    </row>
    <row r="3625" spans="1:9" ht="15">
      <c r="A3625" s="21">
        <f t="shared" si="67"/>
        <v>50</v>
      </c>
      <c r="B3625" s="16" t="s">
        <v>4817</v>
      </c>
      <c r="C3625" s="85" t="str">
        <f ca="1">IFERROR(__xludf.DUMMYFUNCTION("GOOGLETRANSLATE(B3625:B3640,""RU"",""UK"")"),"Патрони цангові кон. 7:24-К40 (10, 12, 14, 16, 18, 20мм -6шт)")</f>
        <v>Патрони цангові кон. 7:24-К40 (10, 12, 14, 16, 18, 20мм -6шт)</v>
      </c>
      <c r="D3625" s="17" t="s">
        <v>4370</v>
      </c>
      <c r="E3625" s="17">
        <v>2</v>
      </c>
      <c r="F3625" s="92" t="s">
        <v>73</v>
      </c>
      <c r="G3625" s="4"/>
      <c r="H3625" s="4"/>
      <c r="I3625" s="4"/>
    </row>
    <row r="3626" spans="1:9" ht="15">
      <c r="A3626" s="21">
        <f t="shared" si="67"/>
        <v>51</v>
      </c>
      <c r="B3626" s="16" t="s">
        <v>4818</v>
      </c>
      <c r="C3626" s="85" t="str">
        <f ca="1">IFERROR(__xludf.DUMMYFUNCTION("GOOGLETRANSLATE(B3626:B3641,""RU"",""UK"")"),"Патрони цангові кон. 7:24-К40 (10, 12, 14, 18, 20мм -5шт)")</f>
        <v>Патрони цангові кон. 7:24-К40 (10, 12, 14, 18, 20мм -5шт)</v>
      </c>
      <c r="D3626" s="17" t="s">
        <v>4370</v>
      </c>
      <c r="E3626" s="17">
        <v>1</v>
      </c>
      <c r="F3626" s="92" t="s">
        <v>10</v>
      </c>
      <c r="G3626" s="4"/>
      <c r="H3626" s="4"/>
      <c r="I3626" s="4"/>
    </row>
    <row r="3627" spans="1:9" ht="15">
      <c r="A3627" s="21">
        <f t="shared" si="67"/>
        <v>52</v>
      </c>
      <c r="B3627" s="16" t="s">
        <v>4819</v>
      </c>
      <c r="C3627" s="85" t="str">
        <f ca="1">IFERROR(__xludf.DUMMYFUNCTION("GOOGLETRANSLATE(B3627:B3642,""RU"",""UK"")"),"Патрони цангові кон. КМ4, КМ5 (3-20мм (кім. 18шт))")</f>
        <v>Патрони цангові кон. КМ4, КМ5 (3-20мм (кім. 18шт))</v>
      </c>
      <c r="D3627" s="17" t="s">
        <v>4370</v>
      </c>
      <c r="E3627" s="17">
        <v>1</v>
      </c>
      <c r="F3627" s="92" t="s">
        <v>1000</v>
      </c>
      <c r="G3627" s="4"/>
      <c r="H3627" s="4"/>
      <c r="I3627" s="4"/>
    </row>
    <row r="3628" spans="1:9" ht="15">
      <c r="A3628" s="21">
        <f t="shared" si="67"/>
        <v>53</v>
      </c>
      <c r="B3628" s="16" t="s">
        <v>4820</v>
      </c>
      <c r="C3628" s="85" t="str">
        <f ca="1">IFERROR(__xludf.DUMMYFUNCTION("GOOGLETRANSLATE(B3628:B3643,""RU"",""UK"")"),"Патрони цангові кон. КМ4, КМ5, КМ6 (3-20мм (кім. 18шт))")</f>
        <v>Патрони цангові кон. КМ4, КМ5, КМ6 (3-20мм (кім. 18шт))</v>
      </c>
      <c r="D3628" s="17" t="s">
        <v>4370</v>
      </c>
      <c r="E3628" s="17">
        <v>1</v>
      </c>
      <c r="F3628" s="92" t="s">
        <v>1002</v>
      </c>
      <c r="G3628" s="4"/>
      <c r="H3628" s="4"/>
      <c r="I3628" s="4"/>
    </row>
    <row r="3629" spans="1:9" ht="15">
      <c r="A3629" s="21">
        <f t="shared" si="67"/>
        <v>54</v>
      </c>
      <c r="B3629" s="19" t="s">
        <v>4821</v>
      </c>
      <c r="C3629" s="85" t="str">
        <f ca="1">IFERROR(__xludf.DUMMYFUNCTION("GOOGLETRANSLATE(B3629:B3644,""RU"",""UK"")"),"Патрон цанговий із набором цанг кін. КМ4 (6-14мм; 6, 7, 8, 9, 10, 11, 12, 13, 14 (9шт)).")</f>
        <v>Патрон цанговий із набором цанг кін. КМ4 (6-14мм; 6, 7, 8, 9, 10, 11, 12, 13, 14 (9шт)).</v>
      </c>
      <c r="D3629" s="17" t="s">
        <v>4370</v>
      </c>
      <c r="E3629" s="17">
        <v>0</v>
      </c>
      <c r="F3629" s="92" t="s">
        <v>75</v>
      </c>
      <c r="G3629" s="4"/>
      <c r="H3629" s="4"/>
      <c r="I3629" s="4"/>
    </row>
    <row r="3630" spans="1:9" ht="15">
      <c r="A3630" s="21">
        <f t="shared" si="67"/>
        <v>55</v>
      </c>
      <c r="B3630" s="16" t="s">
        <v>4822</v>
      </c>
      <c r="C3630" s="85" t="str">
        <f ca="1">IFERROR(__xludf.DUMMYFUNCTION("GOOGLETRANSLATE(B3630:B3645,""RU"",""UK"")"),"Патрони цангові кон. КМ4 (14, 16, 18, 20мм (кім. 4шт))")</f>
        <v>Патрони цангові кон. КМ4 (14, 16, 18, 20мм (кім. 4шт))</v>
      </c>
      <c r="D3630" s="17" t="s">
        <v>4370</v>
      </c>
      <c r="E3630" s="17">
        <v>4</v>
      </c>
      <c r="F3630" s="92" t="s">
        <v>73</v>
      </c>
      <c r="G3630" s="4"/>
      <c r="H3630" s="4"/>
      <c r="I3630" s="4"/>
    </row>
    <row r="3631" spans="1:9" ht="15">
      <c r="A3631" s="21">
        <f t="shared" si="67"/>
        <v>56</v>
      </c>
      <c r="B3631" s="16" t="s">
        <v>4823</v>
      </c>
      <c r="C3631" s="85" t="str">
        <f ca="1">IFERROR(__xludf.DUMMYFUNCTION("GOOGLETRANSLATE(B3631:B3646,""RU"",""UK"")"),"Патрони цангові кон. КМ4 (14, 16, 20мм (кім. 3шт))")</f>
        <v>Патрони цангові кон. КМ4 (14, 16, 20мм (кім. 3шт))</v>
      </c>
      <c r="D3631" s="17" t="s">
        <v>4370</v>
      </c>
      <c r="E3631" s="17">
        <v>1</v>
      </c>
      <c r="F3631" s="92" t="s">
        <v>10</v>
      </c>
      <c r="G3631" s="4"/>
      <c r="H3631" s="4"/>
      <c r="I3631" s="4"/>
    </row>
    <row r="3632" spans="1:9" ht="15">
      <c r="A3632" s="21">
        <f t="shared" si="67"/>
        <v>57</v>
      </c>
      <c r="B3632" s="16" t="s">
        <v>4824</v>
      </c>
      <c r="C3632" s="85" t="str">
        <f ca="1">IFERROR(__xludf.DUMMYFUNCTION("GOOGLETRANSLATE(B3632:B3647,""RU"",""UK"")"),"Патрони цангові кон. КМ5 (10, 12, 14, 16, 18, 20мм (кім. 6шт))")</f>
        <v>Патрони цангові кон. КМ5 (10, 12, 14, 16, 18, 20мм (кім. 6шт))</v>
      </c>
      <c r="D3632" s="17" t="s">
        <v>4370</v>
      </c>
      <c r="E3632" s="17">
        <v>1</v>
      </c>
      <c r="F3632" s="92" t="s">
        <v>73</v>
      </c>
      <c r="G3632" s="4"/>
      <c r="H3632" s="4"/>
      <c r="I3632" s="4"/>
    </row>
    <row r="3633" spans="1:9" ht="15">
      <c r="A3633" s="21">
        <f t="shared" si="67"/>
        <v>58</v>
      </c>
      <c r="B3633" s="16" t="s">
        <v>4825</v>
      </c>
      <c r="C3633" s="85" t="str">
        <f ca="1">IFERROR(__xludf.DUMMYFUNCTION("GOOGLETRANSLATE(B3633:B3648,""RU"",""UK"")"),"Патрони цангові кон. КМ5 (4, 6, 9, 18, 20мм (кім. 5шт))")</f>
        <v>Патрони цангові кон. КМ5 (4, 6, 9, 18, 20мм (кім. 5шт))</v>
      </c>
      <c r="D3633" s="17" t="s">
        <v>4370</v>
      </c>
      <c r="E3633" s="17">
        <v>1</v>
      </c>
      <c r="F3633" s="92" t="s">
        <v>38</v>
      </c>
      <c r="G3633" s="4"/>
      <c r="H3633" s="4"/>
      <c r="I3633" s="4"/>
    </row>
    <row r="3634" spans="1:9" ht="15">
      <c r="A3634" s="21">
        <f t="shared" si="67"/>
        <v>59</v>
      </c>
      <c r="B3634" s="14" t="s">
        <v>4826</v>
      </c>
      <c r="C3634" s="85" t="str">
        <f ca="1">IFERROR(__xludf.DUMMYFUNCTION("GOOGLETRANSLATE(B3634:B3649,""RU"",""UK"")"),"Патрон цанговий М3/М4/М5/ІСО40")</f>
        <v>Патрон цанговий М3/М4/М5/ІСО40</v>
      </c>
      <c r="D3634" s="15" t="s">
        <v>6</v>
      </c>
      <c r="E3634" s="15">
        <v>15</v>
      </c>
      <c r="F3634" s="91" t="s">
        <v>33</v>
      </c>
      <c r="G3634" s="4"/>
      <c r="H3634" s="4"/>
      <c r="I3634" s="4"/>
    </row>
    <row r="3635" spans="1:9" ht="15">
      <c r="A3635" s="21">
        <f t="shared" si="67"/>
        <v>60</v>
      </c>
      <c r="B3635" s="19" t="s">
        <v>4827</v>
      </c>
      <c r="C3635" s="85" t="str">
        <f ca="1">IFERROR(__xludf.DUMMYFUNCTION("GOOGLETRANSLATE(B3635:B3650,""RU"",""UK"")"),"Ділильна головка універсальна УДГ-Д-200А (патрон 125мм)")</f>
        <v>Ділильна головка універсальна УДГ-Д-200А (патрон 125мм)</v>
      </c>
      <c r="D3635" s="15" t="s">
        <v>6</v>
      </c>
      <c r="E3635" s="15">
        <v>0</v>
      </c>
      <c r="F3635" s="91">
        <v>0</v>
      </c>
      <c r="G3635" s="4"/>
      <c r="H3635" s="4"/>
      <c r="I3635" s="4"/>
    </row>
    <row r="3636" spans="1:9" ht="15">
      <c r="A3636" s="21">
        <f t="shared" si="67"/>
        <v>61</v>
      </c>
      <c r="B3636" s="16" t="s">
        <v>4828</v>
      </c>
      <c r="C3636" s="85" t="str">
        <f ca="1">IFERROR(__xludf.DUMMYFUNCTION("GOOGLETRANSLATE(B3636:B3651,""RU"",""UK"")"),"Патрон свердлильний ПС 1-6мм СРСР Конус В10")</f>
        <v>Патрон свердлильний ПС 1-6мм СРСР Конус В10</v>
      </c>
      <c r="D3636" s="15" t="s">
        <v>6</v>
      </c>
      <c r="E3636" s="15">
        <v>30</v>
      </c>
      <c r="F3636" s="91" t="s">
        <v>461</v>
      </c>
      <c r="G3636" s="4"/>
      <c r="H3636" s="4"/>
      <c r="I3636" s="4"/>
    </row>
    <row r="3637" spans="1:9" ht="15">
      <c r="A3637" s="21">
        <f t="shared" si="67"/>
        <v>62</v>
      </c>
      <c r="B3637" s="16" t="s">
        <v>4829</v>
      </c>
      <c r="C3637" s="85" t="str">
        <f ca="1">IFERROR(__xludf.DUMMYFUNCTION("GOOGLETRANSLATE(B3637:B3652,""RU"",""UK"")"),"Патрон свердлильний ПС 0,8-6мм самозатискний (конус) СРСР")</f>
        <v>Патрон свердлильний ПС 0,8-6мм самозатискний (конус) СРСР</v>
      </c>
      <c r="D3637" s="15" t="s">
        <v>6</v>
      </c>
      <c r="E3637" s="15">
        <v>17</v>
      </c>
      <c r="F3637" s="91" t="s">
        <v>327</v>
      </c>
      <c r="G3637" s="4"/>
      <c r="H3637" s="4"/>
      <c r="I3637" s="4"/>
    </row>
    <row r="3638" spans="1:9" ht="15">
      <c r="A3638" s="21">
        <f t="shared" si="67"/>
        <v>63</v>
      </c>
      <c r="B3638" s="16" t="s">
        <v>4830</v>
      </c>
      <c r="C3638" s="85" t="str">
        <f ca="1">IFERROR(__xludf.DUMMYFUNCTION("GOOGLETRANSLATE(B3638:B3653,""RU"",""UK"")"),"Патрон свердлильний ПС 1-9мм СРСР")</f>
        <v>Патрон свердлильний ПС 1-9мм СРСР</v>
      </c>
      <c r="D3638" s="15" t="s">
        <v>6</v>
      </c>
      <c r="E3638" s="15">
        <v>1</v>
      </c>
      <c r="F3638" s="91" t="s">
        <v>140</v>
      </c>
      <c r="G3638" s="4"/>
      <c r="H3638" s="4"/>
      <c r="I3638" s="4"/>
    </row>
    <row r="3639" spans="1:9" ht="15">
      <c r="A3639" s="21">
        <f t="shared" si="67"/>
        <v>64</v>
      </c>
      <c r="B3639" s="16" t="s">
        <v>4831</v>
      </c>
      <c r="C3639" s="85" t="str">
        <f ca="1">IFERROR(__xludf.DUMMYFUNCTION("GOOGLETRANSLATE(B3639:B3654,""RU"",""UK"")"),"Патрон свердлильний ПС 1-10мм СРСР / 2-10мм СРСР Конус В12")</f>
        <v>Патрон свердлильний ПС 1-10мм СРСР / 2-10мм СРСР Конус В12</v>
      </c>
      <c r="D3639" s="15" t="s">
        <v>6</v>
      </c>
      <c r="E3639" s="15" t="s">
        <v>4832</v>
      </c>
      <c r="F3639" s="91" t="s">
        <v>140</v>
      </c>
      <c r="G3639" s="4"/>
      <c r="H3639" s="4"/>
      <c r="I3639" s="4"/>
    </row>
    <row r="3640" spans="1:9" ht="15">
      <c r="A3640" s="21">
        <f t="shared" si="67"/>
        <v>65</v>
      </c>
      <c r="B3640" s="16" t="s">
        <v>4833</v>
      </c>
      <c r="C3640" s="85" t="str">
        <f ca="1">IFERROR(__xludf.DUMMYFUNCTION("GOOGLETRANSLATE(B3640:B3655,""RU"",""UK"")"),"Патрон свердлильний ПС 1-10мм самозатискний (конус) СРСР")</f>
        <v>Патрон свердлильний ПС 1-10мм самозатискний (конус) СРСР</v>
      </c>
      <c r="D3640" s="15" t="s">
        <v>6</v>
      </c>
      <c r="E3640" s="15">
        <v>7</v>
      </c>
      <c r="F3640" s="91" t="s">
        <v>140</v>
      </c>
      <c r="G3640" s="4"/>
      <c r="H3640" s="4"/>
      <c r="I3640" s="4"/>
    </row>
    <row r="3641" spans="1:9" ht="15">
      <c r="A3641" s="21">
        <f t="shared" si="67"/>
        <v>66</v>
      </c>
      <c r="B3641" s="16" t="s">
        <v>4834</v>
      </c>
      <c r="C3641" s="85" t="str">
        <f ca="1">IFERROR(__xludf.DUMMYFUNCTION("GOOGLETRANSLATE(B3641:B3656,""RU"",""UK"")"),"Патрон свердлильний ПС 1,0 - 13мм 12х1,25/1,5-13мм В16")</f>
        <v>Патрон свердлильний ПС 1,0 - 13мм 12х1,25/1,5-13мм В16</v>
      </c>
      <c r="D3641" s="15" t="s">
        <v>6</v>
      </c>
      <c r="E3641" s="15" t="s">
        <v>3137</v>
      </c>
      <c r="F3641" s="91" t="s">
        <v>1713</v>
      </c>
      <c r="G3641" s="4"/>
      <c r="H3641" s="4"/>
      <c r="I3641" s="4"/>
    </row>
    <row r="3642" spans="1:9" ht="15">
      <c r="A3642" s="21">
        <f t="shared" ref="A3642:A3644" si="68">A3641+1</f>
        <v>67</v>
      </c>
      <c r="B3642" s="19" t="s">
        <v>4835</v>
      </c>
      <c r="C3642" s="85" t="str">
        <f ca="1">IFERROR(__xludf.DUMMYFUNCTION("GOOGLETRANSLATE(B3642:B3657,""RU"",""UK"")"),"Патрон для дриля з ключем 1,5 - 13мм різьблення 1/2""-20")</f>
        <v>Патрон для дриля з ключем 1,5 - 13мм різьблення 1/2"-20</v>
      </c>
      <c r="D3642" s="15" t="s">
        <v>6</v>
      </c>
      <c r="E3642" s="15">
        <v>0</v>
      </c>
      <c r="F3642" s="91" t="s">
        <v>1713</v>
      </c>
      <c r="G3642" s="4"/>
      <c r="H3642" s="4"/>
      <c r="I3642" s="4"/>
    </row>
    <row r="3643" spans="1:9" ht="15">
      <c r="A3643" s="21">
        <f t="shared" si="68"/>
        <v>68</v>
      </c>
      <c r="B3643" s="19" t="s">
        <v>4836</v>
      </c>
      <c r="C3643" s="85" t="str">
        <f ca="1">IFERROR(__xludf.DUMMYFUNCTION("GOOGLETRANSLATE(B3643:B3658,""RU"",""UK"")"),"Патрон свердлильний 3 - 16мм В16/В18")</f>
        <v>Патрон свердлильний 3 - 16мм В16/В18</v>
      </c>
      <c r="D3643" s="15" t="s">
        <v>6</v>
      </c>
      <c r="E3643" s="15" t="s">
        <v>3137</v>
      </c>
      <c r="F3643" s="91" t="s">
        <v>4264</v>
      </c>
      <c r="G3643" s="4"/>
      <c r="H3643" s="4"/>
      <c r="I3643" s="4"/>
    </row>
    <row r="3644" spans="1:9" ht="15">
      <c r="A3644" s="21">
        <f t="shared" si="68"/>
        <v>69</v>
      </c>
      <c r="B3644" s="14" t="s">
        <v>4837</v>
      </c>
      <c r="C3644" s="85" t="str">
        <f ca="1">IFERROR(__xludf.DUMMYFUNCTION("GOOGLETRANSLATE(B3644:B3659,""RU"",""UK"")"),"Патрон швидкознімний КМ2/КМ3/КМ4")</f>
        <v>Патрон швидкознімний КМ2/КМ3/КМ4</v>
      </c>
      <c r="D3644" s="15" t="s">
        <v>6</v>
      </c>
      <c r="E3644" s="15" t="s">
        <v>4838</v>
      </c>
      <c r="F3644" s="91" t="s">
        <v>20</v>
      </c>
      <c r="G3644" s="4"/>
      <c r="H3644" s="4"/>
      <c r="I3644" s="4"/>
    </row>
    <row r="3645" spans="1:9" ht="15">
      <c r="A3645" s="27"/>
      <c r="B3645" s="28"/>
      <c r="C3645" s="110" t="s">
        <v>6050</v>
      </c>
      <c r="D3645" s="28"/>
      <c r="E3645" s="28"/>
      <c r="F3645" s="94"/>
      <c r="G3645" s="4"/>
      <c r="H3645" s="4"/>
      <c r="I3645" s="4"/>
    </row>
    <row r="3646" spans="1:9" ht="15">
      <c r="A3646" s="13">
        <v>1</v>
      </c>
      <c r="B3646" s="14" t="s">
        <v>4839</v>
      </c>
      <c r="C3646" s="85" t="str">
        <f ca="1">IFERROR(__xludf.DUMMYFUNCTION("GOOGLETRANSLATE(B3646:B3661,""RU"",""UK"")"),"Плашка М – 1.0 / 1.4")</f>
        <v>Плашка М – 1.0 / 1.4</v>
      </c>
      <c r="D3646" s="15" t="s">
        <v>6</v>
      </c>
      <c r="E3646" s="15" t="s">
        <v>4840</v>
      </c>
      <c r="F3646" s="91" t="s">
        <v>4841</v>
      </c>
      <c r="G3646" s="4"/>
      <c r="H3646" s="4"/>
      <c r="I3646" s="4"/>
    </row>
    <row r="3647" spans="1:9" ht="15">
      <c r="A3647" s="13">
        <f>A3646+1</f>
        <v>2</v>
      </c>
      <c r="B3647" s="14" t="s">
        <v>4842</v>
      </c>
      <c r="C3647" s="85" t="str">
        <f ca="1">IFERROR(__xludf.DUMMYFUNCTION("GOOGLETRANSLATE(B3647:B3662,""RU"",""UK"")"),"Плашка М – 1.6 / 1.8")</f>
        <v>Плашка М – 1.6 / 1.8</v>
      </c>
      <c r="D3647" s="15" t="s">
        <v>6</v>
      </c>
      <c r="E3647" s="15" t="s">
        <v>4843</v>
      </c>
      <c r="F3647" s="91" t="s">
        <v>4841</v>
      </c>
      <c r="G3647" s="4"/>
      <c r="H3647" s="4"/>
      <c r="I3647" s="4"/>
    </row>
    <row r="3648" spans="1:9" ht="15">
      <c r="A3648" s="21">
        <f t="shared" ref="A3648:A3711" si="69">A3647+1</f>
        <v>3</v>
      </c>
      <c r="B3648" s="16" t="s">
        <v>4844</v>
      </c>
      <c r="C3648" s="85" t="str">
        <f ca="1">IFERROR(__xludf.DUMMYFUNCTION("GOOGLETRANSLATE(B3648:B3663,""RU"",""UK"")"),"Плашка М - 2.0/2х0,25/2.2/2.5")</f>
        <v>Плашка М - 2.0/2х0,25/2.2/2.5</v>
      </c>
      <c r="D3648" s="15" t="s">
        <v>6</v>
      </c>
      <c r="E3648" s="15" t="s">
        <v>4845</v>
      </c>
      <c r="F3648" s="91" t="s">
        <v>4841</v>
      </c>
      <c r="G3648" s="4"/>
      <c r="H3648" s="4"/>
      <c r="I3648" s="4"/>
    </row>
    <row r="3649" spans="1:9" ht="15">
      <c r="A3649" s="21">
        <f t="shared" si="69"/>
        <v>4</v>
      </c>
      <c r="B3649" s="16" t="s">
        <v>4846</v>
      </c>
      <c r="C3649" s="85" t="str">
        <f ca="1">IFERROR(__xludf.DUMMYFUNCTION("GOOGLETRANSLATE(B3649:B3664,""RU"",""UK"")"),"Плашка М - 3.0 / 3.0 лев / 3х0,35")</f>
        <v>Плашка М - 3.0 / 3.0 лев / 3х0,35</v>
      </c>
      <c r="D3649" s="15" t="s">
        <v>6</v>
      </c>
      <c r="E3649" s="15" t="s">
        <v>4847</v>
      </c>
      <c r="F3649" s="91" t="s">
        <v>4841</v>
      </c>
      <c r="G3649" s="4"/>
      <c r="H3649" s="4"/>
      <c r="I3649" s="4"/>
    </row>
    <row r="3650" spans="1:9" ht="15">
      <c r="A3650" s="21">
        <f t="shared" si="69"/>
        <v>5</v>
      </c>
      <c r="B3650" s="14" t="s">
        <v>4848</v>
      </c>
      <c r="C3650" s="85" t="str">
        <f ca="1">IFERROR(__xludf.DUMMYFUNCTION("GOOGLETRANSLATE(B3650:B3665,""RU"",""UK"")"),"Плашка М – 3,5")</f>
        <v>Плашка М – 3,5</v>
      </c>
      <c r="D3650" s="15" t="s">
        <v>6</v>
      </c>
      <c r="E3650" s="15">
        <v>180</v>
      </c>
      <c r="F3650" s="91" t="s">
        <v>248</v>
      </c>
      <c r="G3650" s="4"/>
      <c r="H3650" s="4"/>
      <c r="I3650" s="4"/>
    </row>
    <row r="3651" spans="1:9" ht="15">
      <c r="A3651" s="21">
        <f t="shared" si="69"/>
        <v>6</v>
      </c>
      <c r="B3651" s="14" t="s">
        <v>4849</v>
      </c>
      <c r="C3651" s="85" t="str">
        <f ca="1">IFERROR(__xludf.DUMMYFUNCTION("GOOGLETRANSLATE(B3651:B3666,""RU"",""UK"")"),"Плашка М - 4/4,5")</f>
        <v>Плашка М - 4/4,5</v>
      </c>
      <c r="D3651" s="15" t="s">
        <v>6</v>
      </c>
      <c r="E3651" s="15" t="s">
        <v>4850</v>
      </c>
      <c r="F3651" s="91" t="s">
        <v>169</v>
      </c>
      <c r="G3651" s="4"/>
      <c r="H3651" s="4"/>
      <c r="I3651" s="4"/>
    </row>
    <row r="3652" spans="1:9" ht="15">
      <c r="A3652" s="21">
        <f t="shared" si="69"/>
        <v>7</v>
      </c>
      <c r="B3652" s="14" t="s">
        <v>4851</v>
      </c>
      <c r="C3652" s="85" t="str">
        <f ca="1">IFERROR(__xludf.DUMMYFUNCTION("GOOGLETRANSLATE(B3652:B3667,""RU"",""UK"")"),"Плашка М - 4лев")</f>
        <v>Плашка М - 4лев</v>
      </c>
      <c r="D3652" s="15" t="s">
        <v>6</v>
      </c>
      <c r="E3652" s="15">
        <v>25</v>
      </c>
      <c r="F3652" s="91" t="s">
        <v>4852</v>
      </c>
      <c r="G3652" s="4"/>
      <c r="H3652" s="4"/>
      <c r="I3652" s="4"/>
    </row>
    <row r="3653" spans="1:9" ht="15">
      <c r="A3653" s="21">
        <f t="shared" si="69"/>
        <v>8</v>
      </c>
      <c r="B3653" s="16" t="s">
        <v>4853</v>
      </c>
      <c r="C3653" s="85" t="str">
        <f ca="1">IFERROR(__xludf.DUMMYFUNCTION("GOOGLETRANSLATE(B3653:B3668,""RU"",""UK"")"),"Плашка М - 5/5х0,5")</f>
        <v>Плашка М - 5/5х0,5</v>
      </c>
      <c r="D3653" s="15" t="s">
        <v>6</v>
      </c>
      <c r="E3653" s="15" t="s">
        <v>4854</v>
      </c>
      <c r="F3653" s="91" t="s">
        <v>201</v>
      </c>
      <c r="G3653" s="4"/>
      <c r="H3653" s="4"/>
      <c r="I3653" s="4"/>
    </row>
    <row r="3654" spans="1:9" ht="15">
      <c r="A3654" s="21">
        <f t="shared" si="69"/>
        <v>9</v>
      </c>
      <c r="B3654" s="14" t="s">
        <v>4855</v>
      </c>
      <c r="C3654" s="85" t="str">
        <f ca="1">IFERROR(__xludf.DUMMYFUNCTION("GOOGLETRANSLATE(B3654:B3669,""RU"",""UK"")"),"Плашка М - 5лев")</f>
        <v>Плашка М - 5лев</v>
      </c>
      <c r="D3654" s="15" t="s">
        <v>6</v>
      </c>
      <c r="E3654" s="15">
        <v>3</v>
      </c>
      <c r="F3654" s="91" t="s">
        <v>255</v>
      </c>
      <c r="G3654" s="4"/>
      <c r="H3654" s="4"/>
      <c r="I3654" s="4"/>
    </row>
    <row r="3655" spans="1:9" ht="15">
      <c r="A3655" s="21">
        <f t="shared" si="69"/>
        <v>10</v>
      </c>
      <c r="B3655" s="14" t="s">
        <v>4856</v>
      </c>
      <c r="C3655" s="85" t="str">
        <f ca="1">IFERROR(__xludf.DUMMYFUNCTION("GOOGLETRANSLATE(B3655:B3670,""RU"",""UK"")"),"Плашка М - 6/6х0.5/6х0,75")</f>
        <v>Плашка М - 6/6х0.5/6х0,75</v>
      </c>
      <c r="D3655" s="15" t="s">
        <v>6</v>
      </c>
      <c r="E3655" s="15" t="s">
        <v>4857</v>
      </c>
      <c r="F3655" s="91" t="s">
        <v>598</v>
      </c>
      <c r="G3655" s="4"/>
      <c r="H3655" s="4"/>
      <c r="I3655" s="4"/>
    </row>
    <row r="3656" spans="1:9" ht="15">
      <c r="A3656" s="21">
        <f t="shared" si="69"/>
        <v>11</v>
      </c>
      <c r="B3656" s="14" t="s">
        <v>4858</v>
      </c>
      <c r="C3656" s="85" t="str">
        <f ca="1">IFERROR(__xludf.DUMMYFUNCTION("GOOGLETRANSLATE(B3656:B3671,""RU"",""UK"")"),"Плашка М - 6 лев")</f>
        <v>Плашка М - 6 лев</v>
      </c>
      <c r="D3656" s="15" t="s">
        <v>6</v>
      </c>
      <c r="E3656" s="15">
        <v>4</v>
      </c>
      <c r="F3656" s="91" t="s">
        <v>257</v>
      </c>
      <c r="G3656" s="4"/>
      <c r="H3656" s="4"/>
      <c r="I3656" s="4"/>
    </row>
    <row r="3657" spans="1:9" ht="15">
      <c r="A3657" s="21">
        <f t="shared" si="69"/>
        <v>12</v>
      </c>
      <c r="B3657" s="16" t="s">
        <v>4859</v>
      </c>
      <c r="C3657" s="85" t="str">
        <f ca="1">IFERROR(__xludf.DUMMYFUNCTION("GOOGLETRANSLATE(B3657:B3672,""RU"",""UK"")"),"Плашка М - 7/7х0,5/7х0,75")</f>
        <v>Плашка М - 7/7х0,5/7х0,75</v>
      </c>
      <c r="D3657" s="15" t="s">
        <v>6</v>
      </c>
      <c r="E3657" s="15" t="s">
        <v>4860</v>
      </c>
      <c r="F3657" s="91" t="s">
        <v>257</v>
      </c>
      <c r="G3657" s="4"/>
      <c r="H3657" s="4"/>
      <c r="I3657" s="4"/>
    </row>
    <row r="3658" spans="1:9" ht="15">
      <c r="A3658" s="21">
        <f t="shared" si="69"/>
        <v>13</v>
      </c>
      <c r="B3658" s="14" t="s">
        <v>4861</v>
      </c>
      <c r="C3658" s="85" t="str">
        <f ca="1">IFERROR(__xludf.DUMMYFUNCTION("GOOGLETRANSLATE(B3658:B3673,""RU"",""UK"")"),"Плашка М - 8/8х0.5")</f>
        <v>Плашка М - 8/8х0.5</v>
      </c>
      <c r="D3658" s="15" t="s">
        <v>6</v>
      </c>
      <c r="E3658" s="15" t="s">
        <v>4862</v>
      </c>
      <c r="F3658" s="91" t="s">
        <v>183</v>
      </c>
      <c r="G3658" s="4"/>
      <c r="H3658" s="4"/>
      <c r="I3658" s="4"/>
    </row>
    <row r="3659" spans="1:9" ht="15">
      <c r="A3659" s="21">
        <f t="shared" si="69"/>
        <v>14</v>
      </c>
      <c r="B3659" s="14" t="s">
        <v>4863</v>
      </c>
      <c r="C3659" s="85" t="str">
        <f ca="1">IFERROR(__xludf.DUMMYFUNCTION("GOOGLETRANSLATE(B3659:B3674,""RU"",""UK"")"),"Плашка М - 8х0,75/8х1")</f>
        <v>Плашка М - 8х0,75/8х1</v>
      </c>
      <c r="D3659" s="15" t="s">
        <v>6</v>
      </c>
      <c r="E3659" s="15" t="s">
        <v>4864</v>
      </c>
      <c r="F3659" s="91" t="s">
        <v>183</v>
      </c>
      <c r="G3659" s="4"/>
      <c r="H3659" s="4"/>
      <c r="I3659" s="4"/>
    </row>
    <row r="3660" spans="1:9" ht="15">
      <c r="A3660" s="21">
        <f t="shared" si="69"/>
        <v>15</v>
      </c>
      <c r="B3660" s="14" t="s">
        <v>4865</v>
      </c>
      <c r="C3660" s="85" t="str">
        <f ca="1">IFERROR(__xludf.DUMMYFUNCTION("GOOGLETRANSLATE(B3660:B3675,""RU"",""UK"")"),"Плашка М - 8лев. / 8х1лев")</f>
        <v>Плашка М - 8лев. / 8х1лев</v>
      </c>
      <c r="D3660" s="15" t="s">
        <v>6</v>
      </c>
      <c r="E3660" s="15" t="s">
        <v>4866</v>
      </c>
      <c r="F3660" s="91" t="s">
        <v>338</v>
      </c>
      <c r="G3660" s="4"/>
      <c r="H3660" s="4"/>
      <c r="I3660" s="4"/>
    </row>
    <row r="3661" spans="1:9" ht="15">
      <c r="A3661" s="21">
        <f t="shared" si="69"/>
        <v>16</v>
      </c>
      <c r="B3661" s="14" t="s">
        <v>4867</v>
      </c>
      <c r="C3661" s="85" t="str">
        <f ca="1">IFERROR(__xludf.DUMMYFUNCTION("GOOGLETRANSLATE(B3661:B3676,""RU"",""UK"")"),"Плашка М - 9/9х0,5/9х1")</f>
        <v>Плашка М - 9/9х0,5/9х1</v>
      </c>
      <c r="D3661" s="15" t="s">
        <v>6</v>
      </c>
      <c r="E3661" s="15" t="s">
        <v>4868</v>
      </c>
      <c r="F3661" s="91" t="s">
        <v>185</v>
      </c>
      <c r="G3661" s="4"/>
      <c r="H3661" s="4"/>
      <c r="I3661" s="4"/>
    </row>
    <row r="3662" spans="1:9" ht="15">
      <c r="A3662" s="21">
        <f t="shared" si="69"/>
        <v>17</v>
      </c>
      <c r="B3662" s="14" t="s">
        <v>4869</v>
      </c>
      <c r="C3662" s="85" t="str">
        <f ca="1">IFERROR(__xludf.DUMMYFUNCTION("GOOGLETRANSLATE(B3662:B3677,""RU"",""UK"")"),"Плашка М-10")</f>
        <v>Плашка М-10</v>
      </c>
      <c r="D3662" s="15" t="s">
        <v>6</v>
      </c>
      <c r="E3662" s="15">
        <v>21</v>
      </c>
      <c r="F3662" s="91" t="s">
        <v>536</v>
      </c>
      <c r="G3662" s="4"/>
      <c r="H3662" s="4"/>
      <c r="I3662" s="4"/>
    </row>
    <row r="3663" spans="1:9" ht="15">
      <c r="A3663" s="21">
        <f t="shared" si="69"/>
        <v>18</v>
      </c>
      <c r="B3663" s="14" t="s">
        <v>4870</v>
      </c>
      <c r="C3663" s="85" t="str">
        <f ca="1">IFERROR(__xludf.DUMMYFUNCTION("GOOGLETRANSLATE(B3663:B3678,""RU"",""UK"")"),"Плашка М - 10х0,5/10х0,75")</f>
        <v>Плашка М - 10х0,5/10х0,75</v>
      </c>
      <c r="D3663" s="15" t="s">
        <v>6</v>
      </c>
      <c r="E3663" s="15" t="s">
        <v>4871</v>
      </c>
      <c r="F3663" s="91" t="s">
        <v>536</v>
      </c>
      <c r="G3663" s="4"/>
      <c r="H3663" s="4"/>
      <c r="I3663" s="4"/>
    </row>
    <row r="3664" spans="1:9" ht="15">
      <c r="A3664" s="21">
        <f t="shared" si="69"/>
        <v>19</v>
      </c>
      <c r="B3664" s="19" t="s">
        <v>4872</v>
      </c>
      <c r="C3664" s="85" t="str">
        <f ca="1">IFERROR(__xludf.DUMMYFUNCTION("GOOGLETRANSLATE(B3664:B3679,""RU"",""UK"")"),"Плашка М - 10х1/10х1,25")</f>
        <v>Плашка М - 10х1/10х1,25</v>
      </c>
      <c r="D3664" s="15" t="s">
        <v>6</v>
      </c>
      <c r="E3664" s="15" t="s">
        <v>2622</v>
      </c>
      <c r="F3664" s="91" t="s">
        <v>1518</v>
      </c>
      <c r="G3664" s="4"/>
      <c r="H3664" s="4"/>
      <c r="I3664" s="4"/>
    </row>
    <row r="3665" spans="1:9" ht="15">
      <c r="A3665" s="21">
        <f t="shared" si="69"/>
        <v>20</v>
      </c>
      <c r="B3665" s="14" t="s">
        <v>4873</v>
      </c>
      <c r="C3665" s="85" t="str">
        <f ca="1">IFERROR(__xludf.DUMMYFUNCTION("GOOGLETRANSLATE(B3665:B3680,""RU"",""UK"")"),"Плашка М - 10лев/10х1лев/10х1,25лев.")</f>
        <v>Плашка М - 10лев/10х1лев/10х1,25лев.</v>
      </c>
      <c r="D3665" s="15" t="s">
        <v>6</v>
      </c>
      <c r="E3665" s="15" t="s">
        <v>4874</v>
      </c>
      <c r="F3665" s="91" t="s">
        <v>344</v>
      </c>
      <c r="G3665" s="4"/>
      <c r="H3665" s="4"/>
      <c r="I3665" s="4"/>
    </row>
    <row r="3666" spans="1:9" ht="15">
      <c r="A3666" s="21">
        <f t="shared" si="69"/>
        <v>21</v>
      </c>
      <c r="B3666" s="14" t="s">
        <v>4875</v>
      </c>
      <c r="C3666" s="85" t="str">
        <f ca="1">IFERROR(__xludf.DUMMYFUNCTION("GOOGLETRANSLATE(B3666:B3681,""RU"",""UK"")"),"Плашка М - 11/11х0,75/11х1")</f>
        <v>Плашка М - 11/11х0,75/11х1</v>
      </c>
      <c r="D3666" s="15" t="s">
        <v>6</v>
      </c>
      <c r="E3666" s="15" t="s">
        <v>4876</v>
      </c>
      <c r="F3666" s="91" t="s">
        <v>136</v>
      </c>
      <c r="G3666" s="4"/>
      <c r="H3666" s="4"/>
      <c r="I3666" s="4"/>
    </row>
    <row r="3667" spans="1:9" ht="15">
      <c r="A3667" s="21">
        <f t="shared" si="69"/>
        <v>22</v>
      </c>
      <c r="B3667" s="16" t="s">
        <v>4877</v>
      </c>
      <c r="C3667" s="85" t="str">
        <f ca="1">IFERROR(__xludf.DUMMYFUNCTION("GOOGLETRANSLATE(B3667:B3682,""RU"",""UK"")"),"Плашка М - 12/12х0,5")</f>
        <v>Плашка М - 12/12х0,5</v>
      </c>
      <c r="D3667" s="15" t="s">
        <v>6</v>
      </c>
      <c r="E3667" s="15" t="s">
        <v>4878</v>
      </c>
      <c r="F3667" s="91" t="s">
        <v>346</v>
      </c>
      <c r="G3667" s="4"/>
      <c r="H3667" s="4"/>
      <c r="I3667" s="4"/>
    </row>
    <row r="3668" spans="1:9" ht="15">
      <c r="A3668" s="21">
        <f t="shared" si="69"/>
        <v>23</v>
      </c>
      <c r="B3668" s="14" t="s">
        <v>4879</v>
      </c>
      <c r="C3668" s="85" t="str">
        <f ca="1">IFERROR(__xludf.DUMMYFUNCTION("GOOGLETRANSLATE(B3668:B3683,""RU"",""UK"")"),"Плашка М - 12х0,75/12х1")</f>
        <v>Плашка М - 12х0,75/12х1</v>
      </c>
      <c r="D3668" s="15" t="s">
        <v>6</v>
      </c>
      <c r="E3668" s="15" t="s">
        <v>4880</v>
      </c>
      <c r="F3668" s="91" t="s">
        <v>346</v>
      </c>
      <c r="G3668" s="4"/>
      <c r="H3668" s="4"/>
      <c r="I3668" s="4"/>
    </row>
    <row r="3669" spans="1:9" ht="15">
      <c r="A3669" s="21">
        <f t="shared" si="69"/>
        <v>24</v>
      </c>
      <c r="B3669" s="14" t="s">
        <v>4881</v>
      </c>
      <c r="C3669" s="85" t="str">
        <f ca="1">IFERROR(__xludf.DUMMYFUNCTION("GOOGLETRANSLATE(B3669:B3684,""RU"",""UK"")"),"Плашка М - 12х1,25/12х1,5")</f>
        <v>Плашка М - 12х1,25/12х1,5</v>
      </c>
      <c r="D3669" s="15" t="s">
        <v>6</v>
      </c>
      <c r="E3669" s="15" t="s">
        <v>4882</v>
      </c>
      <c r="F3669" s="91" t="s">
        <v>346</v>
      </c>
      <c r="G3669" s="4"/>
      <c r="H3669" s="4"/>
      <c r="I3669" s="4"/>
    </row>
    <row r="3670" spans="1:9" ht="15">
      <c r="A3670" s="21">
        <f t="shared" si="69"/>
        <v>25</v>
      </c>
      <c r="B3670" s="14" t="s">
        <v>4883</v>
      </c>
      <c r="C3670" s="85" t="str">
        <f ca="1">IFERROR(__xludf.DUMMYFUNCTION("GOOGLETRANSLATE(B3670:B3685,""RU"",""UK"")"),"Плашка М - 12лев / 12х1.25лев")</f>
        <v>Плашка М - 12лев / 12х1.25лев</v>
      </c>
      <c r="D3670" s="15" t="s">
        <v>6</v>
      </c>
      <c r="E3670" s="15" t="s">
        <v>4884</v>
      </c>
      <c r="F3670" s="91" t="s">
        <v>319</v>
      </c>
      <c r="G3670" s="4"/>
      <c r="H3670" s="4"/>
      <c r="I3670" s="4"/>
    </row>
    <row r="3671" spans="1:9" ht="15">
      <c r="A3671" s="21">
        <f t="shared" si="69"/>
        <v>26</v>
      </c>
      <c r="B3671" s="14" t="s">
        <v>4885</v>
      </c>
      <c r="C3671" s="85" t="str">
        <f ca="1">IFERROR(__xludf.DUMMYFUNCTION("GOOGLETRANSLATE(B3671:B3686,""RU"",""UK"")"),"Плашка М-14")</f>
        <v>Плашка М-14</v>
      </c>
      <c r="D3671" s="15" t="s">
        <v>6</v>
      </c>
      <c r="E3671" s="15">
        <v>279</v>
      </c>
      <c r="F3671" s="91" t="s">
        <v>1570</v>
      </c>
      <c r="G3671" s="4"/>
      <c r="H3671" s="4"/>
      <c r="I3671" s="4"/>
    </row>
    <row r="3672" spans="1:9" ht="15">
      <c r="A3672" s="21">
        <f t="shared" si="69"/>
        <v>27</v>
      </c>
      <c r="B3672" s="14" t="s">
        <v>4886</v>
      </c>
      <c r="C3672" s="85" t="str">
        <f ca="1">IFERROR(__xludf.DUMMYFUNCTION("GOOGLETRANSLATE(B3672:B3687,""RU"",""UK"")"),"Плашка М - 14лев/14х1.5лев")</f>
        <v>Плашка М - 14лев/14х1.5лев</v>
      </c>
      <c r="D3672" s="15" t="s">
        <v>6</v>
      </c>
      <c r="E3672" s="15" t="s">
        <v>3059</v>
      </c>
      <c r="F3672" s="91" t="s">
        <v>220</v>
      </c>
      <c r="G3672" s="4"/>
      <c r="H3672" s="4"/>
      <c r="I3672" s="4"/>
    </row>
    <row r="3673" spans="1:9" ht="15">
      <c r="A3673" s="21">
        <f t="shared" si="69"/>
        <v>28</v>
      </c>
      <c r="B3673" s="14" t="s">
        <v>4887</v>
      </c>
      <c r="C3673" s="85" t="str">
        <f ca="1">IFERROR(__xludf.DUMMYFUNCTION("GOOGLETRANSLATE(B3673:B3688,""RU"",""UK"")"),"Плашка М - 14х0,75/14х0.5")</f>
        <v>Плашка М - 14х0,75/14х0.5</v>
      </c>
      <c r="D3673" s="15" t="s">
        <v>6</v>
      </c>
      <c r="E3673" s="15" t="s">
        <v>831</v>
      </c>
      <c r="F3673" s="91" t="s">
        <v>119</v>
      </c>
      <c r="G3673" s="4"/>
      <c r="H3673" s="4"/>
      <c r="I3673" s="4"/>
    </row>
    <row r="3674" spans="1:9" ht="15">
      <c r="A3674" s="21">
        <f t="shared" si="69"/>
        <v>29</v>
      </c>
      <c r="B3674" s="14" t="s">
        <v>4888</v>
      </c>
      <c r="C3674" s="85" t="str">
        <f ca="1">IFERROR(__xludf.DUMMYFUNCTION("GOOGLETRANSLATE(B3674:B3689,""RU"",""UK"")"),"Плашка М - 14х1/14х1,25")</f>
        <v>Плашка М - 14х1/14х1,25</v>
      </c>
      <c r="D3674" s="15" t="s">
        <v>6</v>
      </c>
      <c r="E3674" s="15" t="s">
        <v>4889</v>
      </c>
      <c r="F3674" s="91" t="s">
        <v>119</v>
      </c>
      <c r="G3674" s="4"/>
      <c r="H3674" s="4"/>
      <c r="I3674" s="4"/>
    </row>
    <row r="3675" spans="1:9" ht="15">
      <c r="A3675" s="21">
        <f t="shared" si="69"/>
        <v>30</v>
      </c>
      <c r="B3675" s="14" t="s">
        <v>4890</v>
      </c>
      <c r="C3675" s="85" t="str">
        <f ca="1">IFERROR(__xludf.DUMMYFUNCTION("GOOGLETRANSLATE(B3675:B3690,""RU"",""UK"")"),"Плашка М – 14х1,5")</f>
        <v>Плашка М – 14х1,5</v>
      </c>
      <c r="D3675" s="15" t="s">
        <v>6</v>
      </c>
      <c r="E3675" s="15">
        <v>31</v>
      </c>
      <c r="F3675" s="91" t="s">
        <v>119</v>
      </c>
      <c r="G3675" s="4"/>
      <c r="H3675" s="4"/>
      <c r="I3675" s="4"/>
    </row>
    <row r="3676" spans="1:9" ht="15">
      <c r="A3676" s="21">
        <f t="shared" si="69"/>
        <v>31</v>
      </c>
      <c r="B3676" s="16" t="s">
        <v>4891</v>
      </c>
      <c r="C3676" s="85" t="str">
        <f ca="1">IFERROR(__xludf.DUMMYFUNCTION("GOOGLETRANSLATE(B3676:B3691,""RU"",""UK"")"),"Плашка М-16")</f>
        <v>Плашка М-16</v>
      </c>
      <c r="D3676" s="15" t="s">
        <v>6</v>
      </c>
      <c r="E3676" s="17">
        <v>33</v>
      </c>
      <c r="F3676" s="91" t="s">
        <v>20</v>
      </c>
      <c r="G3676" s="4"/>
      <c r="H3676" s="4"/>
      <c r="I3676" s="4"/>
    </row>
    <row r="3677" spans="1:9" ht="15">
      <c r="A3677" s="21">
        <f t="shared" si="69"/>
        <v>32</v>
      </c>
      <c r="B3677" s="16" t="s">
        <v>4892</v>
      </c>
      <c r="C3677" s="85" t="str">
        <f ca="1">IFERROR(__xludf.DUMMYFUNCTION("GOOGLETRANSLATE(B3677:B3692,""RU"",""UK"")"),"Плашка М – 16 лев. / 16х1лев. / 16х1.5лев")</f>
        <v>Плашка М – 16 лев. / 16х1лев. / 16х1.5лев</v>
      </c>
      <c r="D3677" s="15" t="s">
        <v>6</v>
      </c>
      <c r="E3677" s="15" t="s">
        <v>766</v>
      </c>
      <c r="F3677" s="91" t="s">
        <v>24</v>
      </c>
      <c r="G3677" s="4"/>
      <c r="H3677" s="4"/>
      <c r="I3677" s="4"/>
    </row>
    <row r="3678" spans="1:9" ht="15">
      <c r="A3678" s="21">
        <f t="shared" si="69"/>
        <v>33</v>
      </c>
      <c r="B3678" s="14" t="s">
        <v>4893</v>
      </c>
      <c r="C3678" s="85" t="str">
        <f ca="1">IFERROR(__xludf.DUMMYFUNCTION("GOOGLETRANSLATE(B3678:B3693,""RU"",""UK"")"),"Плашка М - 16х0.75/16х1/16х1.5")</f>
        <v>Плашка М - 16х0.75/16х1/16х1.5</v>
      </c>
      <c r="D3678" s="15" t="s">
        <v>6</v>
      </c>
      <c r="E3678" s="15" t="s">
        <v>4894</v>
      </c>
      <c r="F3678" s="91" t="s">
        <v>20</v>
      </c>
      <c r="G3678" s="4"/>
      <c r="H3678" s="4"/>
      <c r="I3678" s="4"/>
    </row>
    <row r="3679" spans="1:9" ht="15">
      <c r="A3679" s="21">
        <f t="shared" si="69"/>
        <v>34</v>
      </c>
      <c r="B3679" s="14" t="s">
        <v>4895</v>
      </c>
      <c r="C3679" s="85" t="str">
        <f ca="1">IFERROR(__xludf.DUMMYFUNCTION("GOOGLETRANSLATE(B3679:B3694,""RU"",""UK"")"),"Плашка М-18")</f>
        <v>Плашка М-18</v>
      </c>
      <c r="D3679" s="15" t="s">
        <v>6</v>
      </c>
      <c r="E3679" s="15">
        <v>85</v>
      </c>
      <c r="F3679" s="91" t="s">
        <v>20</v>
      </c>
      <c r="G3679" s="4"/>
      <c r="H3679" s="4"/>
      <c r="I3679" s="4"/>
    </row>
    <row r="3680" spans="1:9" ht="15">
      <c r="A3680" s="21">
        <f t="shared" si="69"/>
        <v>35</v>
      </c>
      <c r="B3680" s="14" t="s">
        <v>4896</v>
      </c>
      <c r="C3680" s="85" t="str">
        <f ca="1">IFERROR(__xludf.DUMMYFUNCTION("GOOGLETRANSLATE(B3680:B3695,""RU"",""UK"")"),"Плашка М - 18лев.")</f>
        <v>Плашка М - 18лев.</v>
      </c>
      <c r="D3680" s="15" t="s">
        <v>6</v>
      </c>
      <c r="E3680" s="15">
        <v>4</v>
      </c>
      <c r="F3680" s="91" t="s">
        <v>24</v>
      </c>
      <c r="G3680" s="4"/>
      <c r="H3680" s="4"/>
      <c r="I3680" s="4"/>
    </row>
    <row r="3681" spans="1:9" ht="15">
      <c r="A3681" s="21">
        <f t="shared" si="69"/>
        <v>36</v>
      </c>
      <c r="B3681" s="14" t="s">
        <v>4897</v>
      </c>
      <c r="C3681" s="85" t="str">
        <f ca="1">IFERROR(__xludf.DUMMYFUNCTION("GOOGLETRANSLATE(B3681:B3696,""RU"",""UK"")"),"Плашка М - 18х0.75/18х1,0")</f>
        <v>Плашка М - 18х0.75/18х1,0</v>
      </c>
      <c r="D3681" s="15" t="s">
        <v>6</v>
      </c>
      <c r="E3681" s="15" t="s">
        <v>4898</v>
      </c>
      <c r="F3681" s="91" t="s">
        <v>20</v>
      </c>
      <c r="G3681" s="4"/>
      <c r="H3681" s="4"/>
      <c r="I3681" s="4"/>
    </row>
    <row r="3682" spans="1:9" ht="15">
      <c r="A3682" s="21">
        <f t="shared" si="69"/>
        <v>37</v>
      </c>
      <c r="B3682" s="16" t="s">
        <v>4899</v>
      </c>
      <c r="C3682" s="85" t="str">
        <f ca="1">IFERROR(__xludf.DUMMYFUNCTION("GOOGLETRANSLATE(B3682:B3697,""RU"",""UK"")"),"Плашка М - 18х1, 5/18х2")</f>
        <v>Плашка М - 18х1, 5/18х2</v>
      </c>
      <c r="D3682" s="15" t="s">
        <v>6</v>
      </c>
      <c r="E3682" s="15" t="s">
        <v>4900</v>
      </c>
      <c r="F3682" s="91" t="s">
        <v>20</v>
      </c>
      <c r="G3682" s="4"/>
      <c r="H3682" s="4"/>
      <c r="I3682" s="4"/>
    </row>
    <row r="3683" spans="1:9" ht="15">
      <c r="A3683" s="21">
        <f t="shared" si="69"/>
        <v>38</v>
      </c>
      <c r="B3683" s="16" t="s">
        <v>4901</v>
      </c>
      <c r="C3683" s="85" t="str">
        <f ca="1">IFERROR(__xludf.DUMMYFUNCTION("GOOGLETRANSLATE(B3683:B3698,""RU"",""UK"")"),"Плашка М - 20/20х0.5")</f>
        <v>Плашка М - 20/20х0.5</v>
      </c>
      <c r="D3683" s="15" t="s">
        <v>6</v>
      </c>
      <c r="E3683" s="15" t="s">
        <v>3288</v>
      </c>
      <c r="F3683" s="91" t="s">
        <v>20</v>
      </c>
      <c r="G3683" s="4"/>
      <c r="H3683" s="4"/>
      <c r="I3683" s="4"/>
    </row>
    <row r="3684" spans="1:9" ht="15">
      <c r="A3684" s="21">
        <f t="shared" si="69"/>
        <v>39</v>
      </c>
      <c r="B3684" s="14" t="s">
        <v>4902</v>
      </c>
      <c r="C3684" s="85" t="str">
        <f ca="1">IFERROR(__xludf.DUMMYFUNCTION("GOOGLETRANSLATE(B3684:B3699,""RU"",""UK"")"),"Плашка М - 20х0,75/20х1")</f>
        <v>Плашка М - 20х0,75/20х1</v>
      </c>
      <c r="D3684" s="15" t="s">
        <v>6</v>
      </c>
      <c r="E3684" s="15" t="s">
        <v>4903</v>
      </c>
      <c r="F3684" s="91" t="s">
        <v>20</v>
      </c>
      <c r="G3684" s="4"/>
      <c r="H3684" s="4"/>
      <c r="I3684" s="4"/>
    </row>
    <row r="3685" spans="1:9" ht="15">
      <c r="A3685" s="21">
        <f t="shared" si="69"/>
        <v>40</v>
      </c>
      <c r="B3685" s="14" t="s">
        <v>4904</v>
      </c>
      <c r="C3685" s="85" t="str">
        <f ca="1">IFERROR(__xludf.DUMMYFUNCTION("GOOGLETRANSLATE(B3685:B3700,""RU"",""UK"")"),"Плашка М - 20х1, 5/20х2")</f>
        <v>Плашка М - 20х1, 5/20х2</v>
      </c>
      <c r="D3685" s="15" t="s">
        <v>6</v>
      </c>
      <c r="E3685" s="15" t="s">
        <v>4905</v>
      </c>
      <c r="F3685" s="91" t="s">
        <v>20</v>
      </c>
      <c r="G3685" s="4"/>
      <c r="H3685" s="4"/>
      <c r="I3685" s="4"/>
    </row>
    <row r="3686" spans="1:9" ht="15">
      <c r="A3686" s="21">
        <f t="shared" si="69"/>
        <v>41</v>
      </c>
      <c r="B3686" s="14" t="s">
        <v>4906</v>
      </c>
      <c r="C3686" s="85" t="str">
        <f ca="1">IFERROR(__xludf.DUMMYFUNCTION("GOOGLETRANSLATE(B3686:B3701,""RU"",""UK"")"),"Плашка М - 20лев / 20х1лев / 20х1, 5лев.")</f>
        <v>Плашка М - 20лев / 20х1лев / 20х1, 5лев.</v>
      </c>
      <c r="D3686" s="15" t="s">
        <v>6</v>
      </c>
      <c r="E3686" s="15" t="s">
        <v>4907</v>
      </c>
      <c r="F3686" s="91" t="s">
        <v>20</v>
      </c>
      <c r="G3686" s="4"/>
      <c r="H3686" s="4"/>
      <c r="I3686" s="4"/>
    </row>
    <row r="3687" spans="1:9" ht="15">
      <c r="A3687" s="21">
        <f t="shared" si="69"/>
        <v>42</v>
      </c>
      <c r="B3687" s="14" t="s">
        <v>4908</v>
      </c>
      <c r="C3687" s="85" t="str">
        <f ca="1">IFERROR(__xludf.DUMMYFUNCTION("GOOGLETRANSLATE(B3687:B3702,""RU"",""UK"")"),"Плашка М-22")</f>
        <v>Плашка М-22</v>
      </c>
      <c r="D3687" s="15" t="s">
        <v>6</v>
      </c>
      <c r="E3687" s="15">
        <v>35</v>
      </c>
      <c r="F3687" s="91" t="s">
        <v>24</v>
      </c>
      <c r="G3687" s="4"/>
      <c r="H3687" s="4"/>
      <c r="I3687" s="4"/>
    </row>
    <row r="3688" spans="1:9" ht="15">
      <c r="A3688" s="21">
        <f t="shared" si="69"/>
        <v>43</v>
      </c>
      <c r="B3688" s="14" t="s">
        <v>4909</v>
      </c>
      <c r="C3688" s="85" t="str">
        <f ca="1">IFERROR(__xludf.DUMMYFUNCTION("GOOGLETRANSLATE(B3688:B3703,""RU"",""UK"")"),"Плашка М - 22лев. / 22х1, 5лев")</f>
        <v>Плашка М - 22лев. / 22х1, 5лев</v>
      </c>
      <c r="D3688" s="15" t="s">
        <v>6</v>
      </c>
      <c r="E3688" s="15" t="s">
        <v>710</v>
      </c>
      <c r="F3688" s="91" t="s">
        <v>162</v>
      </c>
      <c r="G3688" s="4"/>
      <c r="H3688" s="4"/>
      <c r="I3688" s="4"/>
    </row>
    <row r="3689" spans="1:9" ht="15">
      <c r="A3689" s="21">
        <f t="shared" si="69"/>
        <v>44</v>
      </c>
      <c r="B3689" s="14" t="s">
        <v>4910</v>
      </c>
      <c r="C3689" s="85" t="str">
        <f ca="1">IFERROR(__xludf.DUMMYFUNCTION("GOOGLETRANSLATE(B3689:B3704,""RU"",""UK"")"),"Плашка М - 22х0,75/22х1")</f>
        <v>Плашка М - 22х0,75/22х1</v>
      </c>
      <c r="D3689" s="15" t="s">
        <v>6</v>
      </c>
      <c r="E3689" s="15" t="s">
        <v>4911</v>
      </c>
      <c r="F3689" s="91" t="s">
        <v>24</v>
      </c>
      <c r="G3689" s="4"/>
      <c r="H3689" s="4"/>
      <c r="I3689" s="4"/>
    </row>
    <row r="3690" spans="1:9" ht="15">
      <c r="A3690" s="21">
        <f t="shared" si="69"/>
        <v>45</v>
      </c>
      <c r="B3690" s="14" t="s">
        <v>4912</v>
      </c>
      <c r="C3690" s="85" t="str">
        <f ca="1">IFERROR(__xludf.DUMMYFUNCTION("GOOGLETRANSLATE(B3690:B3705,""RU"",""UK"")"),"Плашка М - 22х1, 5/22х2")</f>
        <v>Плашка М - 22х1, 5/22х2</v>
      </c>
      <c r="D3690" s="15" t="s">
        <v>6</v>
      </c>
      <c r="E3690" s="15" t="s">
        <v>1645</v>
      </c>
      <c r="F3690" s="91" t="s">
        <v>162</v>
      </c>
      <c r="G3690" s="4"/>
      <c r="H3690" s="4"/>
      <c r="I3690" s="4"/>
    </row>
    <row r="3691" spans="1:9" ht="15">
      <c r="A3691" s="21">
        <f t="shared" si="69"/>
        <v>46</v>
      </c>
      <c r="B3691" s="16" t="s">
        <v>4913</v>
      </c>
      <c r="C3691" s="85" t="str">
        <f ca="1">IFERROR(__xludf.DUMMYFUNCTION("GOOGLETRANSLATE(B3691:B3706,""RU"",""UK"")"),"Плашка М - 24/24х1,0")</f>
        <v>Плашка М - 24/24х1,0</v>
      </c>
      <c r="D3691" s="15" t="s">
        <v>6</v>
      </c>
      <c r="E3691" s="15" t="s">
        <v>4914</v>
      </c>
      <c r="F3691" s="91" t="s">
        <v>162</v>
      </c>
      <c r="G3691" s="4"/>
      <c r="H3691" s="4"/>
      <c r="I3691" s="4"/>
    </row>
    <row r="3692" spans="1:9" ht="15">
      <c r="A3692" s="21">
        <f t="shared" si="69"/>
        <v>47</v>
      </c>
      <c r="B3692" s="14" t="s">
        <v>4915</v>
      </c>
      <c r="C3692" s="85" t="str">
        <f ca="1">IFERROR(__xludf.DUMMYFUNCTION("GOOGLETRANSLATE(B3692:B3707,""RU"",""UK"")"),"Плашка М - 24х1, 5/24х2")</f>
        <v>Плашка М - 24х1, 5/24х2</v>
      </c>
      <c r="D3692" s="15" t="s">
        <v>6</v>
      </c>
      <c r="E3692" s="15" t="s">
        <v>4916</v>
      </c>
      <c r="F3692" s="91" t="s">
        <v>162</v>
      </c>
      <c r="G3692" s="4"/>
      <c r="H3692" s="4"/>
      <c r="I3692" s="4"/>
    </row>
    <row r="3693" spans="1:9" ht="15">
      <c r="A3693" s="21">
        <f t="shared" si="69"/>
        <v>48</v>
      </c>
      <c r="B3693" s="16" t="s">
        <v>4917</v>
      </c>
      <c r="C3693" s="85" t="str">
        <f ca="1">IFERROR(__xludf.DUMMYFUNCTION("GOOGLETRANSLATE(B3693:B3708,""RU"",""UK"")"),"Плашка М - 24лев. / 24х1, 5лев.")</f>
        <v>Плашка М - 24лев. / 24х1, 5лев.</v>
      </c>
      <c r="D3693" s="15" t="s">
        <v>6</v>
      </c>
      <c r="E3693" s="15" t="s">
        <v>749</v>
      </c>
      <c r="F3693" s="91" t="s">
        <v>162</v>
      </c>
      <c r="G3693" s="4"/>
      <c r="H3693" s="4"/>
      <c r="I3693" s="4"/>
    </row>
    <row r="3694" spans="1:9" ht="15">
      <c r="A3694" s="21">
        <f t="shared" si="69"/>
        <v>49</v>
      </c>
      <c r="B3694" s="14" t="s">
        <v>4918</v>
      </c>
      <c r="C3694" s="85" t="str">
        <f ca="1">IFERROR(__xludf.DUMMYFUNCTION("GOOGLETRANSLATE(B3694:B3709,""RU"",""UK"")"),"Плашка М – 26х1,5")</f>
        <v>Плашка М – 26х1,5</v>
      </c>
      <c r="D3694" s="15" t="s">
        <v>6</v>
      </c>
      <c r="E3694" s="15">
        <v>1</v>
      </c>
      <c r="F3694" s="91" t="s">
        <v>102</v>
      </c>
      <c r="G3694" s="4"/>
      <c r="H3694" s="4"/>
      <c r="I3694" s="4"/>
    </row>
    <row r="3695" spans="1:9" ht="15">
      <c r="A3695" s="21">
        <f t="shared" si="69"/>
        <v>50</v>
      </c>
      <c r="B3695" s="14" t="s">
        <v>4919</v>
      </c>
      <c r="C3695" s="85" t="str">
        <f ca="1">IFERROR(__xludf.DUMMYFUNCTION("GOOGLETRANSLATE(B3695:B3710,""RU"",""UK"")"),"Плашка М - 27/27х1")</f>
        <v>Плашка М - 27/27х1</v>
      </c>
      <c r="D3695" s="15" t="s">
        <v>6</v>
      </c>
      <c r="E3695" s="15" t="s">
        <v>4920</v>
      </c>
      <c r="F3695" s="91" t="s">
        <v>162</v>
      </c>
      <c r="G3695" s="4"/>
      <c r="H3695" s="4"/>
      <c r="I3695" s="4"/>
    </row>
    <row r="3696" spans="1:9" ht="15">
      <c r="A3696" s="21">
        <f t="shared" si="69"/>
        <v>51</v>
      </c>
      <c r="B3696" s="14" t="s">
        <v>4921</v>
      </c>
      <c r="C3696" s="85" t="str">
        <f ca="1">IFERROR(__xludf.DUMMYFUNCTION("GOOGLETRANSLATE(B3696:B3711,""RU"",""UK"")"),"Плашка М - 27х1, 5/27х2")</f>
        <v>Плашка М - 27х1, 5/27х2</v>
      </c>
      <c r="D3696" s="15" t="s">
        <v>6</v>
      </c>
      <c r="E3696" s="15" t="s">
        <v>4922</v>
      </c>
      <c r="F3696" s="91" t="s">
        <v>162</v>
      </c>
      <c r="G3696" s="4"/>
      <c r="H3696" s="4"/>
      <c r="I3696" s="4"/>
    </row>
    <row r="3697" spans="1:9" ht="15">
      <c r="A3697" s="21">
        <f t="shared" si="69"/>
        <v>52</v>
      </c>
      <c r="B3697" s="14" t="s">
        <v>4923</v>
      </c>
      <c r="C3697" s="85" t="str">
        <f ca="1">IFERROR(__xludf.DUMMYFUNCTION("GOOGLETRANSLATE(B3697:B3712,""RU"",""UK"")"),"Плашка М - 27лев / 27х1, 5 лев.")</f>
        <v>Плашка М - 27лев / 27х1, 5 лев.</v>
      </c>
      <c r="D3697" s="15" t="s">
        <v>6</v>
      </c>
      <c r="E3697" s="15" t="s">
        <v>3204</v>
      </c>
      <c r="F3697" s="91" t="s">
        <v>106</v>
      </c>
      <c r="G3697" s="4"/>
      <c r="H3697" s="4"/>
      <c r="I3697" s="4"/>
    </row>
    <row r="3698" spans="1:9" ht="15">
      <c r="A3698" s="21">
        <f t="shared" si="69"/>
        <v>53</v>
      </c>
      <c r="B3698" s="14" t="s">
        <v>4924</v>
      </c>
      <c r="C3698" s="85" t="str">
        <f ca="1">IFERROR(__xludf.DUMMYFUNCTION("GOOGLETRANSLATE(B3698:B3713,""RU"",""UK"")"),"Плашка М - 30/30х0,75")</f>
        <v>Плашка М - 30/30х0,75</v>
      </c>
      <c r="D3698" s="15" t="s">
        <v>6</v>
      </c>
      <c r="E3698" s="15" t="s">
        <v>4925</v>
      </c>
      <c r="F3698" s="91" t="s">
        <v>779</v>
      </c>
      <c r="G3698" s="4"/>
      <c r="H3698" s="4"/>
      <c r="I3698" s="4"/>
    </row>
    <row r="3699" spans="1:9" ht="15">
      <c r="A3699" s="21">
        <f t="shared" si="69"/>
        <v>54</v>
      </c>
      <c r="B3699" s="14" t="s">
        <v>4926</v>
      </c>
      <c r="C3699" s="85" t="str">
        <f ca="1">IFERROR(__xludf.DUMMYFUNCTION("GOOGLETRANSLATE(B3699:B3714,""RU"",""UK"")"),"Плашка М - 30х1,0/30х1,5")</f>
        <v>Плашка М - 30х1,0/30х1,5</v>
      </c>
      <c r="D3699" s="15" t="s">
        <v>6</v>
      </c>
      <c r="E3699" s="15" t="s">
        <v>4670</v>
      </c>
      <c r="F3699" s="91" t="s">
        <v>779</v>
      </c>
      <c r="G3699" s="4"/>
      <c r="H3699" s="4"/>
      <c r="I3699" s="4"/>
    </row>
    <row r="3700" spans="1:9" ht="15">
      <c r="A3700" s="21">
        <f t="shared" si="69"/>
        <v>55</v>
      </c>
      <c r="B3700" s="14" t="s">
        <v>4927</v>
      </c>
      <c r="C3700" s="85" t="str">
        <f ca="1">IFERROR(__xludf.DUMMYFUNCTION("GOOGLETRANSLATE(B3700:B3715,""RU"",""UK"")"),"Плашка М - 30х2/30х3")</f>
        <v>Плашка М - 30х2/30х3</v>
      </c>
      <c r="D3700" s="15" t="s">
        <v>6</v>
      </c>
      <c r="E3700" s="15" t="s">
        <v>4928</v>
      </c>
      <c r="F3700" s="91" t="s">
        <v>779</v>
      </c>
      <c r="G3700" s="4"/>
      <c r="H3700" s="4"/>
      <c r="I3700" s="4"/>
    </row>
    <row r="3701" spans="1:9" ht="15">
      <c r="A3701" s="21">
        <f t="shared" si="69"/>
        <v>56</v>
      </c>
      <c r="B3701" s="14" t="s">
        <v>4929</v>
      </c>
      <c r="C3701" s="85" t="str">
        <f ca="1">IFERROR(__xludf.DUMMYFUNCTION("GOOGLETRANSLATE(B3701:B3716,""RU"",""UK"")"),"Плашка М - 33/33х0,75/33х1")</f>
        <v>Плашка М - 33/33х0,75/33х1</v>
      </c>
      <c r="D3701" s="15" t="s">
        <v>6</v>
      </c>
      <c r="E3701" s="15" t="s">
        <v>4930</v>
      </c>
      <c r="F3701" s="91" t="s">
        <v>4931</v>
      </c>
      <c r="G3701" s="4"/>
      <c r="H3701" s="4"/>
      <c r="I3701" s="4"/>
    </row>
    <row r="3702" spans="1:9" ht="15">
      <c r="A3702" s="21">
        <f t="shared" si="69"/>
        <v>57</v>
      </c>
      <c r="B3702" s="16" t="s">
        <v>4932</v>
      </c>
      <c r="C3702" s="85" t="str">
        <f ca="1">IFERROR(__xludf.DUMMYFUNCTION("GOOGLETRANSLATE(B3702:B3717,""RU"",""UK"")"),"Плашка М - 33х1,5/33х2/33х3")</f>
        <v>Плашка М - 33х1,5/33х2/33х3</v>
      </c>
      <c r="D3702" s="15" t="s">
        <v>6</v>
      </c>
      <c r="E3702" s="15" t="s">
        <v>4933</v>
      </c>
      <c r="F3702" s="91" t="s">
        <v>4931</v>
      </c>
      <c r="G3702" s="4"/>
      <c r="H3702" s="4"/>
      <c r="I3702" s="4"/>
    </row>
    <row r="3703" spans="1:9" ht="15">
      <c r="A3703" s="21">
        <f t="shared" si="69"/>
        <v>58</v>
      </c>
      <c r="B3703" s="14" t="s">
        <v>4934</v>
      </c>
      <c r="C3703" s="85" t="str">
        <f ca="1">IFERROR(__xludf.DUMMYFUNCTION("GOOGLETRANSLATE(B3703:B3718,""RU"",""UK"")"),"Плашка М - 36/36х1")</f>
        <v>Плашка М - 36/36х1</v>
      </c>
      <c r="D3703" s="15" t="s">
        <v>6</v>
      </c>
      <c r="E3703" s="15" t="s">
        <v>4935</v>
      </c>
      <c r="F3703" s="91" t="s">
        <v>16</v>
      </c>
      <c r="G3703" s="4"/>
      <c r="H3703" s="4"/>
      <c r="I3703" s="4"/>
    </row>
    <row r="3704" spans="1:9" ht="15">
      <c r="A3704" s="21">
        <f t="shared" si="69"/>
        <v>59</v>
      </c>
      <c r="B3704" s="16" t="s">
        <v>4936</v>
      </c>
      <c r="C3704" s="85" t="str">
        <f ca="1">IFERROR(__xludf.DUMMYFUNCTION("GOOGLETRANSLATE(B3704:B3719,""RU"",""UK"")"),"Плашка М - 36лев")</f>
        <v>Плашка М - 36лев</v>
      </c>
      <c r="D3704" s="15" t="s">
        <v>6</v>
      </c>
      <c r="E3704" s="15">
        <v>1</v>
      </c>
      <c r="F3704" s="91" t="s">
        <v>272</v>
      </c>
      <c r="G3704" s="4"/>
      <c r="H3704" s="4"/>
      <c r="I3704" s="4"/>
    </row>
    <row r="3705" spans="1:9" ht="15">
      <c r="A3705" s="21">
        <f t="shared" si="69"/>
        <v>60</v>
      </c>
      <c r="B3705" s="14" t="s">
        <v>4937</v>
      </c>
      <c r="C3705" s="85" t="str">
        <f ca="1">IFERROR(__xludf.DUMMYFUNCTION("GOOGLETRANSLATE(B3705:B3720,""RU"",""UK"")"),"Плашка М - 36х2")</f>
        <v>Плашка М - 36х2</v>
      </c>
      <c r="D3705" s="15" t="s">
        <v>6</v>
      </c>
      <c r="E3705" s="15">
        <v>30</v>
      </c>
      <c r="F3705" s="91" t="s">
        <v>16</v>
      </c>
      <c r="G3705" s="4"/>
      <c r="H3705" s="4"/>
      <c r="I3705" s="4"/>
    </row>
    <row r="3706" spans="1:9" ht="15">
      <c r="A3706" s="21">
        <f t="shared" si="69"/>
        <v>61</v>
      </c>
      <c r="B3706" s="14" t="s">
        <v>4938</v>
      </c>
      <c r="C3706" s="85" t="str">
        <f ca="1">IFERROR(__xludf.DUMMYFUNCTION("GOOGLETRANSLATE(B3706:B3721,""RU"",""UK"")"),"Плашка М - 36х1, 5/36х3")</f>
        <v>Плашка М - 36х1, 5/36х3</v>
      </c>
      <c r="D3706" s="15" t="s">
        <v>6</v>
      </c>
      <c r="E3706" s="15" t="s">
        <v>4939</v>
      </c>
      <c r="F3706" s="91" t="s">
        <v>4940</v>
      </c>
      <c r="G3706" s="4"/>
      <c r="H3706" s="4"/>
      <c r="I3706" s="4"/>
    </row>
    <row r="3707" spans="1:9" ht="15">
      <c r="A3707" s="21">
        <f t="shared" si="69"/>
        <v>62</v>
      </c>
      <c r="B3707" s="14" t="s">
        <v>4941</v>
      </c>
      <c r="C3707" s="85" t="str">
        <f ca="1">IFERROR(__xludf.DUMMYFUNCTION("GOOGLETRANSLATE(B3707:B3722,""RU"",""UK"")"),"Плашка М - 39/39х1/39х1,5")</f>
        <v>Плашка М - 39/39х1/39х1,5</v>
      </c>
      <c r="D3707" s="15" t="s">
        <v>6</v>
      </c>
      <c r="E3707" s="15" t="s">
        <v>4942</v>
      </c>
      <c r="F3707" s="91" t="s">
        <v>4940</v>
      </c>
      <c r="G3707" s="4"/>
      <c r="H3707" s="4"/>
      <c r="I3707" s="4"/>
    </row>
    <row r="3708" spans="1:9" ht="15">
      <c r="A3708" s="21">
        <f t="shared" si="69"/>
        <v>63</v>
      </c>
      <c r="B3708" s="14" t="s">
        <v>4943</v>
      </c>
      <c r="C3708" s="85" t="str">
        <f ca="1">IFERROR(__xludf.DUMMYFUNCTION("GOOGLETRANSLATE(B3708:B3723,""RU"",""UK"")"),"Плашка М - 39х2/39х3")</f>
        <v>Плашка М - 39х2/39х3</v>
      </c>
      <c r="D3708" s="15" t="s">
        <v>6</v>
      </c>
      <c r="E3708" s="15" t="s">
        <v>4944</v>
      </c>
      <c r="F3708" s="91" t="s">
        <v>4940</v>
      </c>
      <c r="G3708" s="4"/>
      <c r="H3708" s="4"/>
      <c r="I3708" s="4"/>
    </row>
    <row r="3709" spans="1:9" ht="15">
      <c r="A3709" s="21">
        <f t="shared" si="69"/>
        <v>64</v>
      </c>
      <c r="B3709" s="14" t="s">
        <v>4945</v>
      </c>
      <c r="C3709" s="85" t="str">
        <f ca="1">IFERROR(__xludf.DUMMYFUNCTION("GOOGLETRANSLATE(B3709:B3724,""RU"",""UK"")"),"Плашка М-40")</f>
        <v>Плашка М-40</v>
      </c>
      <c r="D3709" s="15" t="s">
        <v>6</v>
      </c>
      <c r="E3709" s="15">
        <v>10</v>
      </c>
      <c r="F3709" s="91" t="s">
        <v>22</v>
      </c>
      <c r="G3709" s="4"/>
      <c r="H3709" s="4"/>
      <c r="I3709" s="4"/>
    </row>
    <row r="3710" spans="1:9" ht="15">
      <c r="A3710" s="21">
        <f t="shared" si="69"/>
        <v>65</v>
      </c>
      <c r="B3710" s="14" t="s">
        <v>4946</v>
      </c>
      <c r="C3710" s="85" t="str">
        <f ca="1">IFERROR(__xludf.DUMMYFUNCTION("GOOGLETRANSLATE(B3710:B3725,""RU"",""UK"")"),"Плашка М – 40х1,5")</f>
        <v>Плашка М – 40х1,5</v>
      </c>
      <c r="D3710" s="15" t="s">
        <v>6</v>
      </c>
      <c r="E3710" s="15">
        <v>3</v>
      </c>
      <c r="F3710" s="91" t="s">
        <v>80</v>
      </c>
      <c r="G3710" s="4"/>
      <c r="H3710" s="4"/>
      <c r="I3710" s="4"/>
    </row>
    <row r="3711" spans="1:9" ht="15">
      <c r="A3711" s="21">
        <f t="shared" si="69"/>
        <v>66</v>
      </c>
      <c r="B3711" s="14" t="s">
        <v>4947</v>
      </c>
      <c r="C3711" s="85" t="str">
        <f ca="1">IFERROR(__xludf.DUMMYFUNCTION("GOOGLETRANSLATE(B3711:B3726,""RU"",""UK"")"),"Плашка М - 40х2/40х3")</f>
        <v>Плашка М - 40х2/40х3</v>
      </c>
      <c r="D3711" s="15" t="s">
        <v>6</v>
      </c>
      <c r="E3711" s="15" t="s">
        <v>3831</v>
      </c>
      <c r="F3711" s="91" t="s">
        <v>22</v>
      </c>
      <c r="G3711" s="4"/>
      <c r="H3711" s="4"/>
      <c r="I3711" s="4"/>
    </row>
    <row r="3712" spans="1:9" ht="15">
      <c r="A3712" s="21">
        <f t="shared" ref="A3712:A3775" si="70">A3711+1</f>
        <v>67</v>
      </c>
      <c r="B3712" s="14" t="s">
        <v>4948</v>
      </c>
      <c r="C3712" s="85" t="str">
        <f ca="1">IFERROR(__xludf.DUMMYFUNCTION("GOOGLETRANSLATE(B3712:B3727,""RU"",""UK"")"),"Плашка М - 42/42х1,5")</f>
        <v>Плашка М - 42/42х1,5</v>
      </c>
      <c r="D3712" s="15" t="s">
        <v>6</v>
      </c>
      <c r="E3712" s="15" t="s">
        <v>4949</v>
      </c>
      <c r="F3712" s="91" t="s">
        <v>413</v>
      </c>
      <c r="G3712" s="4"/>
      <c r="H3712" s="4"/>
      <c r="I3712" s="4"/>
    </row>
    <row r="3713" spans="1:9" ht="15">
      <c r="A3713" s="21">
        <f t="shared" si="70"/>
        <v>68</v>
      </c>
      <c r="B3713" s="14" t="s">
        <v>4950</v>
      </c>
      <c r="C3713" s="85" t="str">
        <f ca="1">IFERROR(__xludf.DUMMYFUNCTION("GOOGLETRANSLATE(B3713:B3728,""RU"",""UK"")"),"Плашка М - 42х2/42х3")</f>
        <v>Плашка М - 42х2/42х3</v>
      </c>
      <c r="D3713" s="15" t="s">
        <v>6</v>
      </c>
      <c r="E3713" s="15" t="s">
        <v>4951</v>
      </c>
      <c r="F3713" s="91" t="s">
        <v>413</v>
      </c>
      <c r="G3713" s="4"/>
      <c r="H3713" s="4"/>
      <c r="I3713" s="4"/>
    </row>
    <row r="3714" spans="1:9" ht="15">
      <c r="A3714" s="21">
        <f t="shared" si="70"/>
        <v>69</v>
      </c>
      <c r="B3714" s="16" t="s">
        <v>4952</v>
      </c>
      <c r="C3714" s="85" t="str">
        <f ca="1">IFERROR(__xludf.DUMMYFUNCTION("GOOGLETRANSLATE(B3714:B3729,""RU"",""UK"")"),"Плашка М - 45/45х1,5")</f>
        <v>Плашка М - 45/45х1,5</v>
      </c>
      <c r="D3714" s="15" t="s">
        <v>6</v>
      </c>
      <c r="E3714" s="15" t="s">
        <v>4953</v>
      </c>
      <c r="F3714" s="91" t="s">
        <v>53</v>
      </c>
      <c r="G3714" s="4"/>
      <c r="H3714" s="4"/>
      <c r="I3714" s="4"/>
    </row>
    <row r="3715" spans="1:9" ht="15">
      <c r="A3715" s="21">
        <f t="shared" si="70"/>
        <v>70</v>
      </c>
      <c r="B3715" s="14" t="s">
        <v>4954</v>
      </c>
      <c r="C3715" s="85" t="str">
        <f ca="1">IFERROR(__xludf.DUMMYFUNCTION("GOOGLETRANSLATE(B3715:B3730,""RU"",""UK"")"),"Плашка М - 45х1.5лев")</f>
        <v>Плашка М - 45х1.5лев</v>
      </c>
      <c r="D3715" s="15" t="s">
        <v>6</v>
      </c>
      <c r="E3715" s="15">
        <v>2</v>
      </c>
      <c r="F3715" s="91" t="s">
        <v>27</v>
      </c>
      <c r="G3715" s="4"/>
      <c r="H3715" s="4"/>
      <c r="I3715" s="4"/>
    </row>
    <row r="3716" spans="1:9" ht="15">
      <c r="A3716" s="21">
        <f t="shared" si="70"/>
        <v>71</v>
      </c>
      <c r="B3716" s="14" t="s">
        <v>4955</v>
      </c>
      <c r="C3716" s="85" t="str">
        <f ca="1">IFERROR(__xludf.DUMMYFUNCTION("GOOGLETRANSLATE(B3716:B3731,""RU"",""UK"")"),"Плашка М - 45х2/45х3/45х4")</f>
        <v>Плашка М - 45х2/45х3/45х4</v>
      </c>
      <c r="D3716" s="15" t="s">
        <v>6</v>
      </c>
      <c r="E3716" s="15" t="s">
        <v>4956</v>
      </c>
      <c r="F3716" s="91" t="s">
        <v>53</v>
      </c>
      <c r="G3716" s="4"/>
      <c r="H3716" s="4"/>
      <c r="I3716" s="4"/>
    </row>
    <row r="3717" spans="1:9" ht="15">
      <c r="A3717" s="21">
        <f t="shared" si="70"/>
        <v>72</v>
      </c>
      <c r="B3717" s="14" t="s">
        <v>4957</v>
      </c>
      <c r="C3717" s="85" t="str">
        <f ca="1">IFERROR(__xludf.DUMMYFUNCTION("GOOGLETRANSLATE(B3717:B3732,""RU"",""UK"")"),"Плашка М - 48/48х1/48х1,5")</f>
        <v>Плашка М - 48/48х1/48х1,5</v>
      </c>
      <c r="D3717" s="15" t="s">
        <v>6</v>
      </c>
      <c r="E3717" s="15" t="s">
        <v>4958</v>
      </c>
      <c r="F3717" s="91" t="s">
        <v>36</v>
      </c>
      <c r="G3717" s="4"/>
      <c r="H3717" s="4"/>
      <c r="I3717" s="4"/>
    </row>
    <row r="3718" spans="1:9" ht="15">
      <c r="A3718" s="21">
        <f t="shared" si="70"/>
        <v>73</v>
      </c>
      <c r="B3718" s="14" t="s">
        <v>4959</v>
      </c>
      <c r="C3718" s="85" t="str">
        <f ca="1">IFERROR(__xludf.DUMMYFUNCTION("GOOGLETRANSLATE(B3718:B3733,""RU"",""UK"")"),"Плашка М - 48х2/48х3/48х4")</f>
        <v>Плашка М - 48х2/48х3/48х4</v>
      </c>
      <c r="D3718" s="15" t="s">
        <v>6</v>
      </c>
      <c r="E3718" s="15" t="s">
        <v>4960</v>
      </c>
      <c r="F3718" s="91" t="s">
        <v>36</v>
      </c>
      <c r="G3718" s="4"/>
      <c r="H3718" s="4"/>
      <c r="I3718" s="4"/>
    </row>
    <row r="3719" spans="1:9" ht="15">
      <c r="A3719" s="21">
        <f t="shared" si="70"/>
        <v>74</v>
      </c>
      <c r="B3719" s="14" t="s">
        <v>4961</v>
      </c>
      <c r="C3719" s="85" t="str">
        <f ca="1">IFERROR(__xludf.DUMMYFUNCTION("GOOGLETRANSLATE(B3719:B3734,""RU"",""UK"")"),"Плашка М - 50х1,5/50х2/50х3")</f>
        <v>Плашка М - 50х1,5/50х2/50х3</v>
      </c>
      <c r="D3719" s="15" t="s">
        <v>6</v>
      </c>
      <c r="E3719" s="15" t="s">
        <v>4962</v>
      </c>
      <c r="F3719" s="91" t="s">
        <v>80</v>
      </c>
      <c r="G3719" s="4"/>
      <c r="H3719" s="4"/>
      <c r="I3719" s="4"/>
    </row>
    <row r="3720" spans="1:9" ht="15">
      <c r="A3720" s="21">
        <f t="shared" si="70"/>
        <v>75</v>
      </c>
      <c r="B3720" s="14" t="s">
        <v>4963</v>
      </c>
      <c r="C3720" s="85" t="str">
        <f ca="1">IFERROR(__xludf.DUMMYFUNCTION("GOOGLETRANSLATE(B3720:B3735,""RU"",""UK"")"),"Плашка М - 52/52х1")</f>
        <v>Плашка М - 52/52х1</v>
      </c>
      <c r="D3720" s="15" t="s">
        <v>6</v>
      </c>
      <c r="E3720" s="15" t="s">
        <v>4964</v>
      </c>
      <c r="F3720" s="91" t="s">
        <v>1874</v>
      </c>
      <c r="G3720" s="4"/>
      <c r="H3720" s="4"/>
      <c r="I3720" s="4"/>
    </row>
    <row r="3721" spans="1:9" ht="15">
      <c r="A3721" s="21">
        <f t="shared" si="70"/>
        <v>76</v>
      </c>
      <c r="B3721" s="14" t="s">
        <v>4965</v>
      </c>
      <c r="C3721" s="85" t="str">
        <f ca="1">IFERROR(__xludf.DUMMYFUNCTION("GOOGLETRANSLATE(B3721:B3736,""RU"",""UK"")"),"Плашка М - 52х1, 5/52х2")</f>
        <v>Плашка М - 52х1, 5/52х2</v>
      </c>
      <c r="D3721" s="15" t="s">
        <v>6</v>
      </c>
      <c r="E3721" s="15" t="s">
        <v>1659</v>
      </c>
      <c r="F3721" s="91" t="s">
        <v>1874</v>
      </c>
      <c r="G3721" s="4"/>
      <c r="H3721" s="4"/>
      <c r="I3721" s="4"/>
    </row>
    <row r="3722" spans="1:9" ht="15">
      <c r="A3722" s="21">
        <f t="shared" si="70"/>
        <v>77</v>
      </c>
      <c r="B3722" s="16" t="s">
        <v>4966</v>
      </c>
      <c r="C3722" s="85" t="str">
        <f ca="1">IFERROR(__xludf.DUMMYFUNCTION("GOOGLETRANSLATE(B3722:B3737,""RU"",""UK"")"),"Плашка М - 52х3/52х4")</f>
        <v>Плашка М - 52х3/52х4</v>
      </c>
      <c r="D3722" s="15" t="s">
        <v>6</v>
      </c>
      <c r="E3722" s="15" t="s">
        <v>4967</v>
      </c>
      <c r="F3722" s="91" t="s">
        <v>1874</v>
      </c>
      <c r="G3722" s="4"/>
      <c r="H3722" s="4"/>
      <c r="I3722" s="4"/>
    </row>
    <row r="3723" spans="1:9" ht="15">
      <c r="A3723" s="21">
        <f t="shared" si="70"/>
        <v>78</v>
      </c>
      <c r="B3723" s="14" t="s">
        <v>4968</v>
      </c>
      <c r="C3723" s="85" t="str">
        <f ca="1">IFERROR(__xludf.DUMMYFUNCTION("GOOGLETRANSLATE(B3723:B3738,""RU"",""UK"")"),"Плашка М - 64х3/68х1,5")</f>
        <v>Плашка М - 64х3/68х1,5</v>
      </c>
      <c r="D3723" s="15" t="s">
        <v>6</v>
      </c>
      <c r="E3723" s="15" t="s">
        <v>1005</v>
      </c>
      <c r="F3723" s="91" t="s">
        <v>2834</v>
      </c>
      <c r="G3723" s="4"/>
      <c r="H3723" s="4"/>
      <c r="I3723" s="4"/>
    </row>
    <row r="3724" spans="1:9" ht="15">
      <c r="A3724" s="21">
        <f t="shared" si="70"/>
        <v>79</v>
      </c>
      <c r="B3724" s="14" t="s">
        <v>4969</v>
      </c>
      <c r="C3724" s="85" t="str">
        <f ca="1">IFERROR(__xludf.DUMMYFUNCTION("GOOGLETRANSLATE(B3724:B3739,""RU"",""UK"")"),"Плашка Тр. 1/4""/1/8""")</f>
        <v>Плашка Тр. 1/4"/1/8"</v>
      </c>
      <c r="D3724" s="15" t="s">
        <v>6</v>
      </c>
      <c r="E3724" s="15" t="s">
        <v>4970</v>
      </c>
      <c r="F3724" s="91" t="s">
        <v>119</v>
      </c>
      <c r="G3724" s="4"/>
      <c r="H3724" s="4"/>
      <c r="I3724" s="4"/>
    </row>
    <row r="3725" spans="1:9" ht="15">
      <c r="A3725" s="21">
        <f t="shared" si="70"/>
        <v>80</v>
      </c>
      <c r="B3725" s="14" t="s">
        <v>4971</v>
      </c>
      <c r="C3725" s="85" t="str">
        <f ca="1">IFERROR(__xludf.DUMMYFUNCTION("GOOGLETRANSLATE(B3725:B3740,""RU"",""UK"")"),"Плашка Тр. 1/2""")</f>
        <v>Плашка Тр. 1/2"</v>
      </c>
      <c r="D3725" s="15" t="s">
        <v>6</v>
      </c>
      <c r="E3725" s="15">
        <v>24</v>
      </c>
      <c r="F3725" s="91" t="s">
        <v>327</v>
      </c>
      <c r="G3725" s="4"/>
      <c r="H3725" s="4"/>
      <c r="I3725" s="4"/>
    </row>
    <row r="3726" spans="1:9" ht="15">
      <c r="A3726" s="21">
        <f t="shared" si="70"/>
        <v>81</v>
      </c>
      <c r="B3726" s="14" t="s">
        <v>4972</v>
      </c>
      <c r="C3726" s="85" t="str">
        <f ca="1">IFERROR(__xludf.DUMMYFUNCTION("GOOGLETRANSLATE(B3726:B3741,""RU"",""UK"")"),"Плашка Тр. 5/8"" / 3/8""")</f>
        <v>Плашка Тр. 5/8" / 3/8"</v>
      </c>
      <c r="D3726" s="15" t="s">
        <v>6</v>
      </c>
      <c r="E3726" s="15" t="s">
        <v>4973</v>
      </c>
      <c r="F3726" s="91" t="s">
        <v>327</v>
      </c>
      <c r="G3726" s="4"/>
      <c r="H3726" s="4"/>
      <c r="I3726" s="4"/>
    </row>
    <row r="3727" spans="1:9" ht="15">
      <c r="A3727" s="21">
        <f t="shared" si="70"/>
        <v>82</v>
      </c>
      <c r="B3727" s="14" t="s">
        <v>4974</v>
      </c>
      <c r="C3727" s="85" t="str">
        <f ca="1">IFERROR(__xludf.DUMMYFUNCTION("GOOGLETRANSLATE(B3727:B3742,""RU"",""UK"")"),"Плашка Тр. 3/4""")</f>
        <v>Плашка Тр. 3/4"</v>
      </c>
      <c r="D3727" s="15" t="s">
        <v>6</v>
      </c>
      <c r="E3727" s="15">
        <v>41</v>
      </c>
      <c r="F3727" s="91" t="s">
        <v>20</v>
      </c>
      <c r="G3727" s="4"/>
      <c r="H3727" s="4"/>
      <c r="I3727" s="4"/>
    </row>
    <row r="3728" spans="1:9" ht="15">
      <c r="A3728" s="21">
        <f t="shared" si="70"/>
        <v>83</v>
      </c>
      <c r="B3728" s="16" t="s">
        <v>4975</v>
      </c>
      <c r="C3728" s="85" t="str">
        <f ca="1">IFERROR(__xludf.DUMMYFUNCTION("GOOGLETRANSLATE(B3728:B3743,""RU"",""UK"")"),"Плашка Тр. 1"" / Тр. 7/8""")</f>
        <v>Плашка Тр. 1" / Тр. 7/8"</v>
      </c>
      <c r="D3728" s="15" t="s">
        <v>6</v>
      </c>
      <c r="E3728" s="15" t="s">
        <v>698</v>
      </c>
      <c r="F3728" s="91" t="s">
        <v>162</v>
      </c>
      <c r="G3728" s="4"/>
      <c r="H3728" s="4"/>
      <c r="I3728" s="4"/>
    </row>
    <row r="3729" spans="1:9" ht="15">
      <c r="A3729" s="21">
        <f t="shared" si="70"/>
        <v>84</v>
      </c>
      <c r="B3729" s="16" t="s">
        <v>4976</v>
      </c>
      <c r="C3729" s="85" t="str">
        <f ca="1">IFERROR(__xludf.DUMMYFUNCTION("GOOGLETRANSLATE(B3729:B3744,""RU"",""UK"")"),"Плашка Тр. 1 1/4"" / Тр. До 1 1/4""")</f>
        <v>Плашка Тр. 1 1/4" / Тр. До 1 1/4"</v>
      </c>
      <c r="D3729" s="15" t="s">
        <v>6</v>
      </c>
      <c r="E3729" s="15" t="s">
        <v>4977</v>
      </c>
      <c r="F3729" s="91" t="s">
        <v>106</v>
      </c>
      <c r="G3729" s="4"/>
      <c r="H3729" s="4"/>
      <c r="I3729" s="4"/>
    </row>
    <row r="3730" spans="1:9" ht="15">
      <c r="A3730" s="21">
        <f t="shared" si="70"/>
        <v>85</v>
      </c>
      <c r="B3730" s="14" t="s">
        <v>4978</v>
      </c>
      <c r="C3730" s="85" t="str">
        <f ca="1">IFERROR(__xludf.DUMMYFUNCTION("GOOGLETRANSLATE(B3730:B3745,""RU"",""UK"")"),"Плашка Тр. 1 1/8"" / Тр. 1 3/8")</f>
        <v>Плашка Тр. 1 1/8" / Тр. 1 3/8</v>
      </c>
      <c r="D3730" s="15" t="s">
        <v>6</v>
      </c>
      <c r="E3730" s="15" t="s">
        <v>4979</v>
      </c>
      <c r="F3730" s="91" t="s">
        <v>106</v>
      </c>
      <c r="G3730" s="4"/>
      <c r="H3730" s="4"/>
      <c r="I3730" s="4"/>
    </row>
    <row r="3731" spans="1:9" ht="15">
      <c r="A3731" s="21">
        <f t="shared" si="70"/>
        <v>86</v>
      </c>
      <c r="B3731" s="14" t="s">
        <v>4980</v>
      </c>
      <c r="C3731" s="85" t="str">
        <f ca="1">IFERROR(__xludf.DUMMYFUNCTION("GOOGLETRANSLATE(B3731:B3746,""RU"",""UK"")"),"Плашка Тр. 1 1/2"" / Тр. До 1 1/2")</f>
        <v>Плашка Тр. 1 1/2" / Тр. До 1 1/2</v>
      </c>
      <c r="D3731" s="15" t="s">
        <v>6</v>
      </c>
      <c r="E3731" s="15" t="s">
        <v>4981</v>
      </c>
      <c r="F3731" s="91" t="s">
        <v>16</v>
      </c>
      <c r="G3731" s="4"/>
      <c r="H3731" s="4"/>
      <c r="I3731" s="4"/>
    </row>
    <row r="3732" spans="1:9" ht="15">
      <c r="A3732" s="21">
        <f t="shared" si="70"/>
        <v>87</v>
      </c>
      <c r="B3732" s="14" t="s">
        <v>4982</v>
      </c>
      <c r="C3732" s="85" t="str">
        <f ca="1">IFERROR(__xludf.DUMMYFUNCTION("GOOGLETRANSLATE(B3732:B3747,""RU"",""UK"")"),"Плашка Тр 2""")</f>
        <v>Плашка Тр 2"</v>
      </c>
      <c r="D3732" s="15" t="s">
        <v>6</v>
      </c>
      <c r="E3732" s="15">
        <v>1</v>
      </c>
      <c r="F3732" s="91" t="s">
        <v>4983</v>
      </c>
      <c r="G3732" s="4"/>
      <c r="H3732" s="4"/>
      <c r="I3732" s="4"/>
    </row>
    <row r="3733" spans="1:9" ht="15">
      <c r="A3733" s="21">
        <f t="shared" si="70"/>
        <v>88</v>
      </c>
      <c r="B3733" s="14" t="s">
        <v>4984</v>
      </c>
      <c r="C3733" s="85" t="str">
        <f ca="1">IFERROR(__xludf.DUMMYFUNCTION("GOOGLETRANSLATE(B3733:B3748,""RU"",""UK"")"),"Плашка К 1/8"" / Тр.К 1/8""")</f>
        <v>Плашка К 1/8" / Тр.К 1/8"</v>
      </c>
      <c r="D3733" s="15" t="s">
        <v>6</v>
      </c>
      <c r="E3733" s="15" t="s">
        <v>4985</v>
      </c>
      <c r="F3733" s="91" t="s">
        <v>119</v>
      </c>
      <c r="G3733" s="4"/>
      <c r="H3733" s="4"/>
      <c r="I3733" s="4"/>
    </row>
    <row r="3734" spans="1:9" ht="15">
      <c r="A3734" s="21">
        <f t="shared" si="70"/>
        <v>89</v>
      </c>
      <c r="B3734" s="14" t="s">
        <v>4986</v>
      </c>
      <c r="C3734" s="85" t="str">
        <f ca="1">IFERROR(__xludf.DUMMYFUNCTION("GOOGLETRANSLATE(B3734:B3749,""RU"",""UK"")"),"Плашка Тр.К 1/4"" / До 1/4""")</f>
        <v>Плашка Тр.К 1/4" / До 1/4"</v>
      </c>
      <c r="D3734" s="15" t="s">
        <v>6</v>
      </c>
      <c r="E3734" s="15" t="s">
        <v>4987</v>
      </c>
      <c r="F3734" s="91" t="s">
        <v>119</v>
      </c>
      <c r="G3734" s="4"/>
      <c r="H3734" s="4"/>
      <c r="I3734" s="4"/>
    </row>
    <row r="3735" spans="1:9" ht="15">
      <c r="A3735" s="21">
        <f t="shared" si="70"/>
        <v>90</v>
      </c>
      <c r="B3735" s="19" t="s">
        <v>4988</v>
      </c>
      <c r="C3735" s="85" t="str">
        <f ca="1">IFERROR(__xludf.DUMMYFUNCTION("GOOGLETRANSLATE(B3735:B3750,""RU"",""UK"")"),"Плашка К1/2"" / КТр 1/2""")</f>
        <v>Плашка К1/2" / КТр 1/2"</v>
      </c>
      <c r="D3735" s="15" t="s">
        <v>6</v>
      </c>
      <c r="E3735" s="15" t="s">
        <v>4989</v>
      </c>
      <c r="F3735" s="91" t="s">
        <v>327</v>
      </c>
      <c r="G3735" s="4"/>
      <c r="H3735" s="4"/>
      <c r="I3735" s="4"/>
    </row>
    <row r="3736" spans="1:9" ht="15">
      <c r="A3736" s="21">
        <f t="shared" si="70"/>
        <v>91</v>
      </c>
      <c r="B3736" s="14" t="s">
        <v>4990</v>
      </c>
      <c r="C3736" s="85" t="str">
        <f ca="1">IFERROR(__xludf.DUMMYFUNCTION("GOOGLETRANSLATE(B3736:B3751,""RU"",""UK"")"),"Плашка Тр.К3/8""/К3/8""")</f>
        <v>Плашка Тр.К3/8"/К3/8"</v>
      </c>
      <c r="D3736" s="15" t="s">
        <v>6</v>
      </c>
      <c r="E3736" s="15" t="s">
        <v>4991</v>
      </c>
      <c r="F3736" s="91" t="s">
        <v>140</v>
      </c>
      <c r="G3736" s="4"/>
      <c r="H3736" s="4"/>
      <c r="I3736" s="4"/>
    </row>
    <row r="3737" spans="1:9" ht="15">
      <c r="A3737" s="21">
        <f t="shared" si="70"/>
        <v>92</v>
      </c>
      <c r="B3737" s="14" t="s">
        <v>4992</v>
      </c>
      <c r="C3737" s="85" t="str">
        <f ca="1">IFERROR(__xludf.DUMMYFUNCTION("GOOGLETRANSLATE(B3737:B3752,""RU"",""UK"")"),"Плашка К3/4"" / Тр К 3/4""")</f>
        <v>Плашка К3/4" / Тр К 3/4"</v>
      </c>
      <c r="D3737" s="15" t="s">
        <v>6</v>
      </c>
      <c r="E3737" s="15" t="s">
        <v>4840</v>
      </c>
      <c r="F3737" s="91" t="s">
        <v>140</v>
      </c>
      <c r="G3737" s="4"/>
      <c r="H3737" s="4"/>
      <c r="I3737" s="4"/>
    </row>
    <row r="3738" spans="1:9" ht="15">
      <c r="A3738" s="21">
        <f t="shared" si="70"/>
        <v>93</v>
      </c>
      <c r="B3738" s="14" t="s">
        <v>4993</v>
      </c>
      <c r="C3738" s="85" t="str">
        <f ca="1">IFERROR(__xludf.DUMMYFUNCTION("GOOGLETRANSLATE(B3738:B3753,""RU"",""UK"")"),"Плашка К 1"" / КТр 1""")</f>
        <v>Плашка К 1" / КТр 1"</v>
      </c>
      <c r="D3738" s="15" t="s">
        <v>6</v>
      </c>
      <c r="E3738" s="15" t="s">
        <v>4994</v>
      </c>
      <c r="F3738" s="91" t="s">
        <v>20</v>
      </c>
      <c r="G3738" s="4"/>
      <c r="H3738" s="4"/>
      <c r="I3738" s="4"/>
    </row>
    <row r="3739" spans="1:9" ht="15">
      <c r="A3739" s="21">
        <f t="shared" si="70"/>
        <v>94</v>
      </c>
      <c r="B3739" s="14" t="s">
        <v>4995</v>
      </c>
      <c r="C3739" s="85" t="str">
        <f ca="1">IFERROR(__xludf.DUMMYFUNCTION("GOOGLETRANSLATE(B3739:B3754,""RU"",""UK"")"),"Плашка К 1 1/4"" / До 1 1/2""")</f>
        <v>Плашка К 1 1/4" / До 1 1/2"</v>
      </c>
      <c r="D3739" s="15" t="s">
        <v>6</v>
      </c>
      <c r="E3739" s="15" t="s">
        <v>4996</v>
      </c>
      <c r="F3739" s="91" t="s">
        <v>24</v>
      </c>
      <c r="G3739" s="4"/>
      <c r="H3739" s="4"/>
      <c r="I3739" s="4"/>
    </row>
    <row r="3740" spans="1:9" ht="15">
      <c r="A3740" s="21">
        <f t="shared" si="70"/>
        <v>95</v>
      </c>
      <c r="B3740" s="14" t="s">
        <v>4997</v>
      </c>
      <c r="C3740" s="85" t="str">
        <f ca="1">IFERROR(__xludf.DUMMYFUNCTION("GOOGLETRANSLATE(B3740:B3755,""RU"",""UK"")"),"Плашка К2""/КТр2""")</f>
        <v>Плашка К2"/КТр2"</v>
      </c>
      <c r="D3740" s="15" t="s">
        <v>6</v>
      </c>
      <c r="E3740" s="15" t="s">
        <v>4998</v>
      </c>
      <c r="F3740" s="91" t="s">
        <v>36</v>
      </c>
      <c r="G3740" s="4"/>
      <c r="H3740" s="4"/>
      <c r="I3740" s="4"/>
    </row>
    <row r="3741" spans="1:9" ht="15">
      <c r="A3741" s="21">
        <f t="shared" si="70"/>
        <v>96</v>
      </c>
      <c r="B3741" s="14" t="s">
        <v>4999</v>
      </c>
      <c r="C3741" s="85" t="str">
        <f ca="1">IFERROR(__xludf.DUMMYFUNCTION("GOOGLETRANSLATE(B3741:B3756,""RU"",""UK"")"),"Плашка 1/4""WВитворта(20ниток) / 1/2""W(12ниток)")</f>
        <v>Плашка 1/4"WВитворта(20ниток) / 1/2"W(12ниток)</v>
      </c>
      <c r="D3741" s="15" t="s">
        <v>6</v>
      </c>
      <c r="E3741" s="15" t="s">
        <v>5000</v>
      </c>
      <c r="F3741" s="91" t="s">
        <v>327</v>
      </c>
      <c r="G3741" s="4"/>
      <c r="H3741" s="4"/>
      <c r="I3741" s="4"/>
    </row>
    <row r="3742" spans="1:9" ht="15">
      <c r="A3742" s="21">
        <f t="shared" si="70"/>
        <v>97</v>
      </c>
      <c r="B3742" s="14" t="s">
        <v>5001</v>
      </c>
      <c r="C3742" s="85" t="str">
        <f ca="1">IFERROR(__xludf.DUMMYFUNCTION("GOOGLETRANSLATE(B3742:B3757,""RU"",""UK"")"),"Плашка 7/16"" W (14ниток)/ 9/16"" W(12ниток)")</f>
        <v>Плашка 7/16" W (14ниток)/ 9/16" W(12ниток)</v>
      </c>
      <c r="D3742" s="15" t="s">
        <v>6</v>
      </c>
      <c r="E3742" s="15" t="s">
        <v>5002</v>
      </c>
      <c r="F3742" s="91" t="s">
        <v>140</v>
      </c>
      <c r="G3742" s="4"/>
      <c r="H3742" s="4"/>
      <c r="I3742" s="4"/>
    </row>
    <row r="3743" spans="1:9" ht="15">
      <c r="A3743" s="21">
        <f t="shared" si="70"/>
        <v>98</v>
      </c>
      <c r="B3743" s="14" t="s">
        <v>5003</v>
      </c>
      <c r="C3743" s="85" t="str">
        <f ca="1">IFERROR(__xludf.DUMMYFUNCTION("GOOGLETRANSLATE(B3743:B3758,""RU"",""UK"")"),"Плашка 5/8"" W (11ниток) / 3/8"" W(16ниток)")</f>
        <v>Плашка 5/8" W (11ниток) / 3/8" W(16ниток)</v>
      </c>
      <c r="D3743" s="15" t="s">
        <v>6</v>
      </c>
      <c r="E3743" s="15" t="s">
        <v>5004</v>
      </c>
      <c r="F3743" s="91" t="s">
        <v>20</v>
      </c>
      <c r="G3743" s="4"/>
      <c r="H3743" s="4"/>
      <c r="I3743" s="4"/>
    </row>
    <row r="3744" spans="1:9" ht="15">
      <c r="A3744" s="21">
        <f t="shared" si="70"/>
        <v>99</v>
      </c>
      <c r="B3744" s="14" t="s">
        <v>5005</v>
      </c>
      <c r="C3744" s="85" t="str">
        <f ca="1">IFERROR(__xludf.DUMMYFUNCTION("GOOGLETRANSLATE(B3744:B3759,""RU"",""UK"")"),"Плашка 3/4"" W(10ниток) / 3/4"" W(10ниток)+лев.")</f>
        <v>Плашка 3/4" W(10ниток) / 3/4" W(10ниток)+лев.</v>
      </c>
      <c r="D3744" s="15" t="s">
        <v>6</v>
      </c>
      <c r="E3744" s="15" t="s">
        <v>3899</v>
      </c>
      <c r="F3744" s="91" t="s">
        <v>20</v>
      </c>
      <c r="G3744" s="4"/>
      <c r="H3744" s="4"/>
      <c r="I3744" s="4"/>
    </row>
    <row r="3745" spans="1:9" ht="15">
      <c r="A3745" s="21">
        <f t="shared" si="70"/>
        <v>100</v>
      </c>
      <c r="B3745" s="14" t="s">
        <v>5006</v>
      </c>
      <c r="C3745" s="85" t="str">
        <f ca="1">IFERROR(__xludf.DUMMYFUNCTION("GOOGLETRANSLATE(B3745:B3760,""RU"",""UK"")"),"Плашка 7/8"" W(9ниток) / 1"" W (8ниток)")</f>
        <v>Плашка 7/8" W(9ниток) / 1" W (8ниток)</v>
      </c>
      <c r="D3745" s="15" t="s">
        <v>6</v>
      </c>
      <c r="E3745" s="15" t="s">
        <v>5007</v>
      </c>
      <c r="F3745" s="91" t="s">
        <v>24</v>
      </c>
      <c r="G3745" s="4"/>
      <c r="H3745" s="4"/>
      <c r="I3745" s="4"/>
    </row>
    <row r="3746" spans="1:9" ht="15">
      <c r="A3746" s="21">
        <f t="shared" si="70"/>
        <v>101</v>
      </c>
      <c r="B3746" s="14" t="s">
        <v>5008</v>
      </c>
      <c r="C3746" s="85" t="str">
        <f ca="1">IFERROR(__xludf.DUMMYFUNCTION("GOOGLETRANSLATE(B3746:B3761,""RU"",""UK"")"),"Плашка 1 1/8"" W(7ниток) / 1 1/2"" W(6ниток)")</f>
        <v>Плашка 1 1/8" W(7ниток) / 1 1/2" W(6ниток)</v>
      </c>
      <c r="D3746" s="15" t="s">
        <v>6</v>
      </c>
      <c r="E3746" s="15" t="s">
        <v>696</v>
      </c>
      <c r="F3746" s="91" t="s">
        <v>106</v>
      </c>
      <c r="G3746" s="4"/>
      <c r="H3746" s="4"/>
      <c r="I3746" s="4"/>
    </row>
    <row r="3747" spans="1:9" ht="15">
      <c r="A3747" s="21">
        <f t="shared" si="70"/>
        <v>102</v>
      </c>
      <c r="B3747" s="14" t="s">
        <v>5009</v>
      </c>
      <c r="C3747" s="85" t="str">
        <f ca="1">IFERROR(__xludf.DUMMYFUNCTION("GOOGLETRANSLATE(B3747:B3762,""RU"",""UK"")"),"Плашка 1 3/4"" W(?ниток) / 1 3/8"" W(6ниток)")</f>
        <v>Плашка 1 3/4" W(?ниток) / 1 3/8" W(6ниток)</v>
      </c>
      <c r="D3747" s="15" t="s">
        <v>6</v>
      </c>
      <c r="E3747" s="15" t="s">
        <v>899</v>
      </c>
      <c r="F3747" s="91" t="s">
        <v>106</v>
      </c>
      <c r="G3747" s="4"/>
      <c r="H3747" s="4"/>
      <c r="I3747" s="4"/>
    </row>
    <row r="3748" spans="1:9" ht="15">
      <c r="A3748" s="21">
        <f t="shared" si="70"/>
        <v>103</v>
      </c>
      <c r="B3748" s="14" t="s">
        <v>5010</v>
      </c>
      <c r="C3748" s="85" t="str">
        <f ca="1">IFERROR(__xludf.DUMMYFUNCTION("GOOGLETRANSLATE(B3748:B3763,""RU"",""UK"")"),"Плашка 1 7/8"" W(?ниток) /1 5/8"" W(5ниток)")</f>
        <v>Плашка 1 7/8" W(?ниток) /1 5/8" W(5ниток)</v>
      </c>
      <c r="D3748" s="15" t="s">
        <v>6</v>
      </c>
      <c r="E3748" s="15" t="s">
        <v>1005</v>
      </c>
      <c r="F3748" s="91" t="s">
        <v>16</v>
      </c>
      <c r="G3748" s="4"/>
      <c r="H3748" s="4"/>
      <c r="I3748" s="4"/>
    </row>
    <row r="3749" spans="1:9" ht="15">
      <c r="A3749" s="21">
        <f t="shared" si="70"/>
        <v>104</v>
      </c>
      <c r="B3749" s="14" t="s">
        <v>5011</v>
      </c>
      <c r="C3749" s="85" t="str">
        <f ca="1">IFERROR(__xludf.DUMMYFUNCTION("GOOGLETRANSLATE(B3749:B3764,""RU"",""UK"")"),"Плашка 2"" W (4,5 ниток)")</f>
        <v>Плашка 2" W (4,5 ниток)</v>
      </c>
      <c r="D3749" s="15" t="s">
        <v>6</v>
      </c>
      <c r="E3749" s="15">
        <v>7</v>
      </c>
      <c r="F3749" s="91" t="s">
        <v>413</v>
      </c>
      <c r="G3749" s="4"/>
      <c r="H3749" s="4"/>
      <c r="I3749" s="4"/>
    </row>
    <row r="3750" spans="1:9" ht="15">
      <c r="A3750" s="21">
        <f t="shared" si="70"/>
        <v>105</v>
      </c>
      <c r="B3750" s="14" t="s">
        <v>5012</v>
      </c>
      <c r="C3750" s="85" t="str">
        <f ca="1">IFERROR(__xludf.DUMMYFUNCTION("GOOGLETRANSLATE(B3750:B3765,""RU"",""UK"")"),"Клуп 1/2-2"" з набором плашок (6 компл)")</f>
        <v>Клуп 1/2-2" з набором плашок (6 компл)</v>
      </c>
      <c r="D3750" s="15" t="s">
        <v>6</v>
      </c>
      <c r="E3750" s="15">
        <v>1</v>
      </c>
      <c r="F3750" s="91" t="s">
        <v>97</v>
      </c>
      <c r="G3750" s="4"/>
      <c r="H3750" s="4"/>
      <c r="I3750" s="4"/>
    </row>
    <row r="3751" spans="1:9" ht="15">
      <c r="A3751" s="21">
        <f t="shared" si="70"/>
        <v>106</v>
      </c>
      <c r="B3751" s="14" t="s">
        <v>5013</v>
      </c>
      <c r="C3751" s="85" t="str">
        <f ca="1">IFERROR(__xludf.DUMMYFUNCTION("GOOGLETRANSLATE(B3751:B3766,""RU"",""UK"")"),"Клуп 1/2-2"" з набором плашок")</f>
        <v>Клуп 1/2-2" з набором плашок</v>
      </c>
      <c r="D3751" s="15" t="s">
        <v>6</v>
      </c>
      <c r="E3751" s="15">
        <v>2</v>
      </c>
      <c r="F3751" s="91" t="s">
        <v>1897</v>
      </c>
      <c r="G3751" s="4"/>
      <c r="H3751" s="4"/>
      <c r="I3751" s="4"/>
    </row>
    <row r="3752" spans="1:9" ht="15">
      <c r="A3752" s="21">
        <f t="shared" si="70"/>
        <v>107</v>
      </c>
      <c r="B3752" s="14" t="s">
        <v>5014</v>
      </c>
      <c r="C3752" s="85" t="str">
        <f ca="1">IFERROR(__xludf.DUMMYFUNCTION("GOOGLETRANSLATE(B3752:B3767,""RU"",""UK"")"),"Гребінка до різьбонарізної. Головкам 1.75 d39,59 (4шт - 1 компл)")</f>
        <v>Гребінка до різьбонарізної. Головкам 1.75 d39,59 (4шт - 1 компл)</v>
      </c>
      <c r="D3752" s="15" t="s">
        <v>378</v>
      </c>
      <c r="E3752" s="15">
        <v>1</v>
      </c>
      <c r="F3752" s="91" t="s">
        <v>27</v>
      </c>
      <c r="G3752" s="4"/>
      <c r="H3752" s="4"/>
      <c r="I3752" s="4"/>
    </row>
    <row r="3753" spans="1:9" ht="15">
      <c r="A3753" s="21">
        <f t="shared" si="70"/>
        <v>108</v>
      </c>
      <c r="B3753" s="14" t="s">
        <v>5015</v>
      </c>
      <c r="C3753" s="85" t="str">
        <f ca="1">IFERROR(__xludf.DUMMYFUNCTION("GOOGLETRANSLATE(B3753:B3768,""RU"",""UK"")"),"Гребінка до різьбонарізної. Головкам 1.0 d23 (4шт - 1 компл)")</f>
        <v>Гребінка до різьбонарізної. Головкам 1.0 d23 (4шт - 1 компл)</v>
      </c>
      <c r="D3753" s="15" t="s">
        <v>378</v>
      </c>
      <c r="E3753" s="15">
        <v>2</v>
      </c>
      <c r="F3753" s="91" t="s">
        <v>413</v>
      </c>
      <c r="G3753" s="4"/>
      <c r="H3753" s="4"/>
      <c r="I3753" s="4"/>
    </row>
    <row r="3754" spans="1:9" ht="15">
      <c r="A3754" s="21">
        <f t="shared" si="70"/>
        <v>109</v>
      </c>
      <c r="B3754" s="14" t="s">
        <v>5016</v>
      </c>
      <c r="C3754" s="85" t="str">
        <f ca="1">IFERROR(__xludf.DUMMYFUNCTION("GOOGLETRANSLATE(B3754:B3769,""RU"",""UK"")"),"Гребінка плоска різьблення крок-1,25/1,75/2,0 (к-кт 4шт) 9х20х100мм")</f>
        <v>Гребінка плоска різьблення крок-1,25/1,75/2,0 (к-кт 4шт) 9х20х100мм</v>
      </c>
      <c r="D3754" s="15" t="s">
        <v>378</v>
      </c>
      <c r="E3754" s="15" t="s">
        <v>4172</v>
      </c>
      <c r="F3754" s="91" t="s">
        <v>140</v>
      </c>
      <c r="G3754" s="4"/>
      <c r="H3754" s="4"/>
      <c r="I3754" s="4"/>
    </row>
    <row r="3755" spans="1:9" ht="15">
      <c r="A3755" s="21">
        <f t="shared" si="70"/>
        <v>110</v>
      </c>
      <c r="B3755" s="14" t="s">
        <v>5017</v>
      </c>
      <c r="C3755" s="85" t="str">
        <f ca="1">IFERROR(__xludf.DUMMYFUNCTION("GOOGLETRANSLATE(B3755:B3770,""RU"",""UK"")"),"Гребінка плоска різьблення крок-11 ниток (к-кт 4шт) 9х20х100мм")</f>
        <v>Гребінка плоска різьблення крок-11 ниток (к-кт 4шт) 9х20х100мм</v>
      </c>
      <c r="D3755" s="15" t="s">
        <v>378</v>
      </c>
      <c r="E3755" s="15">
        <v>1</v>
      </c>
      <c r="F3755" s="91" t="s">
        <v>140</v>
      </c>
      <c r="G3755" s="4"/>
      <c r="H3755" s="4"/>
      <c r="I3755" s="4"/>
    </row>
    <row r="3756" spans="1:9" ht="15">
      <c r="A3756" s="21">
        <f t="shared" si="70"/>
        <v>111</v>
      </c>
      <c r="B3756" s="14" t="s">
        <v>5018</v>
      </c>
      <c r="C3756" s="85" t="str">
        <f ca="1">IFERROR(__xludf.DUMMYFUNCTION("GOOGLETRANSLATE(B3756:B3771,""RU"",""UK"")"),"Гребінка на клуп різьблення крок-1"" - 1 1/4""")</f>
        <v>Гребінка на клуп різьблення крок-1" - 1 1/4"</v>
      </c>
      <c r="D3756" s="15" t="s">
        <v>378</v>
      </c>
      <c r="E3756" s="15">
        <v>1</v>
      </c>
      <c r="F3756" s="91" t="s">
        <v>119</v>
      </c>
      <c r="G3756" s="4"/>
      <c r="H3756" s="4"/>
      <c r="I3756" s="4"/>
    </row>
    <row r="3757" spans="1:9" ht="15">
      <c r="A3757" s="21">
        <f t="shared" si="70"/>
        <v>112</v>
      </c>
      <c r="B3757" s="14" t="s">
        <v>5019</v>
      </c>
      <c r="C3757" s="85" t="str">
        <f ca="1">IFERROR(__xludf.DUMMYFUNCTION("GOOGLETRANSLATE(B3757:B3772,""RU"",""UK"")"),"Гребінка на клуп різьблення крок-1 1/2"" - 2""")</f>
        <v>Гребінка на клуп різьблення крок-1 1/2" - 2"</v>
      </c>
      <c r="D3757" s="15" t="s">
        <v>378</v>
      </c>
      <c r="E3757" s="15">
        <v>1</v>
      </c>
      <c r="F3757" s="91" t="s">
        <v>319</v>
      </c>
      <c r="G3757" s="4"/>
      <c r="H3757" s="4"/>
      <c r="I3757" s="4"/>
    </row>
    <row r="3758" spans="1:9" ht="15">
      <c r="A3758" s="21">
        <f t="shared" si="70"/>
        <v>113</v>
      </c>
      <c r="B3758" s="14" t="s">
        <v>5020</v>
      </c>
      <c r="C3758" s="85" t="str">
        <f ca="1">IFERROR(__xludf.DUMMYFUNCTION("GOOGLETRANSLATE(B3758:B3773,""RU"",""UK"")"),"Ролик різьбонакатний П4(4шт)-35 - 1,5 Фрезер")</f>
        <v>Ролик різьбонакатний П4(4шт)-35 - 1,5 Фрезер</v>
      </c>
      <c r="D3758" s="15" t="s">
        <v>378</v>
      </c>
      <c r="E3758" s="15">
        <v>1</v>
      </c>
      <c r="F3758" s="91" t="s">
        <v>319</v>
      </c>
      <c r="G3758" s="4"/>
      <c r="H3758" s="4"/>
      <c r="I3758" s="4"/>
    </row>
    <row r="3759" spans="1:9" ht="15">
      <c r="A3759" s="21">
        <f t="shared" si="70"/>
        <v>114</v>
      </c>
      <c r="B3759" s="14" t="s">
        <v>5021</v>
      </c>
      <c r="C3759" s="85" t="str">
        <f ca="1">IFERROR(__xludf.DUMMYFUNCTION("GOOGLETRANSLATE(B3759:B3774,""RU"",""UK"")"),"Ролик різьбонарізний")</f>
        <v>Ролик різьбонарізний</v>
      </c>
      <c r="D3759" s="15" t="s">
        <v>378</v>
      </c>
      <c r="E3759" s="59"/>
      <c r="F3759" s="91"/>
      <c r="G3759" s="4"/>
      <c r="H3759" s="4"/>
      <c r="I3759" s="4"/>
    </row>
    <row r="3760" spans="1:9" ht="15">
      <c r="A3760" s="21"/>
      <c r="B3760" s="28"/>
      <c r="C3760" s="110" t="s">
        <v>6051</v>
      </c>
      <c r="D3760" s="28"/>
      <c r="E3760" s="28"/>
      <c r="F3760" s="94"/>
      <c r="G3760" s="4"/>
      <c r="H3760" s="4"/>
      <c r="I3760" s="4"/>
    </row>
    <row r="3761" spans="1:9" ht="15">
      <c r="A3761" s="21">
        <f t="shared" si="70"/>
        <v>1</v>
      </c>
      <c r="B3761" s="14" t="s">
        <v>5022</v>
      </c>
      <c r="C3761" s="85" t="str">
        <f ca="1">IFERROR(__xludf.DUMMYFUNCTION("GOOGLETRANSLATE(B3761:B3776,""RU"",""UK"")"),"Плашкотримач М1.2-2мм")</f>
        <v>Плашкотримач М1.2-2мм</v>
      </c>
      <c r="D3761" s="15" t="s">
        <v>6</v>
      </c>
      <c r="E3761" s="15">
        <v>21</v>
      </c>
      <c r="F3761" s="91" t="s">
        <v>598</v>
      </c>
      <c r="G3761" s="4"/>
      <c r="H3761" s="4"/>
      <c r="I3761" s="4"/>
    </row>
    <row r="3762" spans="1:9" ht="15">
      <c r="A3762" s="21">
        <f t="shared" si="70"/>
        <v>2</v>
      </c>
      <c r="B3762" s="14" t="s">
        <v>5023</v>
      </c>
      <c r="C3762" s="85" t="str">
        <f ca="1">IFERROR(__xludf.DUMMYFUNCTION("GOOGLETRANSLATE(B3762:B3777,""RU"",""UK"")"),"Плашкотримач М2.5мм")</f>
        <v>Плашкотримач М2.5мм</v>
      </c>
      <c r="D3762" s="15" t="s">
        <v>6</v>
      </c>
      <c r="E3762" s="15">
        <v>19</v>
      </c>
      <c r="F3762" s="91" t="s">
        <v>1553</v>
      </c>
      <c r="G3762" s="4"/>
      <c r="H3762" s="4"/>
      <c r="I3762" s="4"/>
    </row>
    <row r="3763" spans="1:9" ht="15">
      <c r="A3763" s="21">
        <f t="shared" si="70"/>
        <v>3</v>
      </c>
      <c r="B3763" s="14" t="s">
        <v>5024</v>
      </c>
      <c r="C3763" s="85" t="str">
        <f ca="1">IFERROR(__xludf.DUMMYFUNCTION("GOOGLETRANSLATE(B3763:B3778,""RU"",""UK"")"),"Плашкотримач М3-4мм")</f>
        <v>Плашкотримач М3-4мм</v>
      </c>
      <c r="D3763" s="15" t="s">
        <v>6</v>
      </c>
      <c r="E3763" s="15">
        <v>33</v>
      </c>
      <c r="F3763" s="91" t="s">
        <v>1518</v>
      </c>
      <c r="G3763" s="4"/>
      <c r="H3763" s="4"/>
      <c r="I3763" s="4"/>
    </row>
    <row r="3764" spans="1:9" ht="15">
      <c r="A3764" s="21">
        <f t="shared" si="70"/>
        <v>4</v>
      </c>
      <c r="B3764" s="14" t="s">
        <v>5025</v>
      </c>
      <c r="C3764" s="85" t="str">
        <f ca="1">IFERROR(__xludf.DUMMYFUNCTION("GOOGLETRANSLATE(B3764:B3779,""RU"",""UK"")"),"Плашкотримач М5-6мм")</f>
        <v>Плашкотримач М5-6мм</v>
      </c>
      <c r="D3764" s="15" t="s">
        <v>6</v>
      </c>
      <c r="E3764" s="15">
        <v>10</v>
      </c>
      <c r="F3764" s="91" t="s">
        <v>317</v>
      </c>
      <c r="G3764" s="4"/>
      <c r="H3764" s="4"/>
      <c r="I3764" s="4"/>
    </row>
    <row r="3765" spans="1:9" ht="15">
      <c r="A3765" s="21">
        <f t="shared" si="70"/>
        <v>5</v>
      </c>
      <c r="B3765" s="14" t="s">
        <v>5026</v>
      </c>
      <c r="C3765" s="85" t="str">
        <f ca="1">IFERROR(__xludf.DUMMYFUNCTION("GOOGLETRANSLATE(B3765:B3780,""RU"",""UK"")"),"Плашкотримач М3-10мм")</f>
        <v>Плашкотримач М3-10мм</v>
      </c>
      <c r="D3765" s="15" t="s">
        <v>6</v>
      </c>
      <c r="E3765" s="15">
        <v>2</v>
      </c>
      <c r="F3765" s="91" t="s">
        <v>218</v>
      </c>
      <c r="G3765" s="4"/>
      <c r="H3765" s="4"/>
      <c r="I3765" s="4"/>
    </row>
    <row r="3766" spans="1:9" ht="15">
      <c r="A3766" s="21">
        <f t="shared" si="70"/>
        <v>6</v>
      </c>
      <c r="B3766" s="14" t="s">
        <v>5027</v>
      </c>
      <c r="C3766" s="85" t="str">
        <f ca="1">IFERROR(__xludf.DUMMYFUNCTION("GOOGLETRANSLATE(B3766:B3781,""RU"",""UK"")"),"Плашкотримач М3-14мм")</f>
        <v>Плашкотримач М3-14мм</v>
      </c>
      <c r="D3766" s="15" t="s">
        <v>6</v>
      </c>
      <c r="E3766" s="15">
        <v>2</v>
      </c>
      <c r="F3766" s="91" t="s">
        <v>461</v>
      </c>
      <c r="G3766" s="4"/>
      <c r="H3766" s="4"/>
      <c r="I3766" s="4"/>
    </row>
    <row r="3767" spans="1:9" ht="15">
      <c r="A3767" s="21">
        <f t="shared" si="70"/>
        <v>7</v>
      </c>
      <c r="B3767" s="14" t="s">
        <v>5028</v>
      </c>
      <c r="C3767" s="85" t="str">
        <f ca="1">IFERROR(__xludf.DUMMYFUNCTION("GOOGLETRANSLATE(B3767:B3782,""RU"",""UK"")"),"Плашкотримач М10-20мм")</f>
        <v>Плашкотримач М10-20мм</v>
      </c>
      <c r="D3767" s="15" t="s">
        <v>6</v>
      </c>
      <c r="E3767" s="15">
        <v>0</v>
      </c>
      <c r="F3767" s="91" t="s">
        <v>20</v>
      </c>
      <c r="G3767" s="4"/>
      <c r="H3767" s="4"/>
      <c r="I3767" s="4"/>
    </row>
    <row r="3768" spans="1:9" ht="15">
      <c r="A3768" s="21">
        <f t="shared" si="70"/>
        <v>8</v>
      </c>
      <c r="B3768" s="14" t="s">
        <v>5029</v>
      </c>
      <c r="C3768" s="85" t="str">
        <f ca="1">IFERROR(__xludf.DUMMYFUNCTION("GOOGLETRANSLATE(B3768:B3783,""RU"",""UK"")"),"Плашкотримач №1")</f>
        <v>Плашкотримач №1</v>
      </c>
      <c r="D3768" s="15" t="s">
        <v>6</v>
      </c>
      <c r="E3768" s="15">
        <v>145</v>
      </c>
      <c r="F3768" s="91" t="s">
        <v>257</v>
      </c>
      <c r="G3768" s="4"/>
      <c r="H3768" s="4"/>
      <c r="I3768" s="4"/>
    </row>
    <row r="3769" spans="1:9" ht="15">
      <c r="A3769" s="21">
        <f t="shared" si="70"/>
        <v>9</v>
      </c>
      <c r="B3769" s="14" t="s">
        <v>5030</v>
      </c>
      <c r="C3769" s="85" t="str">
        <f ca="1">IFERROR(__xludf.DUMMYFUNCTION("GOOGLETRANSLATE(B3769:B3784,""RU"",""UK"")"),"Плашкотримач №2")</f>
        <v>Плашкотримач №2</v>
      </c>
      <c r="D3769" s="15" t="s">
        <v>6</v>
      </c>
      <c r="E3769" s="15">
        <v>28</v>
      </c>
      <c r="F3769" s="91" t="s">
        <v>104</v>
      </c>
      <c r="G3769" s="4"/>
      <c r="H3769" s="4"/>
      <c r="I3769" s="4"/>
    </row>
    <row r="3770" spans="1:9" ht="15">
      <c r="A3770" s="21">
        <f t="shared" si="70"/>
        <v>10</v>
      </c>
      <c r="B3770" s="14" t="s">
        <v>5031</v>
      </c>
      <c r="C3770" s="85" t="str">
        <f ca="1">IFERROR(__xludf.DUMMYFUNCTION("GOOGLETRANSLATE(B3770:B3785,""RU"",""UK"")"),"Плашкотримач №3")</f>
        <v>Плашкотримач №3</v>
      </c>
      <c r="D3770" s="15" t="s">
        <v>6</v>
      </c>
      <c r="E3770" s="15">
        <v>38</v>
      </c>
      <c r="F3770" s="91" t="s">
        <v>136</v>
      </c>
      <c r="G3770" s="4"/>
      <c r="H3770" s="4"/>
      <c r="I3770" s="4"/>
    </row>
    <row r="3771" spans="1:9" ht="15">
      <c r="A3771" s="21">
        <f t="shared" si="70"/>
        <v>11</v>
      </c>
      <c r="B3771" s="14" t="s">
        <v>5032</v>
      </c>
      <c r="C3771" s="85" t="str">
        <f ca="1">IFERROR(__xludf.DUMMYFUNCTION("GOOGLETRANSLATE(B3771:B3786,""RU"",""UK"")"),"Плашкотримач №4")</f>
        <v>Плашкотримач №4</v>
      </c>
      <c r="D3771" s="15" t="s">
        <v>6</v>
      </c>
      <c r="E3771" s="15">
        <v>60</v>
      </c>
      <c r="F3771" s="91" t="s">
        <v>1320</v>
      </c>
      <c r="G3771" s="4"/>
      <c r="H3771" s="4"/>
      <c r="I3771" s="4"/>
    </row>
    <row r="3772" spans="1:9" ht="15">
      <c r="A3772" s="21">
        <f t="shared" si="70"/>
        <v>12</v>
      </c>
      <c r="B3772" s="14" t="s">
        <v>5033</v>
      </c>
      <c r="C3772" s="85" t="str">
        <f ca="1">IFERROR(__xludf.DUMMYFUNCTION("GOOGLETRANSLATE(B3772:B3787,""RU"",""UK"")"),"Плашкотримач №5")</f>
        <v>Плашкотримач №5</v>
      </c>
      <c r="D3772" s="15" t="s">
        <v>6</v>
      </c>
      <c r="E3772" s="15">
        <v>49</v>
      </c>
      <c r="F3772" s="91" t="s">
        <v>353</v>
      </c>
      <c r="G3772" s="4"/>
      <c r="H3772" s="4"/>
      <c r="I3772" s="4"/>
    </row>
    <row r="3773" spans="1:9" ht="15">
      <c r="A3773" s="21">
        <f t="shared" si="70"/>
        <v>13</v>
      </c>
      <c r="B3773" s="14" t="s">
        <v>5034</v>
      </c>
      <c r="C3773" s="85" t="str">
        <f ca="1">IFERROR(__xludf.DUMMYFUNCTION("GOOGLETRANSLATE(B3773:B3788,""RU"",""UK"")"),"Плашкотримач №6")</f>
        <v>Плашкотримач №6</v>
      </c>
      <c r="D3773" s="15" t="s">
        <v>6</v>
      </c>
      <c r="E3773" s="15">
        <v>12</v>
      </c>
      <c r="F3773" s="91" t="s">
        <v>119</v>
      </c>
      <c r="G3773" s="4"/>
      <c r="H3773" s="4"/>
      <c r="I3773" s="4"/>
    </row>
    <row r="3774" spans="1:9" ht="15">
      <c r="A3774" s="21">
        <f t="shared" si="70"/>
        <v>14</v>
      </c>
      <c r="B3774" s="14" t="s">
        <v>5035</v>
      </c>
      <c r="C3774" s="85" t="str">
        <f ca="1">IFERROR(__xludf.DUMMYFUNCTION("GOOGLETRANSLATE(B3774:B3789,""RU"",""UK"")"),"Плашкотримач №7")</f>
        <v>Плашкотримач №7</v>
      </c>
      <c r="D3774" s="15" t="s">
        <v>6</v>
      </c>
      <c r="E3774" s="15">
        <v>8</v>
      </c>
      <c r="F3774" s="91" t="s">
        <v>140</v>
      </c>
      <c r="G3774" s="4"/>
      <c r="H3774" s="4"/>
      <c r="I3774" s="4"/>
    </row>
    <row r="3775" spans="1:9" ht="15">
      <c r="A3775" s="21">
        <f t="shared" si="70"/>
        <v>15</v>
      </c>
      <c r="B3775" s="14" t="s">
        <v>5036</v>
      </c>
      <c r="C3775" s="85" t="str">
        <f ca="1">IFERROR(__xludf.DUMMYFUNCTION("GOOGLETRANSLATE(B3775:B3790,""RU"",""UK"")"),"Плашкотримач №8")</f>
        <v>Плашкотримач №8</v>
      </c>
      <c r="D3775" s="15" t="s">
        <v>6</v>
      </c>
      <c r="E3775" s="15">
        <v>16</v>
      </c>
      <c r="F3775" s="91" t="s">
        <v>571</v>
      </c>
      <c r="G3775" s="4"/>
      <c r="H3775" s="4"/>
      <c r="I3775" s="4"/>
    </row>
    <row r="3776" spans="1:9" ht="15">
      <c r="A3776" s="21">
        <f t="shared" ref="A3776:A3793" si="71">A3775+1</f>
        <v>16</v>
      </c>
      <c r="B3776" s="14" t="s">
        <v>5037</v>
      </c>
      <c r="C3776" s="85" t="str">
        <f ca="1">IFERROR(__xludf.DUMMYFUNCTION("GOOGLETRANSLATE(B3776:B3791,""RU"",""UK"")"),"Плашкотримач №9")</f>
        <v>Плашкотримач №9</v>
      </c>
      <c r="D3776" s="15" t="s">
        <v>6</v>
      </c>
      <c r="E3776" s="15">
        <v>17</v>
      </c>
      <c r="F3776" s="91" t="s">
        <v>5038</v>
      </c>
      <c r="G3776" s="4"/>
      <c r="H3776" s="4"/>
      <c r="I3776" s="4"/>
    </row>
    <row r="3777" spans="1:9" ht="15">
      <c r="A3777" s="21">
        <f t="shared" si="71"/>
        <v>17</v>
      </c>
      <c r="B3777" s="14" t="s">
        <v>5039</v>
      </c>
      <c r="C3777" s="85" t="str">
        <f ca="1">IFERROR(__xludf.DUMMYFUNCTION("GOOGLETRANSLATE(B3777:B3792,""RU"",""UK"")"),"Плашкотримач d45мм")</f>
        <v>Плашкотримач d45мм</v>
      </c>
      <c r="D3777" s="15" t="s">
        <v>6</v>
      </c>
      <c r="E3777" s="15">
        <v>9</v>
      </c>
      <c r="F3777" s="91" t="s">
        <v>220</v>
      </c>
      <c r="G3777" s="4"/>
      <c r="H3777" s="4"/>
      <c r="I3777" s="4"/>
    </row>
    <row r="3778" spans="1:9" ht="15">
      <c r="A3778" s="21">
        <f t="shared" si="71"/>
        <v>18</v>
      </c>
      <c r="B3778" s="14" t="s">
        <v>5040</v>
      </c>
      <c r="C3778" s="85" t="str">
        <f ca="1">IFERROR(__xludf.DUMMYFUNCTION("GOOGLETRANSLATE(B3778:B3793,""RU"",""UK"")"),"Плашкотримач d55мм")</f>
        <v>Плашкотримач d55мм</v>
      </c>
      <c r="D3778" s="15" t="s">
        <v>6</v>
      </c>
      <c r="E3778" s="15">
        <v>1</v>
      </c>
      <c r="F3778" s="91" t="s">
        <v>327</v>
      </c>
      <c r="G3778" s="4"/>
      <c r="H3778" s="4"/>
      <c r="I3778" s="4"/>
    </row>
    <row r="3779" spans="1:9" ht="15">
      <c r="A3779" s="21">
        <f t="shared" si="71"/>
        <v>19</v>
      </c>
      <c r="B3779" s="14" t="s">
        <v>5041</v>
      </c>
      <c r="C3779" s="85" t="str">
        <f ca="1">IFERROR(__xludf.DUMMYFUNCTION("GOOGLETRANSLATE(B3779:B3794,""RU"",""UK"")"),"Плашкотримач d90мм")</f>
        <v>Плашкотримач d90мм</v>
      </c>
      <c r="D3779" s="15" t="s">
        <v>6</v>
      </c>
      <c r="E3779" s="15">
        <v>1</v>
      </c>
      <c r="F3779" s="91" t="s">
        <v>16</v>
      </c>
      <c r="G3779" s="4"/>
      <c r="H3779" s="4"/>
      <c r="I3779" s="4"/>
    </row>
    <row r="3780" spans="1:9" ht="15">
      <c r="A3780" s="21">
        <f t="shared" si="71"/>
        <v>20</v>
      </c>
      <c r="B3780" s="14" t="s">
        <v>5042</v>
      </c>
      <c r="C3780" s="85" t="str">
        <f ca="1">IFERROR(__xludf.DUMMYFUNCTION("GOOGLETRANSLATE(B3780:B3795,""RU"",""UK"")"),"Вороток (Мітчикоутримувач) 3-8мм / 3-10мм")</f>
        <v>Вороток (Мітчикоутримувач) 3-8мм / 3-10мм</v>
      </c>
      <c r="D3780" s="15" t="s">
        <v>6</v>
      </c>
      <c r="E3780" s="15" t="s">
        <v>774</v>
      </c>
      <c r="F3780" s="91" t="s">
        <v>338</v>
      </c>
      <c r="G3780" s="4"/>
      <c r="H3780" s="4"/>
      <c r="I3780" s="4"/>
    </row>
    <row r="3781" spans="1:9" ht="15">
      <c r="A3781" s="21">
        <f t="shared" si="71"/>
        <v>21</v>
      </c>
      <c r="B3781" s="16" t="s">
        <v>5043</v>
      </c>
      <c r="C3781" s="85" t="str">
        <f ca="1">IFERROR(__xludf.DUMMYFUNCTION("GOOGLETRANSLATE(B3781:B3796,""RU"",""UK"")"),"Вороток (Мітчикоутримувач) 3-14мм / 5-14мм")</f>
        <v>Вороток (Мітчикоутримувач) 3-14мм / 5-14мм</v>
      </c>
      <c r="D3781" s="15" t="s">
        <v>6</v>
      </c>
      <c r="E3781" s="15" t="s">
        <v>3157</v>
      </c>
      <c r="F3781" s="91" t="s">
        <v>319</v>
      </c>
      <c r="G3781" s="4"/>
      <c r="H3781" s="4"/>
      <c r="I3781" s="4"/>
    </row>
    <row r="3782" spans="1:9" ht="15">
      <c r="A3782" s="21">
        <f t="shared" si="71"/>
        <v>22</v>
      </c>
      <c r="B3782" s="14" t="s">
        <v>5044</v>
      </c>
      <c r="C3782" s="85" t="str">
        <f ca="1">IFERROR(__xludf.DUMMYFUNCTION("GOOGLETRANSLATE(B3782:B3797,""RU"",""UK"")"),"Вороток (Мітчикоутримувач) 5-16мм")</f>
        <v>Вороток (Мітчикоутримувач) 5-16мм</v>
      </c>
      <c r="D3782" s="15" t="s">
        <v>6</v>
      </c>
      <c r="E3782" s="15">
        <v>1</v>
      </c>
      <c r="F3782" s="91" t="s">
        <v>119</v>
      </c>
      <c r="G3782" s="4"/>
      <c r="H3782" s="4"/>
      <c r="I3782" s="4"/>
    </row>
    <row r="3783" spans="1:9" ht="15">
      <c r="A3783" s="21">
        <f t="shared" si="71"/>
        <v>23</v>
      </c>
      <c r="B3783" s="14" t="s">
        <v>5045</v>
      </c>
      <c r="C3783" s="85" t="str">
        <f ca="1">IFERROR(__xludf.DUMMYFUNCTION("GOOGLETRANSLATE(B3783:B3798,""RU"",""UK"")"),"Вороток (Мітчикоутримувач) 8-20мм")</f>
        <v>Вороток (Мітчикоутримувач) 8-20мм</v>
      </c>
      <c r="D3783" s="15" t="s">
        <v>6</v>
      </c>
      <c r="E3783" s="15">
        <v>2</v>
      </c>
      <c r="F3783" s="91" t="s">
        <v>222</v>
      </c>
      <c r="G3783" s="4"/>
      <c r="H3783" s="4"/>
      <c r="I3783" s="4"/>
    </row>
    <row r="3784" spans="1:9" ht="15">
      <c r="A3784" s="21">
        <f t="shared" si="71"/>
        <v>24</v>
      </c>
      <c r="B3784" s="16" t="s">
        <v>5046</v>
      </c>
      <c r="C3784" s="85" t="str">
        <f ca="1">IFERROR(__xludf.DUMMYFUNCTION("GOOGLETRANSLATE(B3784:B3799,""RU"",""UK"")"),"Вороток (Мітчикоутримувач) 10-27мм")</f>
        <v>Вороток (Мітчикоутримувач) 10-27мм</v>
      </c>
      <c r="D3784" s="15" t="s">
        <v>6</v>
      </c>
      <c r="E3784" s="15">
        <v>0</v>
      </c>
      <c r="F3784" s="91" t="s">
        <v>140</v>
      </c>
      <c r="G3784" s="4"/>
      <c r="H3784" s="4"/>
      <c r="I3784" s="4"/>
    </row>
    <row r="3785" spans="1:9" ht="15">
      <c r="A3785" s="21">
        <f t="shared" si="71"/>
        <v>25</v>
      </c>
      <c r="B3785" s="14" t="s">
        <v>5047</v>
      </c>
      <c r="C3785" s="85" t="str">
        <f ca="1">IFERROR(__xludf.DUMMYFUNCTION("GOOGLETRANSLATE(B3785:B3800,""RU"",""UK"")"),"Вороток (Мітчикоутримувач) 12-36мм")</f>
        <v>Вороток (Мітчикоутримувач) 12-36мм</v>
      </c>
      <c r="D3785" s="15" t="s">
        <v>6</v>
      </c>
      <c r="E3785" s="15">
        <v>2</v>
      </c>
      <c r="F3785" s="91" t="s">
        <v>159</v>
      </c>
      <c r="G3785" s="4"/>
      <c r="H3785" s="4"/>
      <c r="I3785" s="4"/>
    </row>
    <row r="3786" spans="1:9" ht="15">
      <c r="A3786" s="21">
        <f t="shared" si="71"/>
        <v>26</v>
      </c>
      <c r="B3786" s="14" t="s">
        <v>5048</v>
      </c>
      <c r="C3786" s="85" t="str">
        <f ca="1">IFERROR(__xludf.DUMMYFUNCTION("GOOGLETRANSLATE(B3786:B3801,""RU"",""UK"")"),"Мітчикоутримувач №3")</f>
        <v>Мітчикоутримувач №3</v>
      </c>
      <c r="D3786" s="15" t="s">
        <v>6</v>
      </c>
      <c r="E3786" s="15">
        <v>9</v>
      </c>
      <c r="F3786" s="91" t="s">
        <v>327</v>
      </c>
      <c r="G3786" s="4"/>
      <c r="H3786" s="4"/>
      <c r="I3786" s="4"/>
    </row>
    <row r="3787" spans="1:9" ht="15">
      <c r="A3787" s="21">
        <f t="shared" si="71"/>
        <v>27</v>
      </c>
      <c r="B3787" s="14" t="s">
        <v>5049</v>
      </c>
      <c r="C3787" s="85" t="str">
        <f ca="1">IFERROR(__xludf.DUMMYFUNCTION("GOOGLETRANSLATE(B3787:B3802,""RU"",""UK"")"),"Мітчикоутримувач №4")</f>
        <v>Мітчикоутримувач №4</v>
      </c>
      <c r="D3787" s="15" t="s">
        <v>6</v>
      </c>
      <c r="E3787" s="15">
        <v>10</v>
      </c>
      <c r="F3787" s="91" t="s">
        <v>24</v>
      </c>
      <c r="G3787" s="4"/>
      <c r="H3787" s="4"/>
      <c r="I3787" s="4"/>
    </row>
    <row r="3788" spans="1:9" ht="15">
      <c r="A3788" s="21">
        <f t="shared" si="71"/>
        <v>28</v>
      </c>
      <c r="B3788" s="14" t="s">
        <v>5050</v>
      </c>
      <c r="C3788" s="85" t="str">
        <f ca="1">IFERROR(__xludf.DUMMYFUNCTION("GOOGLETRANSLATE(B3788:B3803,""RU"",""UK"")"),"Мітчикоутримувач універсальний регул. №5")</f>
        <v>Мітчикоутримувач універсальний регул. №5</v>
      </c>
      <c r="D3788" s="15" t="s">
        <v>6</v>
      </c>
      <c r="E3788" s="15">
        <v>1</v>
      </c>
      <c r="F3788" s="91" t="s">
        <v>16</v>
      </c>
      <c r="G3788" s="4"/>
      <c r="H3788" s="4"/>
      <c r="I3788" s="4"/>
    </row>
    <row r="3789" spans="1:9" ht="15">
      <c r="A3789" s="21">
        <f t="shared" si="71"/>
        <v>29</v>
      </c>
      <c r="B3789" s="14" t="s">
        <v>5051</v>
      </c>
      <c r="C3789" s="85" t="str">
        <f ca="1">IFERROR(__xludf.DUMMYFUNCTION("GOOGLETRANSLATE(B3789:B3804,""RU"",""UK"")"),"Мітчикоутримувач №5")</f>
        <v>Мітчикоутримувач №5</v>
      </c>
      <c r="D3789" s="15" t="s">
        <v>6</v>
      </c>
      <c r="E3789" s="15">
        <v>2</v>
      </c>
      <c r="F3789" s="91" t="s">
        <v>162</v>
      </c>
      <c r="G3789" s="4"/>
      <c r="H3789" s="4"/>
      <c r="I3789" s="4"/>
    </row>
    <row r="3790" spans="1:9" ht="15">
      <c r="A3790" s="21">
        <f t="shared" si="71"/>
        <v>30</v>
      </c>
      <c r="B3790" s="16" t="s">
        <v>5052</v>
      </c>
      <c r="C3790" s="85" t="str">
        <f ca="1">IFERROR(__xludf.DUMMYFUNCTION("GOOGLETRANSLATE(B3790:B3805,""RU"",""UK"")"),"Патрон різьбонарізний швидкознімний (КМ3+Цил. хв.36мм) для мітчиків М6-М16 (6шт)")</f>
        <v>Патрон різьбонарізний швидкознімний (КМ3+Цил. хв.36мм) для мітчиків М6-М16 (6шт)</v>
      </c>
      <c r="D3790" s="15" t="s">
        <v>378</v>
      </c>
      <c r="E3790" s="15">
        <v>1</v>
      </c>
      <c r="F3790" s="91" t="s">
        <v>10</v>
      </c>
      <c r="G3790" s="4"/>
      <c r="H3790" s="4"/>
      <c r="I3790" s="4"/>
    </row>
    <row r="3791" spans="1:9" ht="15">
      <c r="A3791" s="21">
        <f t="shared" si="71"/>
        <v>31</v>
      </c>
      <c r="B3791" s="16" t="s">
        <v>5053</v>
      </c>
      <c r="C3791" s="85" t="str">
        <f ca="1">IFERROR(__xludf.DUMMYFUNCTION("GOOGLETRANSLATE(B3791:B3806,""RU"",""UK"")"),"Патрон різьбонарізний швидкознімний (цил. хв.36мм) для мітчиків М6-М16 (6шт)")</f>
        <v>Патрон різьбонарізний швидкознімний (цил. хв.36мм) для мітчиків М6-М16 (6шт)</v>
      </c>
      <c r="D3791" s="15" t="s">
        <v>378</v>
      </c>
      <c r="E3791" s="15">
        <v>1</v>
      </c>
      <c r="F3791" s="91" t="s">
        <v>75</v>
      </c>
      <c r="G3791" s="4"/>
      <c r="H3791" s="4"/>
      <c r="I3791" s="4"/>
    </row>
    <row r="3792" spans="1:9" ht="15">
      <c r="A3792" s="21">
        <f t="shared" si="71"/>
        <v>32</v>
      </c>
      <c r="B3792" s="16" t="s">
        <v>5054</v>
      </c>
      <c r="C3792" s="85" t="str">
        <f ca="1">IFERROR(__xludf.DUMMYFUNCTION("GOOGLETRANSLATE(B3792:B3807,""RU"",""UK"")"),"Патрон різьбонарізний швидкознімний (цил. хв.36мм) для мітчиків М8-М16 (5шт)")</f>
        <v>Патрон різьбонарізний швидкознімний (цил. хв.36мм) для мітчиків М8-М16 (5шт)</v>
      </c>
      <c r="D3792" s="15" t="s">
        <v>378</v>
      </c>
      <c r="E3792" s="15">
        <v>1</v>
      </c>
      <c r="F3792" s="91" t="s">
        <v>71</v>
      </c>
      <c r="G3792" s="4"/>
      <c r="H3792" s="4"/>
      <c r="I3792" s="4"/>
    </row>
    <row r="3793" spans="1:9" ht="15">
      <c r="A3793" s="21">
        <f t="shared" si="71"/>
        <v>33</v>
      </c>
      <c r="B3793" s="19" t="s">
        <v>5055</v>
      </c>
      <c r="C3793" s="85" t="str">
        <f ca="1">IFERROR(__xludf.DUMMYFUNCTION("GOOGLETRANSLATE(B3793:B3808,""RU"",""UK"")"),"Патрон-Тріщатка для мітчиків КМ2-КМ4")</f>
        <v>Патрон-Тріщатка для мітчиків КМ2-КМ4</v>
      </c>
      <c r="D3793" s="15" t="s">
        <v>6</v>
      </c>
      <c r="E3793" s="15">
        <v>0</v>
      </c>
      <c r="F3793" s="91" t="s">
        <v>102</v>
      </c>
      <c r="G3793" s="4"/>
      <c r="H3793" s="4"/>
      <c r="I3793" s="4"/>
    </row>
    <row r="3794" spans="1:9" ht="15">
      <c r="A3794" s="27"/>
      <c r="B3794" s="28"/>
      <c r="C3794" s="110" t="s">
        <v>6052</v>
      </c>
      <c r="D3794" s="28"/>
      <c r="E3794" s="28"/>
      <c r="F3794" s="94"/>
      <c r="G3794" s="4"/>
      <c r="H3794" s="4"/>
      <c r="I3794" s="4"/>
    </row>
    <row r="3795" spans="1:9" ht="15">
      <c r="A3795" s="13">
        <v>1</v>
      </c>
      <c r="B3795" s="14" t="s">
        <v>5056</v>
      </c>
      <c r="C3795" s="85" t="str">
        <f ca="1">IFERROR(__xludf.DUMMYFUNCTION("GOOGLETRANSLATE(B3795:B3810,""RU"",""UK"")"),"Вентиль лат. 25мм")</f>
        <v>Вентиль лат. 25мм</v>
      </c>
      <c r="D3795" s="15" t="s">
        <v>6</v>
      </c>
      <c r="E3795" s="15">
        <v>5</v>
      </c>
      <c r="F3795" s="91">
        <v>75</v>
      </c>
      <c r="G3795" s="4"/>
      <c r="H3795" s="4"/>
      <c r="I3795" s="4"/>
    </row>
    <row r="3796" spans="1:9" ht="15">
      <c r="A3796" s="13">
        <f>A3795+1</f>
        <v>2</v>
      </c>
      <c r="B3796" s="14" t="s">
        <v>5057</v>
      </c>
      <c r="C3796" s="85" t="str">
        <f ca="1">IFERROR(__xludf.DUMMYFUNCTION("GOOGLETRANSLATE(B3796:B3811,""RU"",""UK"")"),"Вентиль лат. 50мм - 2""РУ16")</f>
        <v>Вентиль лат. 50мм - 2"РУ16</v>
      </c>
      <c r="D3796" s="15" t="s">
        <v>6</v>
      </c>
      <c r="E3796" s="15">
        <v>1</v>
      </c>
      <c r="F3796" s="91">
        <v>420</v>
      </c>
      <c r="G3796" s="4"/>
      <c r="H3796" s="4"/>
      <c r="I3796" s="4"/>
    </row>
    <row r="3797" spans="1:9" ht="15">
      <c r="A3797" s="21">
        <f t="shared" ref="A3797:A3860" si="72">A3796+1</f>
        <v>3</v>
      </c>
      <c r="B3797" s="14" t="s">
        <v>5058</v>
      </c>
      <c r="C3797" s="85" t="str">
        <f ca="1">IFERROR(__xludf.DUMMYFUNCTION("GOOGLETRANSLATE(B3797:B3812,""RU"",""UK"")"),"Вентиль чавун. 50мм - 2""")</f>
        <v>Вентиль чавун. 50мм - 2"</v>
      </c>
      <c r="D3797" s="15" t="s">
        <v>6</v>
      </c>
      <c r="E3797" s="15">
        <v>1</v>
      </c>
      <c r="F3797" s="91" t="s">
        <v>140</v>
      </c>
      <c r="G3797" s="4"/>
      <c r="H3797" s="4"/>
      <c r="I3797" s="4"/>
    </row>
    <row r="3798" spans="1:9" ht="15">
      <c r="A3798" s="21">
        <f t="shared" si="72"/>
        <v>4</v>
      </c>
      <c r="B3798" s="14" t="s">
        <v>5059</v>
      </c>
      <c r="C3798" s="85" t="str">
        <f ca="1">IFERROR(__xludf.DUMMYFUNCTION("GOOGLETRANSLATE(B3798:B3813,""RU"",""UK"")"),"Вентиль чавун. 65мм")</f>
        <v>Вентиль чавун. 65мм</v>
      </c>
      <c r="D3798" s="15" t="s">
        <v>6</v>
      </c>
      <c r="E3798" s="15">
        <v>1</v>
      </c>
      <c r="F3798" s="91" t="s">
        <v>482</v>
      </c>
      <c r="G3798" s="4"/>
      <c r="H3798" s="4"/>
      <c r="I3798" s="4"/>
    </row>
    <row r="3799" spans="1:9" ht="15">
      <c r="A3799" s="21">
        <f t="shared" si="72"/>
        <v>5</v>
      </c>
      <c r="B3799" s="14" t="s">
        <v>5060</v>
      </c>
      <c r="C3799" s="85" t="str">
        <f ca="1">IFERROR(__xludf.DUMMYFUNCTION("GOOGLETRANSLATE(B3799:B3814,""RU"",""UK"")"),"Вентиль чуг.фланц.ел.магн. СВМ 25мм РУ16")</f>
        <v>Вентиль чуг.фланц.ел.магн. СВМ 25мм РУ16</v>
      </c>
      <c r="D3799" s="15" t="s">
        <v>6</v>
      </c>
      <c r="E3799" s="15">
        <v>1</v>
      </c>
      <c r="F3799" s="91" t="s">
        <v>80</v>
      </c>
      <c r="G3799" s="4"/>
      <c r="H3799" s="4"/>
      <c r="I3799" s="4"/>
    </row>
    <row r="3800" spans="1:9" ht="15">
      <c r="A3800" s="21">
        <f t="shared" si="72"/>
        <v>6</v>
      </c>
      <c r="B3800" s="14" t="s">
        <v>5061</v>
      </c>
      <c r="C3800" s="85" t="str">
        <f ca="1">IFERROR(__xludf.DUMMYFUNCTION("GOOGLETRANSLATE(B3800:B3815,""RU"",""UK"")"),"Вентиль чуг.фланц. 32мм РУ16")</f>
        <v>Вентиль чуг.фланц. 32мм РУ16</v>
      </c>
      <c r="D3800" s="15" t="s">
        <v>6</v>
      </c>
      <c r="E3800" s="15">
        <v>15</v>
      </c>
      <c r="F3800" s="91" t="s">
        <v>27</v>
      </c>
      <c r="G3800" s="4"/>
      <c r="H3800" s="4"/>
      <c r="I3800" s="4"/>
    </row>
    <row r="3801" spans="1:9" ht="15">
      <c r="A3801" s="21">
        <f t="shared" si="72"/>
        <v>7</v>
      </c>
      <c r="B3801" s="14" t="s">
        <v>5062</v>
      </c>
      <c r="C3801" s="85" t="str">
        <f ca="1">IFERROR(__xludf.DUMMYFUNCTION("GOOGLETRANSLATE(B3801:B3816,""RU"",""UK"")"),"Вентиль чуг.фланц. 40мм РУ16")</f>
        <v>Вентиль чуг.фланц. 40мм РУ16</v>
      </c>
      <c r="D3801" s="15" t="s">
        <v>6</v>
      </c>
      <c r="E3801" s="15">
        <v>23</v>
      </c>
      <c r="F3801" s="91" t="s">
        <v>100</v>
      </c>
      <c r="G3801" s="4"/>
      <c r="H3801" s="4"/>
      <c r="I3801" s="4"/>
    </row>
    <row r="3802" spans="1:9" ht="15">
      <c r="A3802" s="21">
        <f t="shared" si="72"/>
        <v>8</v>
      </c>
      <c r="B3802" s="14" t="s">
        <v>5063</v>
      </c>
      <c r="C3802" s="85" t="str">
        <f ca="1">IFERROR(__xludf.DUMMYFUNCTION("GOOGLETRANSLATE(B3802:B3817,""RU"",""UK"")"),"Вентиль чуг.фланц. 40мм РУ25")</f>
        <v>Вентиль чуг.фланц. 40мм РУ25</v>
      </c>
      <c r="D3802" s="15" t="s">
        <v>6</v>
      </c>
      <c r="E3802" s="15">
        <v>2</v>
      </c>
      <c r="F3802" s="91" t="s">
        <v>88</v>
      </c>
      <c r="G3802" s="4"/>
      <c r="H3802" s="4"/>
      <c r="I3802" s="4"/>
    </row>
    <row r="3803" spans="1:9" ht="15">
      <c r="A3803" s="21">
        <f t="shared" si="72"/>
        <v>9</v>
      </c>
      <c r="B3803" s="14" t="s">
        <v>5064</v>
      </c>
      <c r="C3803" s="85" t="str">
        <f ca="1">IFERROR(__xludf.DUMMYFUNCTION("GOOGLETRANSLATE(B3803:B3818,""RU"",""UK"")"),"Вентиль чуг.фланц. 50мм РУ16")</f>
        <v>Вентиль чуг.фланц. 50мм РУ16</v>
      </c>
      <c r="D3803" s="15" t="s">
        <v>6</v>
      </c>
      <c r="E3803" s="15">
        <v>1</v>
      </c>
      <c r="F3803" s="91" t="s">
        <v>1086</v>
      </c>
      <c r="G3803" s="4"/>
      <c r="H3803" s="4"/>
      <c r="I3803" s="4"/>
    </row>
    <row r="3804" spans="1:9" ht="15">
      <c r="A3804" s="21">
        <f t="shared" si="72"/>
        <v>10</v>
      </c>
      <c r="B3804" s="14" t="s">
        <v>5065</v>
      </c>
      <c r="C3804" s="85" t="str">
        <f ca="1">IFERROR(__xludf.DUMMYFUNCTION("GOOGLETRANSLATE(B3804:B3819,""RU"",""UK"")"),"Вентиль футерований фланц. 15Ч75П1-50мм РУ10")</f>
        <v>Вентиль футерований фланц. 15Ч75П1-50мм РУ10</v>
      </c>
      <c r="D3804" s="15" t="s">
        <v>6</v>
      </c>
      <c r="E3804" s="15">
        <v>1</v>
      </c>
      <c r="F3804" s="91" t="s">
        <v>71</v>
      </c>
      <c r="G3804" s="4"/>
      <c r="H3804" s="4"/>
      <c r="I3804" s="4"/>
    </row>
    <row r="3805" spans="1:9" ht="15">
      <c r="A3805" s="21">
        <f t="shared" si="72"/>
        <v>11</v>
      </c>
      <c r="B3805" s="14" t="s">
        <v>5066</v>
      </c>
      <c r="C3805" s="85" t="str">
        <f ca="1">IFERROR(__xludf.DUMMYFUNCTION("GOOGLETRANSLATE(B3805:B3820,""RU"",""UK"")"),"Вентиль нержавіюча сталь фланц. 25мм РУ16")</f>
        <v>Вентиль нержавіюча сталь фланц. 25мм РУ16</v>
      </c>
      <c r="D3805" s="15" t="s">
        <v>6</v>
      </c>
      <c r="E3805" s="15">
        <v>3</v>
      </c>
      <c r="F3805" s="91" t="s">
        <v>1088</v>
      </c>
      <c r="G3805" s="4"/>
      <c r="H3805" s="4"/>
      <c r="I3805" s="4"/>
    </row>
    <row r="3806" spans="1:9" ht="15">
      <c r="A3806" s="21">
        <f t="shared" si="72"/>
        <v>12</v>
      </c>
      <c r="B3806" s="14" t="s">
        <v>5067</v>
      </c>
      <c r="C3806" s="85" t="str">
        <f ca="1">IFERROR(__xludf.DUMMYFUNCTION("GOOGLETRANSLATE(B3806:B3821,""RU"",""UK"")"),"Вентиль нержавіюча сталь фланц. 32мм РУ16")</f>
        <v>Вентиль нержавіюча сталь фланц. 32мм РУ16</v>
      </c>
      <c r="D3806" s="15" t="s">
        <v>6</v>
      </c>
      <c r="E3806" s="15">
        <v>4</v>
      </c>
      <c r="F3806" s="91" t="s">
        <v>1901</v>
      </c>
      <c r="G3806" s="4"/>
      <c r="H3806" s="4"/>
      <c r="I3806" s="4"/>
    </row>
    <row r="3807" spans="1:9" ht="15">
      <c r="A3807" s="21">
        <f t="shared" si="72"/>
        <v>13</v>
      </c>
      <c r="B3807" s="14" t="s">
        <v>5068</v>
      </c>
      <c r="C3807" s="85" t="str">
        <f ca="1">IFERROR(__xludf.DUMMYFUNCTION("GOOGLETRANSLATE(B3807:B3822,""RU"",""UK"")"),"Вентиль нержавіюча сталь фланц. 40мм РУ16")</f>
        <v>Вентиль нержавіюча сталь фланц. 40мм РУ16</v>
      </c>
      <c r="D3807" s="15" t="s">
        <v>6</v>
      </c>
      <c r="E3807" s="15">
        <v>1</v>
      </c>
      <c r="F3807" s="91" t="s">
        <v>75</v>
      </c>
      <c r="G3807" s="4"/>
      <c r="H3807" s="4"/>
      <c r="I3807" s="4"/>
    </row>
    <row r="3808" spans="1:9" ht="15">
      <c r="A3808" s="21">
        <f t="shared" si="72"/>
        <v>14</v>
      </c>
      <c r="B3808" s="14" t="s">
        <v>5069</v>
      </c>
      <c r="C3808" s="85" t="str">
        <f ca="1">IFERROR(__xludf.DUMMYFUNCTION("GOOGLETRANSLATE(B3808:B3823,""RU"",""UK"")"),"Кран шаровий 15мм - 1/2"" (ст.в.)")</f>
        <v>Кран шаровий 15мм - 1/2" (ст.в.)</v>
      </c>
      <c r="D3808" s="15" t="s">
        <v>6</v>
      </c>
      <c r="E3808" s="15">
        <v>0</v>
      </c>
      <c r="F3808" s="91">
        <v>0</v>
      </c>
      <c r="G3808" s="4"/>
      <c r="H3808" s="4"/>
      <c r="I3808" s="4"/>
    </row>
    <row r="3809" spans="1:9" ht="15">
      <c r="A3809" s="21">
        <f t="shared" si="72"/>
        <v>15</v>
      </c>
      <c r="B3809" s="14" t="s">
        <v>5070</v>
      </c>
      <c r="C3809" s="85" t="str">
        <f ca="1">IFERROR(__xludf.DUMMYFUNCTION("GOOGLETRANSLATE(B3809:B3824,""RU"",""UK"")"),"Кран шаровий 20мм - 3/4"" (ст.в.)")</f>
        <v>Кран шаровий 20мм - 3/4" (ст.в.)</v>
      </c>
      <c r="D3809" s="15" t="s">
        <v>6</v>
      </c>
      <c r="E3809" s="15">
        <v>0</v>
      </c>
      <c r="F3809" s="91">
        <v>0</v>
      </c>
      <c r="G3809" s="4"/>
      <c r="H3809" s="4"/>
      <c r="I3809" s="4"/>
    </row>
    <row r="3810" spans="1:9" ht="15">
      <c r="A3810" s="21">
        <f t="shared" si="72"/>
        <v>16</v>
      </c>
      <c r="B3810" s="14" t="s">
        <v>5071</v>
      </c>
      <c r="C3810" s="85" t="str">
        <f ca="1">IFERROR(__xludf.DUMMYFUNCTION("GOOGLETRANSLATE(B3810:B3825,""RU"",""UK"")"),"Кран шаровий 25мм - 1"" (ст.в.)")</f>
        <v>Кран шаровий 25мм - 1" (ст.в.)</v>
      </c>
      <c r="D3810" s="15" t="s">
        <v>6</v>
      </c>
      <c r="E3810" s="15">
        <v>0</v>
      </c>
      <c r="F3810" s="99">
        <v>0</v>
      </c>
      <c r="G3810" s="4"/>
      <c r="H3810" s="4"/>
      <c r="I3810" s="4"/>
    </row>
    <row r="3811" spans="1:9" ht="15">
      <c r="A3811" s="21">
        <f t="shared" si="72"/>
        <v>17</v>
      </c>
      <c r="B3811" s="14" t="s">
        <v>5072</v>
      </c>
      <c r="C3811" s="85" t="str">
        <f ca="1">IFERROR(__xludf.DUMMYFUNCTION("GOOGLETRANSLATE(B3811:B3826,""RU"",""UK"")"),"Кран шаровий 32мм - 1 1/4"" (в.н.)")</f>
        <v>Кран шаровий 32мм - 1 1/4" (в.н.)</v>
      </c>
      <c r="D3811" s="15" t="s">
        <v>6</v>
      </c>
      <c r="E3811" s="15">
        <v>4</v>
      </c>
      <c r="F3811" s="91" t="s">
        <v>327</v>
      </c>
      <c r="G3811" s="4"/>
      <c r="H3811" s="4"/>
      <c r="I3811" s="4"/>
    </row>
    <row r="3812" spans="1:9" ht="15">
      <c r="A3812" s="21">
        <f t="shared" si="72"/>
        <v>18</v>
      </c>
      <c r="B3812" s="14" t="s">
        <v>5073</v>
      </c>
      <c r="C3812" s="85" t="str">
        <f ca="1">IFERROR(__xludf.DUMMYFUNCTION("GOOGLETRANSLATE(B3812:B3827,""RU"",""UK"")"),"Кран шаровий фланцевий нержавіюча сталь 40мм РУ 40")</f>
        <v>Кран шаровий фланцевий нержавіюча сталь 40мм РУ 40</v>
      </c>
      <c r="D3812" s="15" t="s">
        <v>6</v>
      </c>
      <c r="E3812" s="15">
        <v>2</v>
      </c>
      <c r="F3812" s="91">
        <v>1260</v>
      </c>
      <c r="G3812" s="4"/>
      <c r="H3812" s="4"/>
      <c r="I3812" s="4"/>
    </row>
    <row r="3813" spans="1:9" ht="15">
      <c r="A3813" s="21">
        <f t="shared" si="72"/>
        <v>19</v>
      </c>
      <c r="B3813" s="14" t="s">
        <v>5074</v>
      </c>
      <c r="C3813" s="85" t="str">
        <f ca="1">IFERROR(__xludf.DUMMYFUNCTION("GOOGLETRANSLATE(B3813:B3828,""RU"",""UK"")"),"Кран шаровий 65мм - 2 1/2"" (ст.в.)")</f>
        <v>Кран шаровий 65мм - 2 1/2" (ст.в.)</v>
      </c>
      <c r="D3813" s="15" t="s">
        <v>6</v>
      </c>
      <c r="E3813" s="15">
        <v>1</v>
      </c>
      <c r="F3813" s="91">
        <v>756</v>
      </c>
      <c r="G3813" s="4"/>
      <c r="H3813" s="4"/>
      <c r="I3813" s="4"/>
    </row>
    <row r="3814" spans="1:9" ht="15">
      <c r="A3814" s="21">
        <f t="shared" si="72"/>
        <v>20</v>
      </c>
      <c r="B3814" s="14" t="s">
        <v>5075</v>
      </c>
      <c r="C3814" s="85" t="str">
        <f ca="1">IFERROR(__xludf.DUMMYFUNCTION("GOOGLETRANSLATE(B3814:B3829,""RU"",""UK"")"),"Кран маєвського автом. 15мм")</f>
        <v>Кран маєвського автом. 15мм</v>
      </c>
      <c r="D3814" s="15" t="s">
        <v>6</v>
      </c>
      <c r="E3814" s="15">
        <v>10</v>
      </c>
      <c r="F3814" s="91" t="s">
        <v>5076</v>
      </c>
      <c r="G3814" s="4"/>
      <c r="H3814" s="4"/>
      <c r="I3814" s="4"/>
    </row>
    <row r="3815" spans="1:9" ht="15">
      <c r="A3815" s="21">
        <f t="shared" si="72"/>
        <v>21</v>
      </c>
      <c r="B3815" s="14" t="s">
        <v>5077</v>
      </c>
      <c r="C3815" s="85" t="str">
        <f ca="1">IFERROR(__xludf.DUMMYFUNCTION("GOOGLETRANSLATE(B3815:B3830,""RU"",""UK"")"),"Кран корковий бр. фланц. 40мм")</f>
        <v>Кран корковий бр. фланц. 40мм</v>
      </c>
      <c r="D3815" s="15" t="s">
        <v>6</v>
      </c>
      <c r="E3815" s="15">
        <v>1</v>
      </c>
      <c r="F3815" s="91" t="s">
        <v>5078</v>
      </c>
      <c r="G3815" s="4"/>
      <c r="H3815" s="4"/>
      <c r="I3815" s="4"/>
    </row>
    <row r="3816" spans="1:9" ht="15">
      <c r="A3816" s="21">
        <f t="shared" si="72"/>
        <v>22</v>
      </c>
      <c r="B3816" s="14" t="s">
        <v>5079</v>
      </c>
      <c r="C3816" s="85" t="str">
        <f ca="1">IFERROR(__xludf.DUMMYFUNCTION("GOOGLETRANSLATE(B3816:B3831,""RU"",""UK"")"),"Кран поплавковий 15мм (нижній)")</f>
        <v>Кран поплавковий 15мм (нижній)</v>
      </c>
      <c r="D3816" s="15" t="s">
        <v>6</v>
      </c>
      <c r="E3816" s="15">
        <v>1</v>
      </c>
      <c r="F3816" s="91">
        <v>84</v>
      </c>
      <c r="G3816" s="4"/>
      <c r="H3816" s="4"/>
      <c r="I3816" s="4"/>
    </row>
    <row r="3817" spans="1:9" ht="15">
      <c r="A3817" s="21">
        <f t="shared" si="72"/>
        <v>23</v>
      </c>
      <c r="B3817" s="14" t="s">
        <v>5080</v>
      </c>
      <c r="C3817" s="85" t="str">
        <f ca="1">IFERROR(__xludf.DUMMYFUNCTION("GOOGLETRANSLATE(B3817:B3832,""RU"",""UK"")"),"Кран лат. пробковий 3х ходовий 15мм/20мм")</f>
        <v>Кран лат. пробковий 3х ходовий 15мм/20мм</v>
      </c>
      <c r="D3817" s="15" t="s">
        <v>6</v>
      </c>
      <c r="E3817" s="15" t="s">
        <v>793</v>
      </c>
      <c r="F3817" s="91" t="s">
        <v>5081</v>
      </c>
      <c r="G3817" s="4"/>
      <c r="H3817" s="4"/>
      <c r="I3817" s="4"/>
    </row>
    <row r="3818" spans="1:9" ht="15">
      <c r="A3818" s="21">
        <f t="shared" si="72"/>
        <v>24</v>
      </c>
      <c r="B3818" s="14" t="s">
        <v>5082</v>
      </c>
      <c r="C3818" s="85" t="str">
        <f ca="1">IFERROR(__xludf.DUMMYFUNCTION("GOOGLETRANSLATE(B3818:B3833,""RU"",""UK"")"),"Кран лат. 3х ходовий манометричний 15мм")</f>
        <v>Кран лат. 3х ходовий манометричний 15мм</v>
      </c>
      <c r="D3818" s="15" t="s">
        <v>6</v>
      </c>
      <c r="E3818" s="15">
        <v>4</v>
      </c>
      <c r="F3818" s="91">
        <v>84</v>
      </c>
      <c r="G3818" s="4"/>
      <c r="H3818" s="4"/>
      <c r="I3818" s="4"/>
    </row>
    <row r="3819" spans="1:9" ht="15">
      <c r="A3819" s="21">
        <f t="shared" si="72"/>
        <v>25</v>
      </c>
      <c r="B3819" s="14" t="s">
        <v>5083</v>
      </c>
      <c r="C3819" s="85" t="str">
        <f ca="1">IFERROR(__xludf.DUMMYFUNCTION("GOOGLETRANSLATE(B3819:B3834,""RU"",""UK"")"),"Засувка – клінкет бронз. муфти. РУ 16 100мм")</f>
        <v>Засувка – клінкет бронз. муфти. РУ 16 100мм</v>
      </c>
      <c r="D3819" s="15" t="s">
        <v>6</v>
      </c>
      <c r="E3819" s="15">
        <v>1</v>
      </c>
      <c r="F3819" s="91" t="s">
        <v>102</v>
      </c>
      <c r="G3819" s="4"/>
      <c r="H3819" s="4"/>
      <c r="I3819" s="4"/>
    </row>
    <row r="3820" spans="1:9" ht="15">
      <c r="A3820" s="21">
        <f t="shared" si="72"/>
        <v>26</v>
      </c>
      <c r="B3820" s="14" t="s">
        <v>5084</v>
      </c>
      <c r="C3820" s="85" t="str">
        <f ca="1">IFERROR(__xludf.DUMMYFUNCTION("GOOGLETRANSLATE(B3820:B3835,""RU"",""UK"")"),"Засувка чуг. фл. 30ч6бр-РУ 10 50мм")</f>
        <v>Засувка чуг. фл. 30ч6бр-РУ 10 50мм</v>
      </c>
      <c r="D3820" s="15" t="s">
        <v>6</v>
      </c>
      <c r="E3820" s="15">
        <v>3</v>
      </c>
      <c r="F3820" s="91" t="s">
        <v>71</v>
      </c>
      <c r="G3820" s="4"/>
      <c r="H3820" s="4"/>
      <c r="I3820" s="4"/>
    </row>
    <row r="3821" spans="1:9" ht="15">
      <c r="A3821" s="21">
        <f t="shared" si="72"/>
        <v>27</v>
      </c>
      <c r="B3821" s="14" t="s">
        <v>5085</v>
      </c>
      <c r="C3821" s="85" t="str">
        <f ca="1">IFERROR(__xludf.DUMMYFUNCTION("GOOGLETRANSLATE(B3821:B3836,""RU"",""UK"")"),"Засувка броз.муфт. 100мм")</f>
        <v>Засувка броз.муфт. 100мм</v>
      </c>
      <c r="D3821" s="15" t="s">
        <v>6</v>
      </c>
      <c r="E3821" s="15">
        <v>1</v>
      </c>
      <c r="F3821" s="91" t="s">
        <v>71</v>
      </c>
      <c r="G3821" s="4"/>
      <c r="H3821" s="4"/>
      <c r="I3821" s="4"/>
    </row>
    <row r="3822" spans="1:9" ht="15">
      <c r="A3822" s="21">
        <f t="shared" si="72"/>
        <v>28</v>
      </c>
      <c r="B3822" s="14" t="s">
        <v>5086</v>
      </c>
      <c r="C3822" s="85" t="str">
        <f ca="1">IFERROR(__xludf.DUMMYFUNCTION("GOOGLETRANSLATE(B3822:B3837,""RU"",""UK"")"),"Фланець ДУ80")</f>
        <v>Фланець ДУ80</v>
      </c>
      <c r="D3822" s="15" t="s">
        <v>6</v>
      </c>
      <c r="E3822" s="15">
        <v>2</v>
      </c>
      <c r="F3822" s="91">
        <v>138</v>
      </c>
      <c r="G3822" s="4"/>
      <c r="H3822" s="4"/>
      <c r="I3822" s="4"/>
    </row>
    <row r="3823" spans="1:9" ht="15">
      <c r="A3823" s="21">
        <f t="shared" si="72"/>
        <v>29</v>
      </c>
      <c r="B3823" s="14" t="s">
        <v>5087</v>
      </c>
      <c r="C3823" s="85" t="str">
        <f ca="1">IFERROR(__xludf.DUMMYFUNCTION("GOOGLETRANSLATE(B3823:B3838,""RU"",""UK"")"),"Фланець ДУ125")</f>
        <v>Фланець ДУ125</v>
      </c>
      <c r="D3823" s="15" t="s">
        <v>6</v>
      </c>
      <c r="E3823" s="15">
        <v>2</v>
      </c>
      <c r="F3823" s="91">
        <v>162</v>
      </c>
      <c r="G3823" s="4"/>
      <c r="H3823" s="4"/>
      <c r="I3823" s="4"/>
    </row>
    <row r="3824" spans="1:9" ht="15">
      <c r="A3824" s="21">
        <f t="shared" si="72"/>
        <v>30</v>
      </c>
      <c r="B3824" s="14" t="s">
        <v>5088</v>
      </c>
      <c r="C3824" s="85" t="str">
        <f ca="1">IFERROR(__xludf.DUMMYFUNCTION("GOOGLETRANSLATE(B3824:B3839,""RU"",""UK"")"),"Фільтр сітчастий бр. 20мм - 3/4""")</f>
        <v>Фільтр сітчастий бр. 20мм - 3/4"</v>
      </c>
      <c r="D3824" s="15" t="s">
        <v>6</v>
      </c>
      <c r="E3824" s="15">
        <v>1</v>
      </c>
      <c r="F3824" s="91" t="s">
        <v>5089</v>
      </c>
      <c r="G3824" s="4"/>
      <c r="H3824" s="4"/>
      <c r="I3824" s="4"/>
    </row>
    <row r="3825" spans="1:9" ht="15">
      <c r="A3825" s="21">
        <f t="shared" si="72"/>
        <v>31</v>
      </c>
      <c r="B3825" s="14" t="s">
        <v>5090</v>
      </c>
      <c r="C3825" s="85" t="str">
        <f ca="1">IFERROR(__xludf.DUMMYFUNCTION("GOOGLETRANSLATE(B3825:B3840,""RU"",""UK"")"),"Фільтр сітчастий бр. 25мм - 1""")</f>
        <v>Фільтр сітчастий бр. 25мм - 1"</v>
      </c>
      <c r="D3825" s="15" t="s">
        <v>6</v>
      </c>
      <c r="E3825" s="15">
        <v>2</v>
      </c>
      <c r="F3825" s="91">
        <v>54</v>
      </c>
      <c r="G3825" s="4"/>
      <c r="H3825" s="4"/>
      <c r="I3825" s="4"/>
    </row>
    <row r="3826" spans="1:9" ht="15">
      <c r="A3826" s="21">
        <f t="shared" si="72"/>
        <v>32</v>
      </c>
      <c r="B3826" s="14" t="s">
        <v>5091</v>
      </c>
      <c r="C3826" s="85" t="str">
        <f ca="1">IFERROR(__xludf.DUMMYFUNCTION("GOOGLETRANSLATE(B3826:B3841,""RU"",""UK"")"),"Конденсатовідвідник чавун 32мм")</f>
        <v>Конденсатовідвідник чавун 32мм</v>
      </c>
      <c r="D3826" s="15" t="s">
        <v>6</v>
      </c>
      <c r="E3826" s="15">
        <v>2</v>
      </c>
      <c r="F3826" s="91">
        <v>84</v>
      </c>
      <c r="G3826" s="4"/>
      <c r="H3826" s="4"/>
      <c r="I3826" s="4"/>
    </row>
    <row r="3827" spans="1:9" ht="15">
      <c r="A3827" s="21">
        <f t="shared" si="72"/>
        <v>33</v>
      </c>
      <c r="B3827" s="14" t="s">
        <v>5092</v>
      </c>
      <c r="C3827" s="85" t="str">
        <f ca="1">IFERROR(__xludf.DUMMYFUNCTION("GOOGLETRANSLATE(B3827:B3842,""RU"",""UK"")"),"Конденсатовідвідник чавун 40мм")</f>
        <v>Конденсатовідвідник чавун 40мм</v>
      </c>
      <c r="D3827" s="15" t="s">
        <v>6</v>
      </c>
      <c r="E3827" s="15">
        <v>2</v>
      </c>
      <c r="F3827" s="91">
        <v>90</v>
      </c>
      <c r="G3827" s="4"/>
      <c r="H3827" s="4"/>
      <c r="I3827" s="4"/>
    </row>
    <row r="3828" spans="1:9" ht="15">
      <c r="A3828" s="21">
        <f t="shared" si="72"/>
        <v>34</v>
      </c>
      <c r="B3828" s="14" t="s">
        <v>5093</v>
      </c>
      <c r="C3828" s="85" t="str">
        <f ca="1">IFERROR(__xludf.DUMMYFUNCTION("GOOGLETRANSLATE(B3828:B3843,""RU"",""UK"")"),"Шланг підводки нерж. М10х1,2"" н.в. 400мм")</f>
        <v>Шланг підводки нерж. М10х1,2" н.в. 400мм</v>
      </c>
      <c r="D3828" s="15" t="s">
        <v>6</v>
      </c>
      <c r="E3828" s="15">
        <v>3</v>
      </c>
      <c r="F3828" s="91" t="s">
        <v>5089</v>
      </c>
      <c r="G3828" s="4"/>
      <c r="H3828" s="4"/>
      <c r="I3828" s="4"/>
    </row>
    <row r="3829" spans="1:9" ht="15">
      <c r="A3829" s="21">
        <f t="shared" si="72"/>
        <v>35</v>
      </c>
      <c r="B3829" s="14" t="s">
        <v>5094</v>
      </c>
      <c r="C3829" s="85" t="str">
        <f ca="1">IFERROR(__xludf.DUMMYFUNCTION("GOOGLETRANSLATE(B3829:B3844,""RU"",""UK"")"),"Шланг підводки нерж. М10х1,2"" н.в. 800мм")</f>
        <v>Шланг підводки нерж. М10х1,2" н.в. 800мм</v>
      </c>
      <c r="D3829" s="15" t="s">
        <v>6</v>
      </c>
      <c r="E3829" s="15">
        <v>18</v>
      </c>
      <c r="F3829" s="91" t="s">
        <v>5095</v>
      </c>
      <c r="G3829" s="4"/>
      <c r="H3829" s="4"/>
      <c r="I3829" s="4"/>
    </row>
    <row r="3830" spans="1:9" ht="15">
      <c r="A3830" s="21">
        <f t="shared" si="72"/>
        <v>36</v>
      </c>
      <c r="B3830" s="14" t="s">
        <v>5096</v>
      </c>
      <c r="C3830" s="85" t="str">
        <f ca="1">IFERROR(__xludf.DUMMYFUNCTION("GOOGLETRANSLATE(B3830:B3845,""RU"",""UK"")"),"Шланг підводки нерж. 1,2 ""х1, 2"" н.в. 400мм/500мм")</f>
        <v>Шланг підводки нерж. 1,2 "х1, 2" н.в. 400мм/500мм</v>
      </c>
      <c r="D3830" s="15" t="s">
        <v>6</v>
      </c>
      <c r="E3830" s="15">
        <v>5</v>
      </c>
      <c r="F3830" s="91">
        <v>42</v>
      </c>
      <c r="G3830" s="4"/>
      <c r="H3830" s="4"/>
      <c r="I3830" s="4"/>
    </row>
    <row r="3831" spans="1:9" ht="15">
      <c r="A3831" s="21">
        <f t="shared" si="72"/>
        <v>37</v>
      </c>
      <c r="B3831" s="14" t="s">
        <v>5097</v>
      </c>
      <c r="C3831" s="85" t="str">
        <f ca="1">IFERROR(__xludf.DUMMYFUNCTION("GOOGLETRANSLATE(B3831:B3846,""RU"",""UK"")"),"Шланг підводки нерж. 1,2 ""х1, 2"" н.в. 600мм")</f>
        <v>Шланг підводки нерж. 1,2 "х1, 2" н.в. 600мм</v>
      </c>
      <c r="D3831" s="15" t="s">
        <v>6</v>
      </c>
      <c r="E3831" s="15">
        <v>4</v>
      </c>
      <c r="F3831" s="91" t="s">
        <v>5098</v>
      </c>
      <c r="G3831" s="4"/>
      <c r="H3831" s="4"/>
      <c r="I3831" s="4"/>
    </row>
    <row r="3832" spans="1:9" ht="15">
      <c r="A3832" s="21">
        <f t="shared" si="72"/>
        <v>38</v>
      </c>
      <c r="B3832" s="14" t="s">
        <v>5099</v>
      </c>
      <c r="C3832" s="85" t="str">
        <f ca="1">IFERROR(__xludf.DUMMYFUNCTION("GOOGLETRANSLATE(B3832:B3847,""RU"",""UK"")"),"Шланг підводки нерж. 1,2 ""х1,2"" ст. 400мм")</f>
        <v>Шланг підводки нерж. 1,2 "х1,2" ст. 400мм</v>
      </c>
      <c r="D3832" s="15" t="s">
        <v>6</v>
      </c>
      <c r="E3832" s="15">
        <v>35</v>
      </c>
      <c r="F3832" s="91" t="s">
        <v>5089</v>
      </c>
      <c r="G3832" s="4"/>
      <c r="H3832" s="4"/>
      <c r="I3832" s="4"/>
    </row>
    <row r="3833" spans="1:9" ht="15">
      <c r="A3833" s="21">
        <f t="shared" si="72"/>
        <v>39</v>
      </c>
      <c r="B3833" s="14" t="s">
        <v>5100</v>
      </c>
      <c r="C3833" s="85" t="str">
        <f ca="1">IFERROR(__xludf.DUMMYFUNCTION("GOOGLETRANSLATE(B3833:B3848,""RU"",""UK"")"),"Шланг підводки нерж. 1,2 ""х1,2"" ст. 1000мм")</f>
        <v>Шланг підводки нерж. 1,2 "х1,2" ст. 1000мм</v>
      </c>
      <c r="D3833" s="15" t="s">
        <v>6</v>
      </c>
      <c r="E3833" s="15">
        <v>3</v>
      </c>
      <c r="F3833" s="91" t="s">
        <v>5101</v>
      </c>
      <c r="G3833" s="4"/>
      <c r="H3833" s="4"/>
      <c r="I3833" s="4"/>
    </row>
    <row r="3834" spans="1:9" ht="15">
      <c r="A3834" s="21">
        <f t="shared" si="72"/>
        <v>40</v>
      </c>
      <c r="B3834" s="14" t="s">
        <v>5102</v>
      </c>
      <c r="C3834" s="85" t="str">
        <f ca="1">IFERROR(__xludf.DUMMYFUNCTION("GOOGLETRANSLATE(B3834:B3849,""RU"",""UK"")"),"Зганяння у зборі 1/2""")</f>
        <v>Зганяння у зборі 1/2"</v>
      </c>
      <c r="D3834" s="15" t="s">
        <v>6</v>
      </c>
      <c r="E3834" s="15">
        <v>1</v>
      </c>
      <c r="F3834" s="91">
        <v>12</v>
      </c>
      <c r="G3834" s="4"/>
      <c r="H3834" s="4"/>
      <c r="I3834" s="4"/>
    </row>
    <row r="3835" spans="1:9" ht="15">
      <c r="A3835" s="21">
        <f t="shared" si="72"/>
        <v>41</v>
      </c>
      <c r="B3835" s="14" t="s">
        <v>5103</v>
      </c>
      <c r="C3835" s="85" t="str">
        <f ca="1">IFERROR(__xludf.DUMMYFUNCTION("GOOGLETRANSLATE(B3835:B3850,""RU"",""UK"")"),"Контрогайка ст. 2""")</f>
        <v>Контрогайка ст. 2"</v>
      </c>
      <c r="D3835" s="15" t="s">
        <v>6</v>
      </c>
      <c r="E3835" s="15">
        <v>18</v>
      </c>
      <c r="F3835" s="91" t="s">
        <v>5104</v>
      </c>
      <c r="G3835" s="4"/>
      <c r="H3835" s="4"/>
      <c r="I3835" s="4"/>
    </row>
    <row r="3836" spans="1:9" ht="15">
      <c r="A3836" s="21">
        <f t="shared" si="72"/>
        <v>42</v>
      </c>
      <c r="B3836" s="14" t="s">
        <v>5105</v>
      </c>
      <c r="C3836" s="85" t="str">
        <f ca="1">IFERROR(__xludf.DUMMYFUNCTION("GOOGLETRANSLATE(B3836:B3851,""RU"",""UK"")"),"Барило 1/2""")</f>
        <v>Барило 1/2"</v>
      </c>
      <c r="D3836" s="15" t="s">
        <v>6</v>
      </c>
      <c r="E3836" s="15">
        <v>12</v>
      </c>
      <c r="F3836" s="91" t="s">
        <v>5106</v>
      </c>
      <c r="G3836" s="4"/>
      <c r="H3836" s="4"/>
      <c r="I3836" s="4"/>
    </row>
    <row r="3837" spans="1:9" ht="15">
      <c r="A3837" s="21">
        <f t="shared" si="72"/>
        <v>43</v>
      </c>
      <c r="B3837" s="14" t="s">
        <v>5107</v>
      </c>
      <c r="C3837" s="85" t="str">
        <f ca="1">IFERROR(__xludf.DUMMYFUNCTION("GOOGLETRANSLATE(B3837:B3852,""RU"",""UK"")"),"Американка пряма 1 1/4""")</f>
        <v>Американка пряма 1 1/4"</v>
      </c>
      <c r="D3837" s="15" t="s">
        <v>6</v>
      </c>
      <c r="E3837" s="15">
        <v>3</v>
      </c>
      <c r="F3837" s="91" t="s">
        <v>5108</v>
      </c>
      <c r="G3837" s="4"/>
      <c r="H3837" s="4"/>
      <c r="I3837" s="4"/>
    </row>
    <row r="3838" spans="1:9" ht="15">
      <c r="A3838" s="21">
        <f t="shared" si="72"/>
        <v>44</v>
      </c>
      <c r="B3838" s="14" t="s">
        <v>5109</v>
      </c>
      <c r="C3838" s="85" t="str">
        <f ca="1">IFERROR(__xludf.DUMMYFUNCTION("GOOGLETRANSLATE(B3838:B3853,""RU"",""UK"")"),"Американка пряма 1 1/2""")</f>
        <v>Американка пряма 1 1/2"</v>
      </c>
      <c r="D3838" s="15" t="s">
        <v>6</v>
      </c>
      <c r="E3838" s="15">
        <v>1</v>
      </c>
      <c r="F3838" s="91">
        <v>129</v>
      </c>
      <c r="G3838" s="4"/>
      <c r="H3838" s="4"/>
      <c r="I3838" s="4"/>
    </row>
    <row r="3839" spans="1:9" ht="15">
      <c r="A3839" s="21">
        <f t="shared" si="72"/>
        <v>45</v>
      </c>
      <c r="B3839" s="14" t="s">
        <v>5110</v>
      </c>
      <c r="C3839" s="85" t="str">
        <f ca="1">IFERROR(__xludf.DUMMYFUNCTION("GOOGLETRANSLATE(B3839:B3854,""RU"",""UK"")"),"Різьблення коротке 1/2""")</f>
        <v>Різьблення коротке 1/2"</v>
      </c>
      <c r="D3839" s="15" t="s">
        <v>6</v>
      </c>
      <c r="E3839" s="15">
        <v>5</v>
      </c>
      <c r="F3839" s="91" t="s">
        <v>5111</v>
      </c>
      <c r="G3839" s="4"/>
      <c r="H3839" s="4"/>
      <c r="I3839" s="4"/>
    </row>
    <row r="3840" spans="1:9" ht="15">
      <c r="A3840" s="21">
        <f t="shared" si="72"/>
        <v>46</v>
      </c>
      <c r="B3840" s="14" t="s">
        <v>5112</v>
      </c>
      <c r="C3840" s="85" t="str">
        <f ca="1">IFERROR(__xludf.DUMMYFUNCTION("GOOGLETRANSLATE(B3840:B3855,""RU"",""UK"")"),"Кутник лат. 1/2"" в.в./1/2"" в.н.")</f>
        <v>Кутник лат. 1/2" в.в./1/2" в.н.</v>
      </c>
      <c r="D3840" s="15" t="s">
        <v>6</v>
      </c>
      <c r="E3840" s="15" t="s">
        <v>5113</v>
      </c>
      <c r="F3840" s="91" t="s">
        <v>5106</v>
      </c>
      <c r="G3840" s="4"/>
      <c r="H3840" s="4"/>
      <c r="I3840" s="4"/>
    </row>
    <row r="3841" spans="1:9" ht="15">
      <c r="A3841" s="21">
        <f t="shared" si="72"/>
        <v>47</v>
      </c>
      <c r="B3841" s="14" t="s">
        <v>5114</v>
      </c>
      <c r="C3841" s="85" t="str">
        <f ca="1">IFERROR(__xludf.DUMMYFUNCTION("GOOGLETRANSLATE(B3841:B3856,""RU"",""UK"")"),"Кутник лат. нік. 3/4"" в.в./3/4"" в.н.")</f>
        <v>Кутник лат. нік. 3/4" в.в./3/4" в.н.</v>
      </c>
      <c r="D3841" s="15" t="s">
        <v>6</v>
      </c>
      <c r="E3841" s="15" t="s">
        <v>4014</v>
      </c>
      <c r="F3841" s="91" t="s">
        <v>5115</v>
      </c>
      <c r="G3841" s="4"/>
      <c r="H3841" s="4"/>
      <c r="I3841" s="4"/>
    </row>
    <row r="3842" spans="1:9" ht="15">
      <c r="A3842" s="21">
        <f t="shared" si="72"/>
        <v>48</v>
      </c>
      <c r="B3842" s="14" t="s">
        <v>5116</v>
      </c>
      <c r="C3842" s="85" t="str">
        <f ca="1">IFERROR(__xludf.DUMMYFUNCTION("GOOGLETRANSLATE(B3842:B3857,""RU"",""UK"")"),"Кутник лат. 3/4"" ст.ст.")</f>
        <v>Кутник лат. 3/4" ст.ст.</v>
      </c>
      <c r="D3842" s="15" t="s">
        <v>6</v>
      </c>
      <c r="E3842" s="15">
        <v>2</v>
      </c>
      <c r="F3842" s="91" t="s">
        <v>5117</v>
      </c>
      <c r="G3842" s="4"/>
      <c r="H3842" s="4"/>
      <c r="I3842" s="4"/>
    </row>
    <row r="3843" spans="1:9" ht="15">
      <c r="A3843" s="21">
        <f t="shared" si="72"/>
        <v>49</v>
      </c>
      <c r="B3843" s="14" t="s">
        <v>5118</v>
      </c>
      <c r="C3843" s="85" t="str">
        <f ca="1">IFERROR(__xludf.DUMMYFUNCTION("GOOGLETRANSLATE(B3843:B3858,""RU"",""UK"")"),"Кутник лат. 1"" в.в./в.н.")</f>
        <v>Кутник лат. 1" в.в./в.н.</v>
      </c>
      <c r="D3843" s="15" t="s">
        <v>6</v>
      </c>
      <c r="E3843" s="15" t="s">
        <v>899</v>
      </c>
      <c r="F3843" s="91">
        <v>15</v>
      </c>
      <c r="G3843" s="4"/>
      <c r="H3843" s="4"/>
      <c r="I3843" s="4"/>
    </row>
    <row r="3844" spans="1:9" ht="15">
      <c r="A3844" s="21">
        <f t="shared" si="72"/>
        <v>50</v>
      </c>
      <c r="B3844" s="14" t="s">
        <v>5119</v>
      </c>
      <c r="C3844" s="85" t="str">
        <f ca="1">IFERROR(__xludf.DUMMYFUNCTION("GOOGLETRANSLATE(B3844:B3859,""RU"",""UK"")"),"Куточок 2"" (ст.в.)")</f>
        <v>Куточок 2" (ст.в.)</v>
      </c>
      <c r="D3844" s="15" t="s">
        <v>6</v>
      </c>
      <c r="E3844" s="15">
        <v>2</v>
      </c>
      <c r="F3844" s="91" t="s">
        <v>5120</v>
      </c>
      <c r="G3844" s="4"/>
      <c r="H3844" s="4"/>
      <c r="I3844" s="4"/>
    </row>
    <row r="3845" spans="1:9" ht="15">
      <c r="A3845" s="21">
        <f t="shared" si="72"/>
        <v>51</v>
      </c>
      <c r="B3845" s="14" t="s">
        <v>5121</v>
      </c>
      <c r="C3845" s="85" t="str">
        <f ca="1">IFERROR(__xludf.DUMMYFUNCTION("GOOGLETRANSLATE(B3845:B3860,""RU"",""UK"")"),"Контргайка 1/2"" бр.")</f>
        <v>Контргайка 1/2" бр.</v>
      </c>
      <c r="D3845" s="15" t="s">
        <v>6</v>
      </c>
      <c r="E3845" s="15">
        <v>53</v>
      </c>
      <c r="F3845" s="91" t="s">
        <v>1292</v>
      </c>
      <c r="G3845" s="4"/>
      <c r="H3845" s="4"/>
      <c r="I3845" s="4"/>
    </row>
    <row r="3846" spans="1:9" ht="15">
      <c r="A3846" s="21">
        <f t="shared" si="72"/>
        <v>52</v>
      </c>
      <c r="B3846" s="14" t="s">
        <v>5122</v>
      </c>
      <c r="C3846" s="85" t="str">
        <f ca="1">IFERROR(__xludf.DUMMYFUNCTION("GOOGLETRANSLATE(B3846:B3861,""RU"",""UK"")"),"Контргайка 3/4"" бр./3/4"" ст.")</f>
        <v>Контргайка 3/4" бр./3/4" ст.</v>
      </c>
      <c r="D3846" s="15" t="s">
        <v>6</v>
      </c>
      <c r="E3846" s="15" t="s">
        <v>5123</v>
      </c>
      <c r="F3846" s="91" t="s">
        <v>5124</v>
      </c>
      <c r="G3846" s="4"/>
      <c r="H3846" s="4"/>
      <c r="I3846" s="4"/>
    </row>
    <row r="3847" spans="1:9" ht="15">
      <c r="A3847" s="21">
        <f t="shared" si="72"/>
        <v>53</v>
      </c>
      <c r="B3847" s="14" t="s">
        <v>5125</v>
      </c>
      <c r="C3847" s="85" t="str">
        <f ca="1">IFERROR(__xludf.DUMMYFUNCTION("GOOGLETRANSLATE(B3847:B3862,""RU"",""UK"")"),"Трійник лат. 1/2 ""(15) в.в.в. / 1/2"" (15) в.н.в. / 1/2 ""(15) н.н.н.")</f>
        <v>Трійник лат. 1/2 "(15) в.в.в. / 1/2" (15) в.н.в. / 1/2 "(15) н.н.н.</v>
      </c>
      <c r="D3847" s="15" t="s">
        <v>6</v>
      </c>
      <c r="E3847" s="15" t="s">
        <v>5126</v>
      </c>
      <c r="F3847" s="91" t="s">
        <v>5120</v>
      </c>
      <c r="G3847" s="4"/>
      <c r="H3847" s="4"/>
      <c r="I3847" s="4"/>
    </row>
    <row r="3848" spans="1:9" ht="15">
      <c r="A3848" s="21">
        <f t="shared" si="72"/>
        <v>54</v>
      </c>
      <c r="B3848" s="14" t="s">
        <v>5127</v>
      </c>
      <c r="C3848" s="85" t="str">
        <f ca="1">IFERROR(__xludf.DUMMYFUNCTION("GOOGLETRANSLATE(B3848:B3863,""RU"",""UK"")"),"Трійник лат. 3/4"" (20х20х20) ст.ст.")</f>
        <v>Трійник лат. 3/4" (20х20х20) ст.ст.</v>
      </c>
      <c r="D3848" s="15" t="s">
        <v>6</v>
      </c>
      <c r="E3848" s="15">
        <v>2</v>
      </c>
      <c r="F3848" s="91" t="s">
        <v>5115</v>
      </c>
      <c r="G3848" s="4"/>
      <c r="H3848" s="4"/>
      <c r="I3848" s="4"/>
    </row>
    <row r="3849" spans="1:9" ht="15">
      <c r="A3849" s="21">
        <f t="shared" si="72"/>
        <v>55</v>
      </c>
      <c r="B3849" s="14" t="s">
        <v>5128</v>
      </c>
      <c r="C3849" s="85" t="str">
        <f ca="1">IFERROR(__xludf.DUMMYFUNCTION("GOOGLETRANSLATE(B3849:B3864,""RU"",""UK"")"),"Трійник бр. 1"" в.в.в.")</f>
        <v>Трійник бр. 1" в.в.в.</v>
      </c>
      <c r="D3849" s="15" t="s">
        <v>6</v>
      </c>
      <c r="E3849" s="15">
        <v>4</v>
      </c>
      <c r="F3849" s="91" t="s">
        <v>5129</v>
      </c>
      <c r="G3849" s="4"/>
      <c r="H3849" s="4"/>
      <c r="I3849" s="4"/>
    </row>
    <row r="3850" spans="1:9" ht="15">
      <c r="A3850" s="21">
        <f t="shared" si="72"/>
        <v>56</v>
      </c>
      <c r="B3850" s="14" t="s">
        <v>5130</v>
      </c>
      <c r="C3850" s="85" t="str">
        <f ca="1">IFERROR(__xludf.DUMMYFUNCTION("GOOGLETRANSLATE(B3850:B3865,""RU"",""UK"")"),"Муфта ТК 16 (1/2"") з вн.рез./нар.рез.")</f>
        <v>Муфта ТК 16 (1/2") з вн.рез./нар.рез.</v>
      </c>
      <c r="D3850" s="15" t="s">
        <v>6</v>
      </c>
      <c r="E3850" s="15" t="s">
        <v>700</v>
      </c>
      <c r="F3850" s="91" t="s">
        <v>5131</v>
      </c>
      <c r="G3850" s="4"/>
      <c r="H3850" s="4"/>
      <c r="I3850" s="4"/>
    </row>
    <row r="3851" spans="1:9" ht="15">
      <c r="A3851" s="21">
        <f t="shared" si="72"/>
        <v>57</v>
      </c>
      <c r="B3851" s="14" t="s">
        <v>5132</v>
      </c>
      <c r="C3851" s="85" t="str">
        <f ca="1">IFERROR(__xludf.DUMMYFUNCTION("GOOGLETRANSLATE(B3851:B3866,""RU"",""UK"")"),"Муфта ТК 20х3/4""вн.р. ТК 20х3/4"" нар.р.")</f>
        <v>Муфта ТК 20х3/4"вн.р. ТК 20х3/4" нар.р.</v>
      </c>
      <c r="D3851" s="15" t="s">
        <v>6</v>
      </c>
      <c r="E3851" s="15" t="s">
        <v>1235</v>
      </c>
      <c r="F3851" s="91" t="s">
        <v>5133</v>
      </c>
      <c r="G3851" s="4"/>
      <c r="H3851" s="4"/>
      <c r="I3851" s="4"/>
    </row>
    <row r="3852" spans="1:9" ht="15">
      <c r="A3852" s="21">
        <f t="shared" si="72"/>
        <v>58</v>
      </c>
      <c r="B3852" s="14" t="s">
        <v>5134</v>
      </c>
      <c r="C3852" s="85" t="str">
        <f ca="1">IFERROR(__xludf.DUMMYFUNCTION("GOOGLETRANSLATE(B3852:B3867,""RU"",""UK"")"),"Муфта ТК 26х1""вн./26х3/4""вн. / 26х3/4""нар.")</f>
        <v>Муфта ТК 26х1"вн./26х3/4"вн. / 26х3/4"нар.</v>
      </c>
      <c r="D3852" s="15" t="s">
        <v>6</v>
      </c>
      <c r="E3852" s="15" t="s">
        <v>5126</v>
      </c>
      <c r="F3852" s="91" t="s">
        <v>5135</v>
      </c>
      <c r="G3852" s="4"/>
      <c r="H3852" s="4"/>
      <c r="I3852" s="4"/>
    </row>
    <row r="3853" spans="1:9" ht="15">
      <c r="A3853" s="21">
        <f t="shared" si="72"/>
        <v>59</v>
      </c>
      <c r="B3853" s="14" t="s">
        <v>5136</v>
      </c>
      <c r="C3853" s="85" t="str">
        <f ca="1">IFERROR(__xludf.DUMMYFUNCTION("GOOGLETRANSLATE(B3853:B3868,""RU"",""UK"")"),"Трійник пром. ТК 16")</f>
        <v>Трійник пром. ТК 16</v>
      </c>
      <c r="D3853" s="15" t="s">
        <v>6</v>
      </c>
      <c r="E3853" s="15">
        <v>6</v>
      </c>
      <c r="F3853" s="91">
        <v>21</v>
      </c>
      <c r="G3853" s="4"/>
      <c r="H3853" s="4"/>
      <c r="I3853" s="4"/>
    </row>
    <row r="3854" spans="1:9" ht="15">
      <c r="A3854" s="21">
        <f t="shared" si="72"/>
        <v>60</v>
      </c>
      <c r="B3854" s="14" t="s">
        <v>5137</v>
      </c>
      <c r="C3854" s="85" t="str">
        <f ca="1">IFERROR(__xludf.DUMMYFUNCTION("GOOGLETRANSLATE(B3854:B3869,""RU"",""UK"")"),"Трійник пром. ПП 20")</f>
        <v>Трійник пром. ПП 20</v>
      </c>
      <c r="D3854" s="15" t="s">
        <v>6</v>
      </c>
      <c r="E3854" s="15">
        <v>12</v>
      </c>
      <c r="F3854" s="91" t="s">
        <v>5138</v>
      </c>
      <c r="G3854" s="4"/>
      <c r="H3854" s="4"/>
      <c r="I3854" s="4"/>
    </row>
    <row r="3855" spans="1:9" ht="15">
      <c r="A3855" s="21">
        <f t="shared" si="72"/>
        <v>61</v>
      </c>
      <c r="B3855" s="14" t="s">
        <v>5139</v>
      </c>
      <c r="C3855" s="85" t="str">
        <f ca="1">IFERROR(__xludf.DUMMYFUNCTION("GOOGLETRANSLATE(B3855:B3870,""RU"",""UK"")"),"Хрестовина ТК 16")</f>
        <v>Хрестовина ТК 16</v>
      </c>
      <c r="D3855" s="15" t="s">
        <v>6</v>
      </c>
      <c r="E3855" s="15">
        <v>5</v>
      </c>
      <c r="F3855" s="91" t="s">
        <v>5140</v>
      </c>
      <c r="G3855" s="4"/>
      <c r="H3855" s="4"/>
      <c r="I3855" s="4"/>
    </row>
    <row r="3856" spans="1:9" ht="15">
      <c r="A3856" s="21">
        <f t="shared" si="72"/>
        <v>62</v>
      </c>
      <c r="B3856" s="14" t="s">
        <v>5141</v>
      </c>
      <c r="C3856" s="85" t="str">
        <f ca="1">IFERROR(__xludf.DUMMYFUNCTION("GOOGLETRANSLATE(B3856:B3871,""RU"",""UK"")"),"Кутник муфта ТК 16")</f>
        <v>Кутник муфта ТК 16</v>
      </c>
      <c r="D3856" s="15" t="s">
        <v>6</v>
      </c>
      <c r="E3856" s="15">
        <v>10</v>
      </c>
      <c r="F3856" s="91" t="s">
        <v>5142</v>
      </c>
      <c r="G3856" s="4"/>
      <c r="H3856" s="4"/>
      <c r="I3856" s="4"/>
    </row>
    <row r="3857" spans="1:9" ht="15">
      <c r="A3857" s="21">
        <f t="shared" si="72"/>
        <v>63</v>
      </c>
      <c r="B3857" s="14" t="s">
        <v>5143</v>
      </c>
      <c r="C3857" s="85" t="str">
        <f ca="1">IFERROR(__xludf.DUMMYFUNCTION("GOOGLETRANSLATE(B3857:B3872,""RU"",""UK"")"),"Кутник муфта з крепл. ТК 16х1/2""")</f>
        <v>Кутник муфта з крепл. ТК 16х1/2"</v>
      </c>
      <c r="D3857" s="15" t="s">
        <v>6</v>
      </c>
      <c r="E3857" s="15">
        <v>18</v>
      </c>
      <c r="F3857" s="91" t="s">
        <v>5144</v>
      </c>
      <c r="G3857" s="4"/>
      <c r="H3857" s="4"/>
      <c r="I3857" s="4"/>
    </row>
    <row r="3858" spans="1:9" ht="15">
      <c r="A3858" s="21">
        <f t="shared" si="72"/>
        <v>64</v>
      </c>
      <c r="B3858" s="14" t="s">
        <v>5145</v>
      </c>
      <c r="C3858" s="85" t="str">
        <f ca="1">IFERROR(__xludf.DUMMYFUNCTION("GOOGLETRANSLATE(B3858:B3873,""RU"",""UK"")"),"Кутник муфта ТК 20")</f>
        <v>Кутник муфта ТК 20</v>
      </c>
      <c r="D3858" s="15" t="s">
        <v>6</v>
      </c>
      <c r="E3858" s="15">
        <v>6</v>
      </c>
      <c r="F3858" s="91" t="s">
        <v>5146</v>
      </c>
      <c r="G3858" s="4"/>
      <c r="H3858" s="4"/>
      <c r="I3858" s="4"/>
    </row>
    <row r="3859" spans="1:9" ht="15">
      <c r="A3859" s="21">
        <f t="shared" si="72"/>
        <v>65</v>
      </c>
      <c r="B3859" s="14" t="s">
        <v>5147</v>
      </c>
      <c r="C3859" s="85" t="str">
        <f ca="1">IFERROR(__xludf.DUMMYFUNCTION("GOOGLETRANSLATE(B3859:B3874,""RU"",""UK"")"),"Муфта перехідна бр. 1""х3/4"" / 1""х1/2""")</f>
        <v>Муфта перехідна бр. 1"х3/4" / 1"х1/2"</v>
      </c>
      <c r="D3859" s="15" t="s">
        <v>6</v>
      </c>
      <c r="E3859" s="15" t="s">
        <v>700</v>
      </c>
      <c r="F3859" s="91" t="s">
        <v>5104</v>
      </c>
      <c r="G3859" s="4"/>
      <c r="H3859" s="4"/>
      <c r="I3859" s="4"/>
    </row>
    <row r="3860" spans="1:9" ht="15">
      <c r="A3860" s="21">
        <f t="shared" si="72"/>
        <v>66</v>
      </c>
      <c r="B3860" s="14" t="s">
        <v>5148</v>
      </c>
      <c r="C3860" s="85" t="str">
        <f ca="1">IFERROR(__xludf.DUMMYFUNCTION("GOOGLETRANSLATE(B3860:B3875,""RU"",""UK"")"),"Муфта бр. 15мм")</f>
        <v>Муфта бр. 15мм</v>
      </c>
      <c r="D3860" s="15" t="s">
        <v>6</v>
      </c>
      <c r="E3860" s="15">
        <v>10</v>
      </c>
      <c r="F3860" s="91" t="s">
        <v>5106</v>
      </c>
      <c r="G3860" s="4"/>
      <c r="H3860" s="4"/>
      <c r="I3860" s="4"/>
    </row>
    <row r="3861" spans="1:9" ht="15">
      <c r="A3861" s="21">
        <f t="shared" ref="A3861:A3894" si="73">A3860+1</f>
        <v>67</v>
      </c>
      <c r="B3861" s="14" t="s">
        <v>5149</v>
      </c>
      <c r="C3861" s="85" t="str">
        <f ca="1">IFERROR(__xludf.DUMMYFUNCTION("GOOGLETRANSLATE(B3861:B3876,""RU"",""UK"")"),"Муфта бр. 20мм")</f>
        <v>Муфта бр. 20мм</v>
      </c>
      <c r="D3861" s="15" t="s">
        <v>6</v>
      </c>
      <c r="E3861" s="15">
        <v>11</v>
      </c>
      <c r="F3861" s="91">
        <v>6</v>
      </c>
      <c r="G3861" s="4"/>
      <c r="H3861" s="4"/>
      <c r="I3861" s="4"/>
    </row>
    <row r="3862" spans="1:9" ht="15">
      <c r="A3862" s="21">
        <f t="shared" si="73"/>
        <v>68</v>
      </c>
      <c r="B3862" s="14" t="s">
        <v>5150</v>
      </c>
      <c r="C3862" s="85" t="str">
        <f ca="1">IFERROR(__xludf.DUMMYFUNCTION("GOOGLETRANSLATE(B3862:B3877,""RU"",""UK"")"),"Муфта 25мм")</f>
        <v>Муфта 25мм</v>
      </c>
      <c r="D3862" s="15" t="s">
        <v>6</v>
      </c>
      <c r="E3862" s="15">
        <v>6</v>
      </c>
      <c r="F3862" s="91" t="s">
        <v>1391</v>
      </c>
      <c r="G3862" s="4"/>
      <c r="H3862" s="4"/>
      <c r="I3862" s="4"/>
    </row>
    <row r="3863" spans="1:9" ht="15">
      <c r="A3863" s="21">
        <f t="shared" si="73"/>
        <v>69</v>
      </c>
      <c r="B3863" s="14" t="s">
        <v>5151</v>
      </c>
      <c r="C3863" s="85" t="str">
        <f ca="1">IFERROR(__xludf.DUMMYFUNCTION("GOOGLETRANSLATE(B3863:B3878,""RU"",""UK"")"),"Корок 1/2вн. / 1/2нар.")</f>
        <v>Корок 1/2вн. / 1/2нар.</v>
      </c>
      <c r="D3863" s="15" t="s">
        <v>6</v>
      </c>
      <c r="E3863" s="15" t="s">
        <v>5152</v>
      </c>
      <c r="F3863" s="91">
        <v>3</v>
      </c>
      <c r="G3863" s="4"/>
      <c r="H3863" s="4"/>
      <c r="I3863" s="4"/>
    </row>
    <row r="3864" spans="1:9" ht="15">
      <c r="A3864" s="21">
        <f t="shared" si="73"/>
        <v>70</v>
      </c>
      <c r="B3864" s="14" t="s">
        <v>5153</v>
      </c>
      <c r="C3864" s="85" t="str">
        <f ca="1">IFERROR(__xludf.DUMMYFUNCTION("GOOGLETRANSLATE(B3864:B3879,""RU"",""UK"")"),"Корок бронза 1/2вн. / 1/2нар.")</f>
        <v>Корок бронза 1/2вн. / 1/2нар.</v>
      </c>
      <c r="D3864" s="15" t="s">
        <v>6</v>
      </c>
      <c r="E3864" s="15" t="s">
        <v>5154</v>
      </c>
      <c r="F3864" s="91" t="s">
        <v>5155</v>
      </c>
      <c r="G3864" s="4"/>
      <c r="H3864" s="4"/>
      <c r="I3864" s="4"/>
    </row>
    <row r="3865" spans="1:9" ht="15">
      <c r="A3865" s="21">
        <f t="shared" si="73"/>
        <v>71</v>
      </c>
      <c r="B3865" s="14" t="s">
        <v>5156</v>
      </c>
      <c r="C3865" s="85" t="str">
        <f ca="1">IFERROR(__xludf.DUMMYFUNCTION("GOOGLETRANSLATE(B3865:B3880,""RU"",""UK"")"),"Пробка радіаторна (футорка глуха) пр./лев.")</f>
        <v>Пробка радіаторна (футорка глуха) пр./лев.</v>
      </c>
      <c r="D3865" s="15" t="s">
        <v>6</v>
      </c>
      <c r="E3865" s="15" t="s">
        <v>1005</v>
      </c>
      <c r="F3865" s="91" t="s">
        <v>5157</v>
      </c>
      <c r="G3865" s="4"/>
      <c r="H3865" s="4"/>
      <c r="I3865" s="4"/>
    </row>
    <row r="3866" spans="1:9" ht="15">
      <c r="A3866" s="21">
        <f t="shared" si="73"/>
        <v>72</v>
      </c>
      <c r="B3866" s="14" t="s">
        <v>5158</v>
      </c>
      <c r="C3866" s="85" t="str">
        <f ca="1">IFERROR(__xludf.DUMMYFUNCTION("GOOGLETRANSLATE(B3866:B3881,""RU"",""UK"")"),"Ніпель радіаторний 32мм")</f>
        <v>Ніпель радіаторний 32мм</v>
      </c>
      <c r="D3866" s="15" t="s">
        <v>6</v>
      </c>
      <c r="E3866" s="15">
        <v>20</v>
      </c>
      <c r="F3866" s="91" t="s">
        <v>5159</v>
      </c>
      <c r="G3866" s="4"/>
      <c r="H3866" s="4"/>
      <c r="I3866" s="4"/>
    </row>
    <row r="3867" spans="1:9" ht="15">
      <c r="A3867" s="21">
        <f t="shared" si="73"/>
        <v>73</v>
      </c>
      <c r="B3867" s="14" t="s">
        <v>5160</v>
      </c>
      <c r="C3867" s="85" t="str">
        <f ca="1">IFERROR(__xludf.DUMMYFUNCTION("GOOGLETRANSLATE(B3867:B3882,""RU"",""UK"")"),"Відведення 15мм кован.")</f>
        <v>Відведення 15мм кован.</v>
      </c>
      <c r="D3867" s="15" t="s">
        <v>6</v>
      </c>
      <c r="E3867" s="15">
        <v>6</v>
      </c>
      <c r="F3867" s="91" t="s">
        <v>286</v>
      </c>
      <c r="G3867" s="4"/>
      <c r="H3867" s="4"/>
      <c r="I3867" s="4"/>
    </row>
    <row r="3868" spans="1:9" ht="15">
      <c r="A3868" s="21">
        <f t="shared" si="73"/>
        <v>74</v>
      </c>
      <c r="B3868" s="14" t="s">
        <v>5161</v>
      </c>
      <c r="C3868" s="85" t="str">
        <f ca="1">IFERROR(__xludf.DUMMYFUNCTION("GOOGLETRANSLATE(B3868:B3883,""RU"",""UK"")"),"Перехід сталевих. 108х89/135х108")</f>
        <v>Перехід сталевих. 108х89/135х108</v>
      </c>
      <c r="D3868" s="15" t="s">
        <v>6</v>
      </c>
      <c r="E3868" s="15" t="s">
        <v>1005</v>
      </c>
      <c r="F3868" s="91" t="s">
        <v>5162</v>
      </c>
      <c r="G3868" s="4"/>
      <c r="H3868" s="4"/>
      <c r="I3868" s="4"/>
    </row>
    <row r="3869" spans="1:9" ht="15">
      <c r="A3869" s="21">
        <f t="shared" si="73"/>
        <v>75</v>
      </c>
      <c r="B3869" s="14" t="s">
        <v>5163</v>
      </c>
      <c r="C3869" s="85" t="str">
        <f ca="1">IFERROR(__xludf.DUMMYFUNCTION("GOOGLETRANSLATE(B3869:B3884,""RU"",""UK"")"),"Клапан муфт. бр. 3/4""")</f>
        <v>Клапан муфт. бр. 3/4"</v>
      </c>
      <c r="D3869" s="15" t="s">
        <v>6</v>
      </c>
      <c r="E3869" s="15">
        <v>1</v>
      </c>
      <c r="F3869" s="91" t="s">
        <v>253</v>
      </c>
      <c r="G3869" s="4"/>
      <c r="H3869" s="4"/>
      <c r="I3869" s="4"/>
    </row>
    <row r="3870" spans="1:9" ht="15">
      <c r="A3870" s="21">
        <f t="shared" si="73"/>
        <v>76</v>
      </c>
      <c r="B3870" s="14" t="s">
        <v>5164</v>
      </c>
      <c r="C3870" s="85" t="str">
        <f ca="1">IFERROR(__xludf.DUMMYFUNCTION("GOOGLETRANSLATE(B3870:B3885,""RU"",""UK"")"),"Клапан муфт. бр. 1"" / 1 1/2""")</f>
        <v>Клапан муфт. бр. 1" / 1 1/2"</v>
      </c>
      <c r="D3870" s="15" t="s">
        <v>6</v>
      </c>
      <c r="E3870" s="15" t="s">
        <v>749</v>
      </c>
      <c r="F3870" s="91" t="s">
        <v>5165</v>
      </c>
      <c r="G3870" s="4"/>
      <c r="H3870" s="4"/>
      <c r="I3870" s="4"/>
    </row>
    <row r="3871" spans="1:9" ht="15">
      <c r="A3871" s="21">
        <f t="shared" si="73"/>
        <v>77</v>
      </c>
      <c r="B3871" s="14" t="s">
        <v>5166</v>
      </c>
      <c r="C3871" s="85" t="str">
        <f ca="1">IFERROR(__xludf.DUMMYFUNCTION("GOOGLETRANSLATE(B3871:B3886,""RU"",""UK"")"),"Клапан муфт. бр. підйомний 40мм 1 1/2""")</f>
        <v>Клапан муфт. бр. підйомний 40мм 1 1/2"</v>
      </c>
      <c r="D3871" s="15" t="s">
        <v>6</v>
      </c>
      <c r="E3871" s="15">
        <v>1</v>
      </c>
      <c r="F3871" s="91" t="s">
        <v>327</v>
      </c>
      <c r="G3871" s="4"/>
      <c r="H3871" s="4"/>
      <c r="I3871" s="4"/>
    </row>
    <row r="3872" spans="1:9" ht="15">
      <c r="A3872" s="21">
        <f t="shared" si="73"/>
        <v>78</v>
      </c>
      <c r="B3872" s="14" t="s">
        <v>5167</v>
      </c>
      <c r="C3872" s="85" t="str">
        <f ca="1">IFERROR(__xludf.DUMMYFUNCTION("GOOGLETRANSLATE(B3872:B3887,""RU"",""UK"")"),"Клапан флан. чуг. підйомний 32мм РУ25/40мм РУ25")</f>
        <v>Клапан флан. чуг. підйомний 32мм РУ25/40мм РУ25</v>
      </c>
      <c r="D3872" s="15" t="s">
        <v>6</v>
      </c>
      <c r="E3872" s="15" t="s">
        <v>1200</v>
      </c>
      <c r="F3872" s="91" t="s">
        <v>63</v>
      </c>
      <c r="G3872" s="4"/>
      <c r="H3872" s="4"/>
      <c r="I3872" s="4"/>
    </row>
    <row r="3873" spans="1:9" ht="15">
      <c r="A3873" s="21">
        <f t="shared" si="73"/>
        <v>79</v>
      </c>
      <c r="B3873" s="14" t="s">
        <v>5168</v>
      </c>
      <c r="C3873" s="85" t="str">
        <f ca="1">IFERROR(__xludf.DUMMYFUNCTION("GOOGLETRANSLATE(B3873:B3888,""RU"",""UK"")"),"Клапан флан. чуг. підйомний 40мм РУ16/50мм 2"" РУ16")</f>
        <v>Клапан флан. чуг. підйомний 40мм РУ16/50мм 2" РУ16</v>
      </c>
      <c r="D3873" s="15" t="s">
        <v>6</v>
      </c>
      <c r="E3873" s="15" t="s">
        <v>774</v>
      </c>
      <c r="F3873" s="91" t="s">
        <v>102</v>
      </c>
      <c r="G3873" s="4"/>
      <c r="H3873" s="4"/>
      <c r="I3873" s="4"/>
    </row>
    <row r="3874" spans="1:9" ht="15">
      <c r="A3874" s="21">
        <f t="shared" si="73"/>
        <v>80</v>
      </c>
      <c r="B3874" s="14" t="s">
        <v>5169</v>
      </c>
      <c r="C3874" s="85" t="str">
        <f ca="1">IFERROR(__xludf.DUMMYFUNCTION("GOOGLETRANSLATE(B3874:B3889,""RU"",""UK"")"),"Клапан флан. чуг. підйомний 50мм 2"" РУ40")</f>
        <v>Клапан флан. чуг. підйомний 50мм 2" РУ40</v>
      </c>
      <c r="D3874" s="15" t="s">
        <v>6</v>
      </c>
      <c r="E3874" s="15">
        <v>1</v>
      </c>
      <c r="F3874" s="91" t="s">
        <v>80</v>
      </c>
      <c r="G3874" s="4"/>
      <c r="H3874" s="4"/>
      <c r="I3874" s="4"/>
    </row>
    <row r="3875" spans="1:9" ht="15">
      <c r="A3875" s="21">
        <f t="shared" si="73"/>
        <v>81</v>
      </c>
      <c r="B3875" s="14" t="s">
        <v>5170</v>
      </c>
      <c r="C3875" s="85" t="str">
        <f ca="1">IFERROR(__xludf.DUMMYFUNCTION("GOOGLETRANSLATE(B3875:B3890,""RU"",""UK"")"),"Труба PPR 20х3, 4 (dy-15)")</f>
        <v>Труба PPR 20х3, 4 (dy-15)</v>
      </c>
      <c r="D3875" s="15" t="s">
        <v>634</v>
      </c>
      <c r="E3875" s="15">
        <v>12</v>
      </c>
      <c r="F3875" s="91" t="s">
        <v>5171</v>
      </c>
      <c r="G3875" s="4"/>
      <c r="H3875" s="4"/>
      <c r="I3875" s="4"/>
    </row>
    <row r="3876" spans="1:9" ht="15">
      <c r="A3876" s="21">
        <f t="shared" si="73"/>
        <v>82</v>
      </c>
      <c r="B3876" s="14" t="s">
        <v>5172</v>
      </c>
      <c r="C3876" s="85" t="str">
        <f ca="1">IFERROR(__xludf.DUMMYFUNCTION("GOOGLETRANSLATE(B3876:B3891,""RU"",""UK"")"),"Коліно РР 110х90""/110х45""")</f>
        <v>Коліно РР 110х90"/110х45"</v>
      </c>
      <c r="D3876" s="15" t="s">
        <v>6</v>
      </c>
      <c r="E3876" s="15">
        <v>20</v>
      </c>
      <c r="F3876" s="91">
        <v>9</v>
      </c>
      <c r="G3876" s="4"/>
      <c r="H3876" s="4"/>
      <c r="I3876" s="4"/>
    </row>
    <row r="3877" spans="1:9" ht="15">
      <c r="A3877" s="21">
        <f t="shared" si="73"/>
        <v>83</v>
      </c>
      <c r="B3877" s="14" t="s">
        <v>5173</v>
      </c>
      <c r="C3877" s="85" t="str">
        <f ca="1">IFERROR(__xludf.DUMMYFUNCTION("GOOGLETRANSLATE(B3877:B3892,""RU"",""UK"")"),"Коліно РР 50х90""/50х45""")</f>
        <v>Коліно РР 50х90"/50х45"</v>
      </c>
      <c r="D3877" s="15" t="s">
        <v>6</v>
      </c>
      <c r="E3877" s="15">
        <v>20</v>
      </c>
      <c r="F3877" s="91" t="s">
        <v>5174</v>
      </c>
      <c r="G3877" s="4"/>
      <c r="H3877" s="4"/>
      <c r="I3877" s="4"/>
    </row>
    <row r="3878" spans="1:9" ht="15">
      <c r="A3878" s="21">
        <f t="shared" si="73"/>
        <v>84</v>
      </c>
      <c r="B3878" s="14" t="s">
        <v>5175</v>
      </c>
      <c r="C3878" s="85" t="str">
        <f ca="1">IFERROR(__xludf.DUMMYFUNCTION("GOOGLETRANSLATE(B3878:B3893,""RU"",""UK"")"),"Редукції (чуг./пл.) 124х110")</f>
        <v>Редукції (чуг./пл.) 124х110</v>
      </c>
      <c r="D3878" s="15" t="s">
        <v>6</v>
      </c>
      <c r="E3878" s="15">
        <v>1</v>
      </c>
      <c r="F3878" s="91" t="s">
        <v>5106</v>
      </c>
      <c r="G3878" s="4"/>
      <c r="H3878" s="4"/>
      <c r="I3878" s="4"/>
    </row>
    <row r="3879" spans="1:9" ht="15">
      <c r="A3879" s="21">
        <f t="shared" si="73"/>
        <v>85</v>
      </c>
      <c r="B3879" s="14" t="s">
        <v>5176</v>
      </c>
      <c r="C3879" s="85" t="str">
        <f ca="1">IFERROR(__xludf.DUMMYFUNCTION("GOOGLETRANSLATE(B3879:B3894,""RU"",""UK"")"),"Трійник РР 110х110х90")</f>
        <v>Трійник РР 110х110х90</v>
      </c>
      <c r="D3879" s="15" t="s">
        <v>6</v>
      </c>
      <c r="E3879" s="15">
        <v>2</v>
      </c>
      <c r="F3879" s="91" t="s">
        <v>5177</v>
      </c>
      <c r="G3879" s="4"/>
      <c r="H3879" s="4"/>
      <c r="I3879" s="4"/>
    </row>
    <row r="3880" spans="1:9" ht="15">
      <c r="A3880" s="21">
        <f t="shared" si="73"/>
        <v>86</v>
      </c>
      <c r="B3880" s="14" t="s">
        <v>5178</v>
      </c>
      <c r="C3880" s="85" t="str">
        <f ca="1">IFERROR(__xludf.DUMMYFUNCTION("GOOGLETRANSLATE(B3880:B3895,""RU"",""UK"")"),"Трійник РР 110х50х90")</f>
        <v>Трійник РР 110х50х90</v>
      </c>
      <c r="D3880" s="15" t="s">
        <v>6</v>
      </c>
      <c r="E3880" s="15">
        <v>1</v>
      </c>
      <c r="F3880" s="91">
        <v>12</v>
      </c>
      <c r="G3880" s="4"/>
      <c r="H3880" s="4"/>
      <c r="I3880" s="4"/>
    </row>
    <row r="3881" spans="1:9" ht="15">
      <c r="A3881" s="21">
        <f t="shared" si="73"/>
        <v>87</v>
      </c>
      <c r="B3881" s="14" t="s">
        <v>5179</v>
      </c>
      <c r="C3881" s="85" t="str">
        <f ca="1">IFERROR(__xludf.DUMMYFUNCTION("GOOGLETRANSLATE(B3881:B3896,""RU"",""UK"")"),"Трійник РР 110х110х45")</f>
        <v>Трійник РР 110х110х45</v>
      </c>
      <c r="D3881" s="15" t="s">
        <v>6</v>
      </c>
      <c r="E3881" s="15">
        <v>1</v>
      </c>
      <c r="F3881" s="91" t="s">
        <v>5133</v>
      </c>
      <c r="G3881" s="4"/>
      <c r="H3881" s="4"/>
      <c r="I3881" s="4"/>
    </row>
    <row r="3882" spans="1:9" ht="15">
      <c r="A3882" s="21">
        <f t="shared" si="73"/>
        <v>88</v>
      </c>
      <c r="B3882" s="14" t="s">
        <v>5180</v>
      </c>
      <c r="C3882" s="85" t="str">
        <f ca="1">IFERROR(__xludf.DUMMYFUNCTION("GOOGLETRANSLATE(B3882:B3897,""RU"",""UK"")"),"Трійник РР 50х50х90/50х50х45")</f>
        <v>Трійник РР 50х50х90/50х50х45</v>
      </c>
      <c r="D3882" s="15" t="s">
        <v>6</v>
      </c>
      <c r="E3882" s="15" t="s">
        <v>2589</v>
      </c>
      <c r="F3882" s="91" t="s">
        <v>5159</v>
      </c>
      <c r="G3882" s="4"/>
      <c r="H3882" s="4"/>
      <c r="I3882" s="4"/>
    </row>
    <row r="3883" spans="1:9" ht="15">
      <c r="A3883" s="21">
        <f t="shared" si="73"/>
        <v>89</v>
      </c>
      <c r="B3883" s="14" t="s">
        <v>5181</v>
      </c>
      <c r="C3883" s="85" t="str">
        <f ca="1">IFERROR(__xludf.DUMMYFUNCTION("GOOGLETRANSLATE(B3883:B3898,""RU"",""UK"")"),"Хрестовина 50х50х90")</f>
        <v>Хрестовина 50х50х90</v>
      </c>
      <c r="D3883" s="15" t="s">
        <v>6</v>
      </c>
      <c r="E3883" s="15">
        <v>2</v>
      </c>
      <c r="F3883" s="91" t="s">
        <v>5133</v>
      </c>
      <c r="G3883" s="4"/>
      <c r="H3883" s="4"/>
      <c r="I3883" s="4"/>
    </row>
    <row r="3884" spans="1:9" ht="15">
      <c r="A3884" s="21">
        <f t="shared" si="73"/>
        <v>90</v>
      </c>
      <c r="B3884" s="14" t="s">
        <v>5182</v>
      </c>
      <c r="C3884" s="85" t="str">
        <f ca="1">IFERROR(__xludf.DUMMYFUNCTION("GOOGLETRANSLATE(B3884:B3899,""RU"",""UK"")"),"Хрестовина РР 110х110х90")</f>
        <v>Хрестовина РР 110х110х90</v>
      </c>
      <c r="D3884" s="15" t="s">
        <v>6</v>
      </c>
      <c r="E3884" s="15">
        <v>2</v>
      </c>
      <c r="F3884" s="91" t="s">
        <v>5183</v>
      </c>
      <c r="G3884" s="4"/>
      <c r="H3884" s="4"/>
      <c r="I3884" s="4"/>
    </row>
    <row r="3885" spans="1:9" ht="15">
      <c r="A3885" s="21">
        <f t="shared" si="73"/>
        <v>91</v>
      </c>
      <c r="B3885" s="14" t="s">
        <v>5184</v>
      </c>
      <c r="C3885" s="85" t="str">
        <f ca="1">IFERROR(__xludf.DUMMYFUNCTION("GOOGLETRANSLATE(B3885:B3900,""RU"",""UK"")"),"Заглушка РР 110мм/50мм")</f>
        <v>Заглушка РР 110мм/50мм</v>
      </c>
      <c r="D3885" s="15" t="s">
        <v>6</v>
      </c>
      <c r="E3885" s="15" t="s">
        <v>3202</v>
      </c>
      <c r="F3885" s="91" t="s">
        <v>5185</v>
      </c>
      <c r="G3885" s="4"/>
      <c r="H3885" s="4"/>
      <c r="I3885" s="4"/>
    </row>
    <row r="3886" spans="1:9" ht="15">
      <c r="A3886" s="21">
        <f t="shared" si="73"/>
        <v>92</v>
      </c>
      <c r="B3886" s="14" t="s">
        <v>5186</v>
      </c>
      <c r="C3886" s="85" t="str">
        <f ca="1">IFERROR(__xludf.DUMMYFUNCTION("GOOGLETRANSLATE(B3886:B3901,""RU"",""UK"")"),"Кріплення для умивальника / унітазу")</f>
        <v>Кріплення для умивальника / унітазу</v>
      </c>
      <c r="D3886" s="15" t="s">
        <v>4370</v>
      </c>
      <c r="E3886" s="15" t="s">
        <v>5187</v>
      </c>
      <c r="F3886" s="91" t="s">
        <v>5188</v>
      </c>
      <c r="G3886" s="4"/>
      <c r="H3886" s="4"/>
      <c r="I3886" s="4"/>
    </row>
    <row r="3887" spans="1:9" ht="15">
      <c r="A3887" s="21">
        <f t="shared" si="73"/>
        <v>93</v>
      </c>
      <c r="B3887" s="14" t="s">
        <v>5189</v>
      </c>
      <c r="C3887" s="85" t="str">
        <f ca="1">IFERROR(__xludf.DUMMYFUNCTION("GOOGLETRANSLATE(B3887:B3902,""RU"",""UK"")"),"Кріплення для труб ПХВ 110мм (компл.) / 50мм (компл.)")</f>
        <v>Кріплення для труб ПХВ 110мм (компл.) / 50мм (компл.)</v>
      </c>
      <c r="D3887" s="15" t="s">
        <v>6</v>
      </c>
      <c r="E3887" s="15">
        <v>1</v>
      </c>
      <c r="F3887" s="91" t="s">
        <v>5190</v>
      </c>
      <c r="G3887" s="4"/>
      <c r="H3887" s="4"/>
      <c r="I3887" s="4"/>
    </row>
    <row r="3888" spans="1:9" ht="15">
      <c r="A3888" s="21">
        <f t="shared" si="73"/>
        <v>94</v>
      </c>
      <c r="B3888" s="14" t="s">
        <v>5191</v>
      </c>
      <c r="C3888" s="85" t="str">
        <f ca="1">IFERROR(__xludf.DUMMYFUNCTION("GOOGLETRANSLATE(B3888:B3903,""RU"",""UK"")"),"Кріплення труб метал. 110 (компл.) / 50мм (компл.)")</f>
        <v>Кріплення труб метал. 110 (компл.) / 50мм (компл.)</v>
      </c>
      <c r="D3888" s="15" t="s">
        <v>6</v>
      </c>
      <c r="E3888" s="15" t="s">
        <v>749</v>
      </c>
      <c r="F3888" s="91" t="s">
        <v>5192</v>
      </c>
      <c r="G3888" s="4"/>
      <c r="H3888" s="4"/>
      <c r="I3888" s="4"/>
    </row>
    <row r="3889" spans="1:9" ht="15">
      <c r="A3889" s="21">
        <f t="shared" si="73"/>
        <v>95</v>
      </c>
      <c r="B3889" s="14" t="s">
        <v>5193</v>
      </c>
      <c r="C3889" s="85" t="str">
        <f ca="1">IFERROR(__xludf.DUMMYFUNCTION("GOOGLETRANSLATE(B3889:B3904,""RU"",""UK"")"),"Штуцер бр. 3/4 (20мм) н./вн.")</f>
        <v>Штуцер бр. 3/4 (20мм) н./вн.</v>
      </c>
      <c r="D3889" s="15" t="s">
        <v>6</v>
      </c>
      <c r="E3889" s="15" t="s">
        <v>3140</v>
      </c>
      <c r="F3889" s="91" t="s">
        <v>5194</v>
      </c>
      <c r="G3889" s="4"/>
      <c r="H3889" s="4"/>
      <c r="I3889" s="4"/>
    </row>
    <row r="3890" spans="1:9" ht="15">
      <c r="A3890" s="21">
        <f t="shared" si="73"/>
        <v>96</v>
      </c>
      <c r="B3890" s="14" t="s">
        <v>5195</v>
      </c>
      <c r="C3890" s="85" t="str">
        <f ca="1">IFERROR(__xludf.DUMMYFUNCTION("GOOGLETRANSLATE(B3890:B3905,""RU"",""UK"")"),"Штуцер бр. 1/2 (20мм) н.")</f>
        <v>Штуцер бр. 1/2 (20мм) н.</v>
      </c>
      <c r="D3890" s="15" t="s">
        <v>6</v>
      </c>
      <c r="E3890" s="15">
        <v>7</v>
      </c>
      <c r="F3890" s="91" t="s">
        <v>5159</v>
      </c>
      <c r="G3890" s="4"/>
      <c r="H3890" s="4"/>
      <c r="I3890" s="4"/>
    </row>
    <row r="3891" spans="1:9" ht="15">
      <c r="A3891" s="21">
        <f t="shared" si="73"/>
        <v>97</v>
      </c>
      <c r="B3891" s="14" t="s">
        <v>5196</v>
      </c>
      <c r="C3891" s="85" t="str">
        <f ca="1">IFERROR(__xludf.DUMMYFUNCTION("GOOGLETRANSLATE(B3891:B3906,""RU"",""UK"")"),"Штуцер бр. 1/2 (16мм) н.")</f>
        <v>Штуцер бр. 1/2 (16мм) н.</v>
      </c>
      <c r="D3891" s="15" t="s">
        <v>6</v>
      </c>
      <c r="E3891" s="15">
        <v>16</v>
      </c>
      <c r="F3891" s="91" t="s">
        <v>5197</v>
      </c>
      <c r="G3891" s="4"/>
      <c r="H3891" s="4"/>
      <c r="I3891" s="4"/>
    </row>
    <row r="3892" spans="1:9" ht="15">
      <c r="A3892" s="21">
        <f t="shared" si="73"/>
        <v>98</v>
      </c>
      <c r="B3892" s="14" t="s">
        <v>5198</v>
      </c>
      <c r="C3892" s="85" t="str">
        <f ca="1">IFERROR(__xludf.DUMMYFUNCTION("GOOGLETRANSLATE(B3892:B3907,""RU"",""UK"")"),"Штуцер бр. 1/2 (12мм) н. /внутр. Р.")</f>
        <v>Штуцер бр. 1/2 (12мм) н. /внутр. Р.</v>
      </c>
      <c r="D3892" s="15" t="s">
        <v>6</v>
      </c>
      <c r="E3892" s="15" t="s">
        <v>942</v>
      </c>
      <c r="F3892" s="91" t="s">
        <v>5197</v>
      </c>
      <c r="G3892" s="4"/>
      <c r="H3892" s="4"/>
      <c r="I3892" s="4"/>
    </row>
    <row r="3893" spans="1:9" ht="15">
      <c r="A3893" s="21">
        <f t="shared" si="73"/>
        <v>99</v>
      </c>
      <c r="B3893" s="14" t="s">
        <v>5199</v>
      </c>
      <c r="C3893" s="85" t="str">
        <f ca="1">IFERROR(__xludf.DUMMYFUNCTION("GOOGLETRANSLATE(B3893:B3908,""RU"",""UK"")"),"Штуцер бр. 1/2 (10мм) нар. Різьблення. /внутр.")</f>
        <v>Штуцер бр. 1/2 (10мм) нар. Різьблення. /внутр.</v>
      </c>
      <c r="D3893" s="15" t="s">
        <v>6</v>
      </c>
      <c r="E3893" s="15" t="s">
        <v>5154</v>
      </c>
      <c r="F3893" s="91" t="s">
        <v>5197</v>
      </c>
      <c r="G3893" s="4"/>
      <c r="H3893" s="4"/>
      <c r="I3893" s="4"/>
    </row>
    <row r="3894" spans="1:9" ht="15">
      <c r="A3894" s="21">
        <f t="shared" si="73"/>
        <v>100</v>
      </c>
      <c r="B3894" s="14" t="s">
        <v>5200</v>
      </c>
      <c r="C3894" s="115" t="str">
        <f ca="1">IFERROR(__xludf.DUMMYFUNCTION("GOOGLETRANSLATE(B3894:B3909,""RU"",""UK"")"),"Штуцер бр. 1/2 (8мм) нар. Різьблення. /внутр.")</f>
        <v>Штуцер бр. 1/2 (8мм) нар. Різьблення. /внутр.</v>
      </c>
      <c r="D3894" s="15" t="s">
        <v>6</v>
      </c>
      <c r="E3894" s="15" t="s">
        <v>3140</v>
      </c>
      <c r="F3894" s="91" t="s">
        <v>5197</v>
      </c>
      <c r="G3894" s="4"/>
      <c r="H3894" s="4"/>
      <c r="I3894" s="4"/>
    </row>
    <row r="3895" spans="1:9" ht="15">
      <c r="A3895" s="68"/>
      <c r="B3895" s="69"/>
      <c r="C3895" s="119" t="s">
        <v>6053</v>
      </c>
      <c r="D3895" s="69"/>
      <c r="E3895" s="69"/>
      <c r="F3895" s="106"/>
      <c r="G3895" s="4"/>
      <c r="H3895" s="4"/>
      <c r="I3895" s="4"/>
    </row>
    <row r="3896" spans="1:9" ht="15">
      <c r="A3896" s="13">
        <v>1</v>
      </c>
      <c r="B3896" s="16" t="s">
        <v>5201</v>
      </c>
      <c r="C3896" s="47" t="str">
        <f ca="1">IFERROR(__xludf.DUMMYFUNCTION("GOOGLETRANSLATE(B3896:B3911,""RU"",""UK"")"),"Замок навісний 50мм")</f>
        <v>Замок навісний 50мм</v>
      </c>
      <c r="D3896" s="15" t="s">
        <v>6</v>
      </c>
      <c r="E3896" s="15">
        <v>2</v>
      </c>
      <c r="F3896" s="91" t="s">
        <v>1990</v>
      </c>
      <c r="G3896" s="4"/>
      <c r="H3896" s="4"/>
      <c r="I3896" s="4"/>
    </row>
    <row r="3897" spans="1:9" ht="15">
      <c r="A3897" s="13">
        <f>A3896+1</f>
        <v>2</v>
      </c>
      <c r="B3897" s="14" t="s">
        <v>5202</v>
      </c>
      <c r="C3897" s="85" t="str">
        <f ca="1">IFERROR(__xludf.DUMMYFUNCTION("GOOGLETRANSLATE(B3897:B3912,""RU"",""UK"")"),"Замок навісний 70мм")</f>
        <v>Замок навісний 70мм</v>
      </c>
      <c r="D3897" s="15" t="s">
        <v>6</v>
      </c>
      <c r="E3897" s="15">
        <v>6</v>
      </c>
      <c r="F3897" s="91" t="s">
        <v>119</v>
      </c>
      <c r="G3897" s="4"/>
      <c r="H3897" s="4"/>
      <c r="I3897" s="4"/>
    </row>
    <row r="3898" spans="1:9" ht="15">
      <c r="A3898" s="21">
        <f t="shared" ref="A3898:A3931" si="74">A3897+1</f>
        <v>3</v>
      </c>
      <c r="B3898" s="14" t="s">
        <v>5203</v>
      </c>
      <c r="C3898" s="85" t="str">
        <f ca="1">IFERROR(__xludf.DUMMYFUNCTION("GOOGLETRANSLATE(B3898:B3913,""RU"",""UK"")"),"Гаражний замок")</f>
        <v>Гаражний замок</v>
      </c>
      <c r="D3898" s="15" t="s">
        <v>6</v>
      </c>
      <c r="E3898" s="15">
        <v>3</v>
      </c>
      <c r="F3898" s="91" t="s">
        <v>272</v>
      </c>
      <c r="G3898" s="4"/>
      <c r="H3898" s="4"/>
      <c r="I3898" s="4"/>
    </row>
    <row r="3899" spans="1:9" ht="15">
      <c r="A3899" s="21">
        <f t="shared" si="74"/>
        <v>4</v>
      </c>
      <c r="B3899" s="14" t="s">
        <v>5204</v>
      </c>
      <c r="C3899" s="85" t="str">
        <f ca="1">IFERROR(__xludf.DUMMYFUNCTION("GOOGLETRANSLATE(B3899:B3914,""RU"",""UK"")"),"Шпінгалет врізний дверний")</f>
        <v>Шпінгалет врізний дверний</v>
      </c>
      <c r="D3899" s="15" t="s">
        <v>6</v>
      </c>
      <c r="E3899" s="15">
        <v>26</v>
      </c>
      <c r="F3899" s="91" t="s">
        <v>253</v>
      </c>
      <c r="G3899" s="4"/>
      <c r="H3899" s="4"/>
      <c r="I3899" s="4"/>
    </row>
    <row r="3900" spans="1:9" ht="15">
      <c r="A3900" s="21">
        <f t="shared" si="74"/>
        <v>5</v>
      </c>
      <c r="B3900" s="14" t="s">
        <v>5205</v>
      </c>
      <c r="C3900" s="85" t="str">
        <f ca="1">IFERROR(__xludf.DUMMYFUNCTION("GOOGLETRANSLATE(B3900:B3915,""RU"",""UK"")"),"Петля вікон. 85мм лев./прав.")</f>
        <v>Петля вікон. 85мм лев./прав.</v>
      </c>
      <c r="D3900" s="15" t="s">
        <v>6</v>
      </c>
      <c r="E3900" s="15" t="s">
        <v>5206</v>
      </c>
      <c r="F3900" s="91" t="s">
        <v>1294</v>
      </c>
      <c r="G3900" s="4"/>
      <c r="H3900" s="4"/>
      <c r="I3900" s="4"/>
    </row>
    <row r="3901" spans="1:9" ht="15">
      <c r="A3901" s="21">
        <f t="shared" si="74"/>
        <v>6</v>
      </c>
      <c r="B3901" s="14" t="s">
        <v>5207</v>
      </c>
      <c r="C3901" s="85" t="str">
        <f ca="1">IFERROR(__xludf.DUMMYFUNCTION("GOOGLETRANSLATE(B3901:B3916,""RU"",""UK"")"),"Петля дверна 100мм прав/лев.")</f>
        <v>Петля дверна 100мм прав/лев.</v>
      </c>
      <c r="D3901" s="15" t="s">
        <v>6</v>
      </c>
      <c r="E3901" s="15" t="s">
        <v>937</v>
      </c>
      <c r="F3901" s="91" t="s">
        <v>286</v>
      </c>
      <c r="G3901" s="4"/>
      <c r="H3901" s="4"/>
      <c r="I3901" s="4"/>
    </row>
    <row r="3902" spans="1:9" ht="15">
      <c r="A3902" s="21">
        <f t="shared" si="74"/>
        <v>7</v>
      </c>
      <c r="B3902" s="14" t="s">
        <v>5208</v>
      </c>
      <c r="C3902" s="85" t="str">
        <f ca="1">IFERROR(__xludf.DUMMYFUNCTION("GOOGLETRANSLATE(B3902:B3917,""RU"",""UK"")"),"Петля дверна 110мм прав. / лів.оц.")</f>
        <v>Петля дверна 110мм прав. / лів.оц.</v>
      </c>
      <c r="D3902" s="15" t="s">
        <v>6</v>
      </c>
      <c r="E3902" s="15" t="s">
        <v>5209</v>
      </c>
      <c r="F3902" s="91" t="s">
        <v>417</v>
      </c>
      <c r="G3902" s="4"/>
      <c r="H3902" s="4"/>
      <c r="I3902" s="4"/>
    </row>
    <row r="3903" spans="1:9" ht="15">
      <c r="A3903" s="21">
        <f t="shared" si="74"/>
        <v>8</v>
      </c>
      <c r="B3903" s="14" t="s">
        <v>5210</v>
      </c>
      <c r="C3903" s="85" t="str">
        <f ca="1">IFERROR(__xludf.DUMMYFUNCTION("GOOGLETRANSLATE(B3903:B3918,""RU"",""UK"")"),"Петля дверна 110мм прав/лев.")</f>
        <v>Петля дверна 110мм прав/лев.</v>
      </c>
      <c r="D3903" s="15" t="s">
        <v>6</v>
      </c>
      <c r="E3903" s="15" t="s">
        <v>5211</v>
      </c>
      <c r="F3903" s="91" t="s">
        <v>4377</v>
      </c>
      <c r="G3903" s="4"/>
      <c r="H3903" s="4"/>
      <c r="I3903" s="4"/>
    </row>
    <row r="3904" spans="1:9" ht="15">
      <c r="A3904" s="21">
        <f t="shared" si="74"/>
        <v>9</v>
      </c>
      <c r="B3904" s="14" t="s">
        <v>5212</v>
      </c>
      <c r="C3904" s="85" t="str">
        <f ca="1">IFERROR(__xludf.DUMMYFUNCTION("GOOGLETRANSLATE(B3904:B3919,""RU"",""UK"")"),"Петля дверна 110мм обміднена прав.")</f>
        <v>Петля дверна 110мм обміднена прав.</v>
      </c>
      <c r="D3904" s="15" t="s">
        <v>6</v>
      </c>
      <c r="E3904" s="15">
        <v>8</v>
      </c>
      <c r="F3904" s="91" t="s">
        <v>134</v>
      </c>
      <c r="G3904" s="4"/>
      <c r="H3904" s="4"/>
      <c r="I3904" s="4"/>
    </row>
    <row r="3905" spans="1:9" ht="15">
      <c r="A3905" s="21">
        <f t="shared" si="74"/>
        <v>10</v>
      </c>
      <c r="B3905" s="14" t="s">
        <v>5213</v>
      </c>
      <c r="C3905" s="85" t="str">
        <f ca="1">IFERROR(__xludf.DUMMYFUNCTION("GOOGLETRANSLATE(B3905:B3920,""RU"",""UK"")"),"Петля дверна 110мм обміднена лев.")</f>
        <v>Петля дверна 110мм обміднена лев.</v>
      </c>
      <c r="D3905" s="15" t="s">
        <v>6</v>
      </c>
      <c r="E3905" s="15">
        <v>2</v>
      </c>
      <c r="F3905" s="91" t="s">
        <v>134</v>
      </c>
      <c r="G3905" s="4"/>
      <c r="H3905" s="4"/>
      <c r="I3905" s="4"/>
    </row>
    <row r="3906" spans="1:9" ht="15">
      <c r="A3906" s="21">
        <f t="shared" si="74"/>
        <v>11</v>
      </c>
      <c r="B3906" s="14" t="s">
        <v>5214</v>
      </c>
      <c r="C3906" s="85" t="str">
        <f ca="1">IFERROR(__xludf.DUMMYFUNCTION("GOOGLETRANSLATE(B3906:B3921,""RU"",""UK"")"),"Петля дверна 140мм прав. оцинк.")</f>
        <v>Петля дверна 140мм прав. оцинк.</v>
      </c>
      <c r="D3906" s="15" t="s">
        <v>6</v>
      </c>
      <c r="E3906" s="15">
        <v>57</v>
      </c>
      <c r="F3906" s="91" t="s">
        <v>292</v>
      </c>
      <c r="G3906" s="4"/>
      <c r="H3906" s="4"/>
      <c r="I3906" s="4"/>
    </row>
    <row r="3907" spans="1:9" ht="15">
      <c r="A3907" s="21">
        <f t="shared" si="74"/>
        <v>12</v>
      </c>
      <c r="B3907" s="14" t="s">
        <v>5215</v>
      </c>
      <c r="C3907" s="85" t="str">
        <f ca="1">IFERROR(__xludf.DUMMYFUNCTION("GOOGLETRANSLATE(B3907:B3922,""RU"",""UK"")"),"Петля дверна 140мм прав/лев.")</f>
        <v>Петля дверна 140мм прав/лев.</v>
      </c>
      <c r="D3907" s="15" t="s">
        <v>6</v>
      </c>
      <c r="E3907" s="15" t="s">
        <v>5216</v>
      </c>
      <c r="F3907" s="91" t="s">
        <v>417</v>
      </c>
      <c r="G3907" s="4"/>
      <c r="H3907" s="4"/>
      <c r="I3907" s="4"/>
    </row>
    <row r="3908" spans="1:9" ht="15">
      <c r="A3908" s="21">
        <f t="shared" si="74"/>
        <v>13</v>
      </c>
      <c r="B3908" s="47" t="s">
        <v>5217</v>
      </c>
      <c r="C3908" s="85" t="str">
        <f ca="1">IFERROR(__xludf.DUMMYFUNCTION("GOOGLETRANSLATE(B3908:B3923,""RU"",""UK"")"),"Ручка дверна велика (метал + ПХВ)")</f>
        <v>Ручка дверна велика (метал + ПХВ)</v>
      </c>
      <c r="D3908" s="15" t="s">
        <v>6</v>
      </c>
      <c r="E3908" s="15">
        <v>28</v>
      </c>
      <c r="F3908" s="91" t="s">
        <v>304</v>
      </c>
      <c r="G3908" s="4"/>
      <c r="H3908" s="4"/>
      <c r="I3908" s="4"/>
    </row>
    <row r="3909" spans="1:9" ht="15">
      <c r="A3909" s="21">
        <f t="shared" si="74"/>
        <v>14</v>
      </c>
      <c r="B3909" s="14" t="s">
        <v>5218</v>
      </c>
      <c r="C3909" s="85" t="str">
        <f ca="1">IFERROR(__xludf.DUMMYFUNCTION("GOOGLETRANSLATE(B3909:B3924,""RU"",""UK"")"),"Ручка дверна мала (метал)")</f>
        <v>Ручка дверна мала (метал)</v>
      </c>
      <c r="D3909" s="15" t="s">
        <v>6</v>
      </c>
      <c r="E3909" s="15">
        <v>79</v>
      </c>
      <c r="F3909" s="91" t="s">
        <v>167</v>
      </c>
      <c r="G3909" s="4"/>
      <c r="H3909" s="4"/>
      <c r="I3909" s="4"/>
    </row>
    <row r="3910" spans="1:9" ht="15">
      <c r="A3910" s="21">
        <f t="shared" si="74"/>
        <v>15</v>
      </c>
      <c r="B3910" s="14" t="s">
        <v>5219</v>
      </c>
      <c r="C3910" s="85" t="str">
        <f ca="1">IFERROR(__xludf.DUMMYFUNCTION("GOOGLETRANSLATE(B3910:B3925,""RU"",""UK"")"),"Ізолента ПХВ 20м")</f>
        <v>Ізолента ПХВ 20м</v>
      </c>
      <c r="D3910" s="15" t="s">
        <v>6</v>
      </c>
      <c r="E3910" s="15">
        <v>146</v>
      </c>
      <c r="F3910" s="91" t="s">
        <v>292</v>
      </c>
      <c r="G3910" s="4"/>
      <c r="H3910" s="4"/>
      <c r="I3910" s="4"/>
    </row>
    <row r="3911" spans="1:9" ht="15">
      <c r="A3911" s="21">
        <f t="shared" si="74"/>
        <v>16</v>
      </c>
      <c r="B3911" s="14" t="s">
        <v>5220</v>
      </c>
      <c r="C3911" s="85" t="str">
        <f ca="1">IFERROR(__xludf.DUMMYFUNCTION("GOOGLETRANSLATE(B3911:B3926,""RU"",""UK"")"),"Ізолента ПХВ імп")</f>
        <v>Ізолента ПХВ імп</v>
      </c>
      <c r="D3911" s="15" t="s">
        <v>6</v>
      </c>
      <c r="E3911" s="15">
        <v>5</v>
      </c>
      <c r="F3911" s="91" t="s">
        <v>167</v>
      </c>
      <c r="G3911" s="4"/>
      <c r="H3911" s="4"/>
      <c r="I3911" s="4"/>
    </row>
    <row r="3912" spans="1:9" ht="15">
      <c r="A3912" s="21">
        <f t="shared" si="74"/>
        <v>17</v>
      </c>
      <c r="B3912" s="14" t="s">
        <v>5221</v>
      </c>
      <c r="C3912" s="85" t="str">
        <f ca="1">IFERROR(__xludf.DUMMYFUNCTION("GOOGLETRANSLATE(B3912:B3927,""RU"",""UK"")"),"Знак аварійної зупинки у футлярі")</f>
        <v>Знак аварійної зупинки у футлярі</v>
      </c>
      <c r="D3912" s="15" t="s">
        <v>6</v>
      </c>
      <c r="E3912" s="15">
        <v>3</v>
      </c>
      <c r="F3912" s="91" t="s">
        <v>338</v>
      </c>
      <c r="G3912" s="4"/>
      <c r="H3912" s="4"/>
      <c r="I3912" s="4"/>
    </row>
    <row r="3913" spans="1:9" ht="15">
      <c r="A3913" s="21">
        <f t="shared" si="74"/>
        <v>18</v>
      </c>
      <c r="B3913" s="45" t="s">
        <v>5222</v>
      </c>
      <c r="C3913" s="85" t="str">
        <f ca="1">IFERROR(__xludf.DUMMYFUNCTION("GOOGLETRANSLATE(B3913:B3928,""RU"",""UK"")"),"Мітла дереза")</f>
        <v>Мітла дереза</v>
      </c>
      <c r="D3913" s="15" t="s">
        <v>6</v>
      </c>
      <c r="E3913" s="15">
        <v>255</v>
      </c>
      <c r="F3913" s="92" t="s">
        <v>5223</v>
      </c>
      <c r="G3913" s="4"/>
      <c r="H3913" s="4"/>
      <c r="I3913" s="4"/>
    </row>
    <row r="3914" spans="1:9" ht="15">
      <c r="A3914" s="21">
        <f t="shared" si="74"/>
        <v>19</v>
      </c>
      <c r="B3914" s="16" t="s">
        <v>5224</v>
      </c>
      <c r="C3914" s="85" t="str">
        <f ca="1">IFERROR(__xludf.DUMMYFUNCTION("GOOGLETRANSLATE(B3914:B3929,""RU"",""UK"")"),"Віник сорго широкий")</f>
        <v>Віник сорго широкий</v>
      </c>
      <c r="D3914" s="15" t="s">
        <v>6</v>
      </c>
      <c r="E3914" s="15">
        <v>27</v>
      </c>
      <c r="F3914" s="91" t="s">
        <v>2106</v>
      </c>
      <c r="G3914" s="4"/>
      <c r="H3914" s="4"/>
      <c r="I3914" s="4"/>
    </row>
    <row r="3915" spans="1:9" ht="15">
      <c r="A3915" s="21">
        <f t="shared" si="74"/>
        <v>20</v>
      </c>
      <c r="B3915" s="16" t="s">
        <v>5225</v>
      </c>
      <c r="C3915" s="85" t="str">
        <f ca="1">IFERROR(__xludf.DUMMYFUNCTION("GOOGLETRANSLATE(B3915:B3930,""RU"",""UK"")"),"Ганчір'я трикотаж б/п / (Білізна бавовна)")</f>
        <v>Ганчір'я трикотаж б/п / (Білізна бавовна)</v>
      </c>
      <c r="D3915" s="15" t="s">
        <v>130</v>
      </c>
      <c r="E3915" s="15">
        <v>50</v>
      </c>
      <c r="F3915" s="91" t="s">
        <v>167</v>
      </c>
      <c r="G3915" s="4"/>
      <c r="H3915" s="4"/>
      <c r="I3915" s="4"/>
    </row>
    <row r="3916" spans="1:9" ht="15">
      <c r="A3916" s="21">
        <f t="shared" si="74"/>
        <v>21</v>
      </c>
      <c r="B3916" s="14" t="s">
        <v>5226</v>
      </c>
      <c r="C3916" s="85" t="str">
        <f ca="1">IFERROR(__xludf.DUMMYFUNCTION("GOOGLETRANSLATE(B3916:B3931,""RU"",""UK"")"),"Скотч 45мм (300м) прозорий")</f>
        <v>Скотч 45мм (300м) прозорий</v>
      </c>
      <c r="D3916" s="15" t="s">
        <v>6</v>
      </c>
      <c r="E3916" s="15">
        <v>2</v>
      </c>
      <c r="F3916" s="91" t="s">
        <v>5227</v>
      </c>
      <c r="G3916" s="4"/>
      <c r="H3916" s="4"/>
      <c r="I3916" s="4"/>
    </row>
    <row r="3917" spans="1:9" ht="15">
      <c r="A3917" s="21">
        <f t="shared" si="74"/>
        <v>22</v>
      </c>
      <c r="B3917" s="16" t="s">
        <v>5228</v>
      </c>
      <c r="C3917" s="85" t="str">
        <f ca="1">IFERROR(__xludf.DUMMYFUNCTION("GOOGLETRANSLATE(B3917:B3932,""RU"",""UK"")"),"Стретч плівка 500мм (300м) чорний")</f>
        <v>Стретч плівка 500мм (300м) чорний</v>
      </c>
      <c r="D3917" s="15" t="s">
        <v>6</v>
      </c>
      <c r="E3917" s="15">
        <v>5</v>
      </c>
      <c r="F3917" s="91" t="s">
        <v>1704</v>
      </c>
      <c r="G3917" s="4"/>
      <c r="H3917" s="4"/>
      <c r="I3917" s="4"/>
    </row>
    <row r="3918" spans="1:9" ht="15">
      <c r="A3918" s="21">
        <f t="shared" si="74"/>
        <v>23</v>
      </c>
      <c r="B3918" s="16" t="s">
        <v>5229</v>
      </c>
      <c r="C3918" s="85" t="str">
        <f ca="1">IFERROR(__xludf.DUMMYFUNCTION("GOOGLETRANSLATE(B3918:B3933,""RU"",""UK"")"),"Шпагат капроновий (1,6 кг)")</f>
        <v>Шпагат капроновий (1,6 кг)</v>
      </c>
      <c r="D3918" s="15" t="s">
        <v>6</v>
      </c>
      <c r="E3918" s="15">
        <v>4</v>
      </c>
      <c r="F3918" s="91" t="s">
        <v>515</v>
      </c>
      <c r="G3918" s="4"/>
      <c r="H3918" s="4"/>
      <c r="I3918" s="4"/>
    </row>
    <row r="3919" spans="1:9" ht="15">
      <c r="A3919" s="21">
        <f t="shared" si="74"/>
        <v>24</v>
      </c>
      <c r="B3919" s="14" t="s">
        <v>5230</v>
      </c>
      <c r="C3919" s="85" t="str">
        <f ca="1">IFERROR(__xludf.DUMMYFUNCTION("GOOGLETRANSLATE(B3919:B3934,""RU"",""UK"")"),"Канат сезалевий 23мм")</f>
        <v>Канат сезалевий 23мм</v>
      </c>
      <c r="D3919" s="15" t="s">
        <v>634</v>
      </c>
      <c r="E3919" s="15">
        <v>25</v>
      </c>
      <c r="F3919" s="91" t="s">
        <v>5231</v>
      </c>
      <c r="G3919" s="4"/>
      <c r="H3919" s="4"/>
      <c r="I3919" s="4"/>
    </row>
    <row r="3920" spans="1:9" ht="15">
      <c r="A3920" s="21">
        <f t="shared" si="74"/>
        <v>25</v>
      </c>
      <c r="B3920" s="16" t="s">
        <v>5232</v>
      </c>
      <c r="C3920" s="85" t="str">
        <f ca="1">IFERROR(__xludf.DUMMYFUNCTION("GOOGLETRANSLATE(B3920:B3935,""RU"",""UK"")"),"Клей ""88"" 100мл")</f>
        <v>Клей "88" 100мл</v>
      </c>
      <c r="D3920" s="15" t="s">
        <v>6</v>
      </c>
      <c r="E3920" s="15">
        <v>6</v>
      </c>
      <c r="F3920" s="91" t="s">
        <v>226</v>
      </c>
      <c r="G3920" s="4"/>
      <c r="H3920" s="4"/>
      <c r="I3920" s="4"/>
    </row>
    <row r="3921" spans="1:9" ht="15">
      <c r="A3921" s="21">
        <f t="shared" si="74"/>
        <v>26</v>
      </c>
      <c r="B3921" s="19" t="s">
        <v>5233</v>
      </c>
      <c r="C3921" s="85" t="str">
        <f ca="1">IFERROR(__xludf.DUMMYFUNCTION("GOOGLETRANSLATE(B3921:B3936,""RU"",""UK"")"),"Клей Момент 125мл")</f>
        <v>Клей Момент 125мл</v>
      </c>
      <c r="D3921" s="15" t="s">
        <v>6</v>
      </c>
      <c r="E3921" s="15">
        <v>0</v>
      </c>
      <c r="F3921" s="91" t="s">
        <v>346</v>
      </c>
      <c r="G3921" s="4"/>
      <c r="H3921" s="4"/>
      <c r="I3921" s="4"/>
    </row>
    <row r="3922" spans="1:9" ht="15">
      <c r="A3922" s="21">
        <f t="shared" si="74"/>
        <v>27</v>
      </c>
      <c r="B3922" s="16" t="s">
        <v>5234</v>
      </c>
      <c r="C3922" s="85" t="str">
        <f ca="1">IFERROR(__xludf.DUMMYFUNCTION("GOOGLETRANSLATE(B3922:B3937,""RU"",""UK"")"),"Клей Момент 30мол")</f>
        <v>Клей Момент 30мол</v>
      </c>
      <c r="D3922" s="15" t="s">
        <v>6</v>
      </c>
      <c r="E3922" s="15">
        <v>24</v>
      </c>
      <c r="F3922" s="91" t="s">
        <v>314</v>
      </c>
      <c r="G3922" s="4"/>
      <c r="H3922" s="4"/>
      <c r="I3922" s="4"/>
    </row>
    <row r="3923" spans="1:9" ht="15">
      <c r="A3923" s="21">
        <f t="shared" si="74"/>
        <v>28</v>
      </c>
      <c r="B3923" s="14" t="s">
        <v>5235</v>
      </c>
      <c r="C3923" s="85" t="str">
        <f ca="1">IFERROR(__xludf.DUMMYFUNCTION("GOOGLETRANSLATE(B3923:B3938,""RU"",""UK"")"),"Клей Супер момент")</f>
        <v>Клей Супер момент</v>
      </c>
      <c r="D3923" s="15" t="s">
        <v>6</v>
      </c>
      <c r="E3923" s="15">
        <v>5</v>
      </c>
      <c r="F3923" s="91" t="s">
        <v>693</v>
      </c>
      <c r="G3923" s="4"/>
      <c r="H3923" s="4"/>
      <c r="I3923" s="4"/>
    </row>
    <row r="3924" spans="1:9" ht="15">
      <c r="A3924" s="21">
        <f t="shared" si="74"/>
        <v>29</v>
      </c>
      <c r="B3924" s="19" t="s">
        <v>5236</v>
      </c>
      <c r="C3924" s="85" t="str">
        <f ca="1">IFERROR(__xludf.DUMMYFUNCTION("GOOGLETRANSLATE(B3924:B3939,""RU"",""UK"")"),"Герметик термостійкий (червоний) туб-125мл")</f>
        <v>Герметик термостійкий (червоний) туб-125мл</v>
      </c>
      <c r="D3924" s="15" t="s">
        <v>6</v>
      </c>
      <c r="E3924" s="15">
        <v>0</v>
      </c>
      <c r="F3924" s="91" t="s">
        <v>5237</v>
      </c>
      <c r="G3924" s="4"/>
      <c r="H3924" s="4"/>
      <c r="I3924" s="4"/>
    </row>
    <row r="3925" spans="1:9" ht="15">
      <c r="A3925" s="21">
        <f t="shared" si="74"/>
        <v>30</v>
      </c>
      <c r="B3925" s="14" t="s">
        <v>5238</v>
      </c>
      <c r="C3925" s="85" t="str">
        <f ca="1">IFERROR(__xludf.DUMMYFUNCTION("GOOGLETRANSLATE(B3925:B3940,""RU"",""UK"")"),"Силікон проз.")</f>
        <v>Силікон проз.</v>
      </c>
      <c r="D3925" s="15" t="s">
        <v>6</v>
      </c>
      <c r="E3925" s="15">
        <v>0</v>
      </c>
      <c r="F3925" s="91">
        <v>0</v>
      </c>
      <c r="G3925" s="4"/>
      <c r="H3925" s="4"/>
      <c r="I3925" s="4"/>
    </row>
    <row r="3926" spans="1:9" ht="15">
      <c r="A3926" s="21">
        <f t="shared" si="74"/>
        <v>31</v>
      </c>
      <c r="B3926" s="14" t="s">
        <v>5239</v>
      </c>
      <c r="C3926" s="85" t="str">
        <f ca="1">IFERROR(__xludf.DUMMYFUNCTION("GOOGLETRANSLATE(B3926:B3941,""RU"",""UK"")"),"Стрічка ""ФУМ"" 19мм х 15м х 0,2мм")</f>
        <v>Стрічка "ФУМ" 19мм х 15м х 0,2мм</v>
      </c>
      <c r="D3926" s="15" t="s">
        <v>5240</v>
      </c>
      <c r="E3926" s="15">
        <v>10</v>
      </c>
      <c r="F3926" s="91" t="s">
        <v>201</v>
      </c>
      <c r="G3926" s="4"/>
      <c r="H3926" s="4"/>
      <c r="I3926" s="4"/>
    </row>
    <row r="3927" spans="1:9" ht="15">
      <c r="A3927" s="21">
        <f t="shared" si="74"/>
        <v>32</v>
      </c>
      <c r="B3927" s="14" t="s">
        <v>5241</v>
      </c>
      <c r="C3927" s="85" t="str">
        <f ca="1">IFERROR(__xludf.DUMMYFUNCTION("GOOGLETRANSLATE(B3927:B3942,""RU"",""UK"")"),"Відро будівельне 12л.")</f>
        <v>Відро будівельне 12л.</v>
      </c>
      <c r="D3927" s="15" t="s">
        <v>6</v>
      </c>
      <c r="E3927" s="15">
        <v>0</v>
      </c>
      <c r="F3927" s="91">
        <v>0</v>
      </c>
      <c r="G3927" s="4"/>
      <c r="H3927" s="4"/>
      <c r="I3927" s="4"/>
    </row>
    <row r="3928" spans="1:9" ht="15">
      <c r="A3928" s="21">
        <f t="shared" si="74"/>
        <v>33</v>
      </c>
      <c r="B3928" s="14" t="s">
        <v>5242</v>
      </c>
      <c r="C3928" s="85" t="str">
        <f ca="1">IFERROR(__xludf.DUMMYFUNCTION("GOOGLETRANSLATE(B3928:B3943,""RU"",""UK"")"),"Відро будівельне 16л.")</f>
        <v>Відро будівельне 16л.</v>
      </c>
      <c r="D3928" s="15" t="s">
        <v>6</v>
      </c>
      <c r="E3928" s="15">
        <v>0</v>
      </c>
      <c r="F3928" s="91">
        <v>0</v>
      </c>
      <c r="G3928" s="4"/>
      <c r="H3928" s="4"/>
      <c r="I3928" s="4"/>
    </row>
    <row r="3929" spans="1:9" ht="15">
      <c r="A3929" s="21">
        <f t="shared" si="74"/>
        <v>34</v>
      </c>
      <c r="B3929" s="14" t="s">
        <v>5243</v>
      </c>
      <c r="C3929" s="85" t="str">
        <f ca="1">IFERROR(__xludf.DUMMYFUNCTION("GOOGLETRANSLATE(B3929:B3944,""RU"",""UK"")"),"Мішок п/п")</f>
        <v>Мішок п/п</v>
      </c>
      <c r="D3929" s="15" t="s">
        <v>6</v>
      </c>
      <c r="E3929" s="15">
        <v>55</v>
      </c>
      <c r="F3929" s="91" t="s">
        <v>5244</v>
      </c>
      <c r="G3929" s="4"/>
      <c r="H3929" s="4"/>
      <c r="I3929" s="4"/>
    </row>
    <row r="3930" spans="1:9" ht="15">
      <c r="A3930" s="21">
        <f t="shared" si="74"/>
        <v>35</v>
      </c>
      <c r="B3930" s="14" t="s">
        <v>5245</v>
      </c>
      <c r="C3930" s="85" t="str">
        <f ca="1">IFERROR(__xludf.DUMMYFUNCTION("GOOGLETRANSLATE(B3930:B3945,""RU"",""UK"")"),"Вантус")</f>
        <v>Вантус</v>
      </c>
      <c r="D3930" s="15" t="s">
        <v>6</v>
      </c>
      <c r="E3930" s="15">
        <v>2</v>
      </c>
      <c r="F3930" s="91" t="s">
        <v>5246</v>
      </c>
      <c r="G3930" s="4"/>
      <c r="H3930" s="4"/>
      <c r="I3930" s="4"/>
    </row>
    <row r="3931" spans="1:9" ht="15">
      <c r="A3931" s="21">
        <f t="shared" si="74"/>
        <v>36</v>
      </c>
      <c r="B3931" s="14" t="s">
        <v>5247</v>
      </c>
      <c r="C3931" s="115" t="str">
        <f ca="1">IFERROR(__xludf.DUMMYFUNCTION("GOOGLETRANSLATE(B3931:B3946,""RU"",""UK"")"),"Сітка-фільтр латунна")</f>
        <v>Сітка-фільтр латунна</v>
      </c>
      <c r="D3931" s="15" t="s">
        <v>5248</v>
      </c>
      <c r="E3931" s="15" t="s">
        <v>5249</v>
      </c>
      <c r="F3931" s="91" t="s">
        <v>119</v>
      </c>
      <c r="G3931" s="4"/>
      <c r="H3931" s="4"/>
      <c r="I3931" s="4"/>
    </row>
    <row r="3932" spans="1:9" ht="15">
      <c r="A3932" s="68"/>
      <c r="B3932" s="69"/>
      <c r="C3932" s="119" t="s">
        <v>6054</v>
      </c>
      <c r="D3932" s="69"/>
      <c r="E3932" s="69"/>
      <c r="F3932" s="106"/>
      <c r="G3932" s="4"/>
      <c r="H3932" s="4"/>
      <c r="I3932" s="4"/>
    </row>
    <row r="3933" spans="1:9" ht="15">
      <c r="A3933" s="13">
        <v>1</v>
      </c>
      <c r="B3933" s="14" t="s">
        <v>5250</v>
      </c>
      <c r="C3933" s="47" t="str">
        <f ca="1">IFERROR(__xludf.DUMMYFUNCTION("GOOGLETRANSLATE(B3933:B3948,""RU"",""UK"")"),"Рукав напірний гум. металокорд МБС d=6х16мм(2,2х2шт+3,7х3шт)")</f>
        <v>Рукав напірний гум. металокорд МБС d=6х16мм(2,2х2шт+3,7х3шт)</v>
      </c>
      <c r="D3933" s="15" t="s">
        <v>634</v>
      </c>
      <c r="E3933" s="15" t="s">
        <v>5251</v>
      </c>
      <c r="F3933" s="91" t="s">
        <v>134</v>
      </c>
      <c r="G3933" s="4"/>
      <c r="H3933" s="4"/>
      <c r="I3933" s="4"/>
    </row>
    <row r="3934" spans="1:9" ht="15">
      <c r="A3934" s="13">
        <f>A3933+1</f>
        <v>2</v>
      </c>
      <c r="B3934" s="14" t="s">
        <v>5252</v>
      </c>
      <c r="C3934" s="85" t="str">
        <f ca="1">IFERROR(__xludf.DUMMYFUNCTION("GOOGLETRANSLATE(B3934:B3949,""RU"",""UK"")"),"РУКАВ ПНЕВМАТИЧНИЙ ПН-18-1,5 (16А)")</f>
        <v>РУКАВ ПНЕВМАТИЧНИЙ ПН-18-1,5 (16А)</v>
      </c>
      <c r="D3934" s="15" t="s">
        <v>634</v>
      </c>
      <c r="E3934" s="15">
        <v>40</v>
      </c>
      <c r="F3934" s="91" t="s">
        <v>1967</v>
      </c>
      <c r="G3934" s="4"/>
      <c r="H3934" s="4"/>
      <c r="I3934" s="4"/>
    </row>
    <row r="3935" spans="1:9" ht="15">
      <c r="A3935" s="21">
        <f t="shared" ref="A3935:A3985" si="75">A3934+1</f>
        <v>3</v>
      </c>
      <c r="B3935" s="14" t="s">
        <v>5253</v>
      </c>
      <c r="C3935" s="85" t="str">
        <f ca="1">IFERROR(__xludf.DUMMYFUNCTION("GOOGLETRANSLATE(B3935:B3950,""RU"",""UK"")"),"Рукав напірно-всмоктувач. гумовий МБС d=38мм (20м+х10м)")</f>
        <v>Рукав напірно-всмоктувач. гумовий МБС d=38мм (20м+х10м)</v>
      </c>
      <c r="D3935" s="15" t="s">
        <v>634</v>
      </c>
      <c r="E3935" s="15">
        <v>30</v>
      </c>
      <c r="F3935" s="91" t="s">
        <v>136</v>
      </c>
      <c r="G3935" s="4"/>
      <c r="H3935" s="4"/>
      <c r="I3935" s="4"/>
    </row>
    <row r="3936" spans="1:9" ht="15">
      <c r="A3936" s="21">
        <f t="shared" si="75"/>
        <v>4</v>
      </c>
      <c r="B3936" s="14" t="s">
        <v>5254</v>
      </c>
      <c r="C3936" s="85" t="str">
        <f ca="1">IFERROR(__xludf.DUMMYFUNCTION("GOOGLETRANSLATE(B3936:B3951,""RU"",""UK"")"),"Трубка полівінілхлоридна прозор. 6х1")</f>
        <v>Трубка полівінілхлоридна прозор. 6х1</v>
      </c>
      <c r="D3936" s="15" t="s">
        <v>634</v>
      </c>
      <c r="E3936" s="15">
        <v>43</v>
      </c>
      <c r="F3936" s="91" t="s">
        <v>646</v>
      </c>
      <c r="G3936" s="4"/>
      <c r="H3936" s="4"/>
      <c r="I3936" s="4"/>
    </row>
    <row r="3937" spans="1:9" ht="15">
      <c r="A3937" s="21">
        <f t="shared" si="75"/>
        <v>5</v>
      </c>
      <c r="B3937" s="14" t="s">
        <v>5255</v>
      </c>
      <c r="C3937" s="85" t="str">
        <f ca="1">IFERROR(__xludf.DUMMYFUNCTION("GOOGLETRANSLATE(B3937:B3952,""RU"",""UK"")"),"Пароніт ПОН - 0,8мм")</f>
        <v>Пароніт ПОН - 0,8мм</v>
      </c>
      <c r="D3937" s="15" t="s">
        <v>130</v>
      </c>
      <c r="E3937" s="15" t="s">
        <v>5256</v>
      </c>
      <c r="F3937" s="91" t="s">
        <v>185</v>
      </c>
      <c r="G3937" s="4"/>
      <c r="H3937" s="4"/>
      <c r="I3937" s="4"/>
    </row>
    <row r="3938" spans="1:9" ht="15">
      <c r="A3938" s="21">
        <f t="shared" si="75"/>
        <v>6</v>
      </c>
      <c r="B3938" s="14" t="s">
        <v>5257</v>
      </c>
      <c r="C3938" s="85" t="str">
        <f ca="1">IFERROR(__xludf.DUMMYFUNCTION("GOOGLETRANSLATE(B3938:B3953,""RU"",""UK"")"),"Пароніт ПОН - 5мм (1,77х2,2м)")</f>
        <v>Пароніт ПОН - 5мм (1,77х2,2м)</v>
      </c>
      <c r="D3938" s="15" t="s">
        <v>130</v>
      </c>
      <c r="E3938" s="15">
        <v>34</v>
      </c>
      <c r="F3938" s="91" t="s">
        <v>557</v>
      </c>
      <c r="G3938" s="4"/>
      <c r="H3938" s="4"/>
      <c r="I3938" s="4"/>
    </row>
    <row r="3939" spans="1:9" ht="15">
      <c r="A3939" s="21">
        <f t="shared" si="75"/>
        <v>7</v>
      </c>
      <c r="B3939" s="14" t="s">
        <v>5258</v>
      </c>
      <c r="C3939" s="85" t="str">
        <f ca="1">IFERROR(__xludf.DUMMYFUNCTION("GOOGLETRANSLATE(B3939:B3954,""RU"",""UK"")"),"Пароніт ПМБ – 0,5-0,6мм")</f>
        <v>Пароніт ПМБ – 0,5-0,6мм</v>
      </c>
      <c r="D3939" s="15" t="s">
        <v>130</v>
      </c>
      <c r="E3939" s="15">
        <v>11</v>
      </c>
      <c r="F3939" s="91" t="s">
        <v>1585</v>
      </c>
      <c r="G3939" s="4"/>
      <c r="H3939" s="4"/>
      <c r="I3939" s="4"/>
    </row>
    <row r="3940" spans="1:9" ht="15">
      <c r="A3940" s="21">
        <f t="shared" si="75"/>
        <v>8</v>
      </c>
      <c r="B3940" s="14" t="s">
        <v>5259</v>
      </c>
      <c r="C3940" s="85" t="str">
        <f ca="1">IFERROR(__xludf.DUMMYFUNCTION("GOOGLETRANSLATE(B3940:B3955,""RU"",""UK"")"),"Пароніт ПМБ - 2,0мм (6лх2, 7кг)")</f>
        <v>Пароніт ПМБ - 2,0мм (6лх2, 7кг)</v>
      </c>
      <c r="D3940" s="15" t="s">
        <v>130</v>
      </c>
      <c r="E3940" s="15">
        <v>0</v>
      </c>
      <c r="F3940" s="91" t="s">
        <v>5260</v>
      </c>
      <c r="G3940" s="4"/>
      <c r="H3940" s="4"/>
      <c r="I3940" s="4"/>
    </row>
    <row r="3941" spans="1:9" ht="15">
      <c r="A3941" s="21">
        <f t="shared" si="75"/>
        <v>9</v>
      </c>
      <c r="B3941" s="14" t="s">
        <v>5261</v>
      </c>
      <c r="C3941" s="85" t="str">
        <f ca="1">IFERROR(__xludf.DUMMYFUNCTION("GOOGLETRANSLATE(B3941:B3956,""RU"",""UK"")"),"Пароніт ПМБ - 2,5мм (4л х близько 3,5кг)")</f>
        <v>Пароніт ПМБ - 2,5мм (4л х близько 3,5кг)</v>
      </c>
      <c r="D3941" s="15" t="s">
        <v>130</v>
      </c>
      <c r="E3941" s="15">
        <v>0</v>
      </c>
      <c r="F3941" s="91" t="s">
        <v>5260</v>
      </c>
      <c r="G3941" s="4"/>
      <c r="H3941" s="4"/>
      <c r="I3941" s="4"/>
    </row>
    <row r="3942" spans="1:9" ht="15">
      <c r="A3942" s="21">
        <f t="shared" si="75"/>
        <v>10</v>
      </c>
      <c r="B3942" s="14" t="s">
        <v>5262</v>
      </c>
      <c r="C3942" s="85" t="str">
        <f ca="1">IFERROR(__xludf.DUMMYFUNCTION("GOOGLETRANSLATE(B3942:B3957,""RU"",""UK"")"),"Гума (техпластина) МБС 3мм/4мм")</f>
        <v>Гума (техпластина) МБС 3мм/4мм</v>
      </c>
      <c r="D3942" s="15" t="s">
        <v>130</v>
      </c>
      <c r="E3942" s="15">
        <v>0</v>
      </c>
      <c r="F3942" s="91" t="s">
        <v>371</v>
      </c>
      <c r="G3942" s="4"/>
      <c r="H3942" s="4"/>
      <c r="I3942" s="4"/>
    </row>
    <row r="3943" spans="1:9" ht="15">
      <c r="A3943" s="21">
        <f t="shared" si="75"/>
        <v>11</v>
      </c>
      <c r="B3943" s="14" t="s">
        <v>5263</v>
      </c>
      <c r="C3943" s="85" t="str">
        <f ca="1">IFERROR(__xludf.DUMMYFUNCTION("GOOGLETRANSLATE(B3943:B3958,""RU"",""UK"")"),"Гума (техпластина) ІРП 1,5мм (300х300мм-9шт)")</f>
        <v>Гума (техпластина) ІРП 1,5мм (300х300мм-9шт)</v>
      </c>
      <c r="D3943" s="15" t="s">
        <v>130</v>
      </c>
      <c r="E3943" s="15" t="s">
        <v>5264</v>
      </c>
      <c r="F3943" s="91" t="s">
        <v>314</v>
      </c>
      <c r="G3943" s="4"/>
      <c r="H3943" s="4"/>
      <c r="I3943" s="4"/>
    </row>
    <row r="3944" spans="1:9" ht="15">
      <c r="A3944" s="21">
        <f t="shared" si="75"/>
        <v>12</v>
      </c>
      <c r="B3944" s="14" t="s">
        <v>5265</v>
      </c>
      <c r="C3944" s="85" t="str">
        <f ca="1">IFERROR(__xludf.DUMMYFUNCTION("GOOGLETRANSLATE(B3944:B3959,""RU"",""UK"")"),"Гума (техпластина) ТМКЩ 2мм/3мм/4мм")</f>
        <v>Гума (техпластина) ТМКЩ 2мм/3мм/4мм</v>
      </c>
      <c r="D3944" s="15" t="s">
        <v>130</v>
      </c>
      <c r="E3944" s="15">
        <v>0</v>
      </c>
      <c r="F3944" s="91" t="s">
        <v>314</v>
      </c>
      <c r="G3944" s="4"/>
      <c r="H3944" s="4"/>
      <c r="I3944" s="4"/>
    </row>
    <row r="3945" spans="1:9" ht="15">
      <c r="A3945" s="21">
        <f t="shared" si="75"/>
        <v>13</v>
      </c>
      <c r="B3945" s="14" t="s">
        <v>5266</v>
      </c>
      <c r="C3945" s="85" t="str">
        <f ca="1">IFERROR(__xludf.DUMMYFUNCTION("GOOGLETRANSLATE(B3945:B3960,""RU"",""UK"")"),"Гума (техпластина) ІРП 20мм (250х250)")</f>
        <v>Гума (техпластина) ІРП 20мм (250х250)</v>
      </c>
      <c r="D3945" s="15" t="s">
        <v>130</v>
      </c>
      <c r="E3945" s="15" t="s">
        <v>5267</v>
      </c>
      <c r="F3945" s="91" t="s">
        <v>314</v>
      </c>
      <c r="G3945" s="4"/>
      <c r="H3945" s="4"/>
      <c r="I3945" s="4"/>
    </row>
    <row r="3946" spans="1:9" ht="15">
      <c r="A3946" s="21">
        <f t="shared" si="75"/>
        <v>14</v>
      </c>
      <c r="B3946" s="14" t="s">
        <v>5268</v>
      </c>
      <c r="C3946" s="85" t="str">
        <f ca="1">IFERROR(__xludf.DUMMYFUNCTION("GOOGLETRANSLATE(B3946:B3961,""RU"",""UK"")"),"Гума (техпластина) ТМКЩ 20мм (0,9х0,58м)")</f>
        <v>Гума (техпластина) ТМКЩ 20мм (0,9х0,58м)</v>
      </c>
      <c r="D3946" s="15" t="s">
        <v>130</v>
      </c>
      <c r="E3946" s="15" t="s">
        <v>5269</v>
      </c>
      <c r="F3946" s="91" t="s">
        <v>314</v>
      </c>
      <c r="G3946" s="4"/>
      <c r="H3946" s="4"/>
      <c r="I3946" s="4"/>
    </row>
    <row r="3947" spans="1:9" ht="15">
      <c r="A3947" s="21">
        <f t="shared" si="75"/>
        <v>15</v>
      </c>
      <c r="B3947" s="14" t="s">
        <v>5270</v>
      </c>
      <c r="C3947" s="85" t="str">
        <f ca="1">IFERROR(__xludf.DUMMYFUNCTION("GOOGLETRANSLATE(B3947:B3962,""RU"",""UK"")"),"Гума губчаста 5мм")</f>
        <v>Гума губчаста 5мм</v>
      </c>
      <c r="D3947" s="15" t="s">
        <v>130</v>
      </c>
      <c r="E3947" s="15" t="s">
        <v>5271</v>
      </c>
      <c r="F3947" s="91" t="s">
        <v>338</v>
      </c>
      <c r="G3947" s="4"/>
      <c r="H3947" s="4"/>
      <c r="I3947" s="4"/>
    </row>
    <row r="3948" spans="1:9" ht="15">
      <c r="A3948" s="21">
        <f t="shared" si="75"/>
        <v>16</v>
      </c>
      <c r="B3948" s="14" t="s">
        <v>5272</v>
      </c>
      <c r="C3948" s="85" t="str">
        <f ca="1">IFERROR(__xludf.DUMMYFUNCTION("GOOGLETRANSLATE(B3948:B3963,""RU"",""UK"")"),"Фторопласт кругляк d=10мм")</f>
        <v>Фторопласт кругляк d=10мм</v>
      </c>
      <c r="D3948" s="15" t="s">
        <v>130</v>
      </c>
      <c r="E3948" s="15" t="s">
        <v>5273</v>
      </c>
      <c r="F3948" s="91" t="s">
        <v>5274</v>
      </c>
      <c r="G3948" s="4"/>
      <c r="H3948" s="4"/>
      <c r="I3948" s="4"/>
    </row>
    <row r="3949" spans="1:9" ht="15">
      <c r="A3949" s="21">
        <f t="shared" si="75"/>
        <v>17</v>
      </c>
      <c r="B3949" s="14" t="s">
        <v>5275</v>
      </c>
      <c r="C3949" s="85" t="str">
        <f ca="1">IFERROR(__xludf.DUMMYFUNCTION("GOOGLETRANSLATE(B3949:B3964,""RU"",""UK"")"),"Фторопласт кругляк d=13мм L=140мм х2шт")</f>
        <v>Фторопласт кругляк d=13мм L=140мм х2шт</v>
      </c>
      <c r="D3949" s="15" t="s">
        <v>130</v>
      </c>
      <c r="E3949" s="15" t="s">
        <v>5276</v>
      </c>
      <c r="F3949" s="91" t="s">
        <v>5274</v>
      </c>
      <c r="G3949" s="4"/>
      <c r="H3949" s="4"/>
      <c r="I3949" s="4"/>
    </row>
    <row r="3950" spans="1:9" ht="15">
      <c r="A3950" s="21">
        <f t="shared" si="75"/>
        <v>18</v>
      </c>
      <c r="B3950" s="14" t="s">
        <v>5277</v>
      </c>
      <c r="C3950" s="85" t="str">
        <f ca="1">IFERROR(__xludf.DUMMYFUNCTION("GOOGLETRANSLATE(B3950:B3965,""RU"",""UK"")"),"Фторопласт кругляк d=24мм")</f>
        <v>Фторопласт кругляк d=24мм</v>
      </c>
      <c r="D3950" s="15" t="s">
        <v>130</v>
      </c>
      <c r="E3950" s="81">
        <v>120</v>
      </c>
      <c r="F3950" s="91" t="s">
        <v>5278</v>
      </c>
      <c r="G3950" s="4"/>
      <c r="H3950" s="4"/>
      <c r="I3950" s="4"/>
    </row>
    <row r="3951" spans="1:9" ht="15">
      <c r="A3951" s="21">
        <f t="shared" si="75"/>
        <v>19</v>
      </c>
      <c r="B3951" s="14" t="s">
        <v>5279</v>
      </c>
      <c r="C3951" s="85" t="str">
        <f ca="1">IFERROR(__xludf.DUMMYFUNCTION("GOOGLETRANSLATE(B3951:B3966,""RU"",""UK"")"),"Фторопласт кругляк d=25мм")</f>
        <v>Фторопласт кругляк d=25мм</v>
      </c>
      <c r="D3951" s="15" t="s">
        <v>130</v>
      </c>
      <c r="E3951" s="15">
        <v>4</v>
      </c>
      <c r="F3951" s="91" t="s">
        <v>5278</v>
      </c>
      <c r="G3951" s="4"/>
      <c r="H3951" s="4"/>
      <c r="I3951" s="4"/>
    </row>
    <row r="3952" spans="1:9" ht="15">
      <c r="A3952" s="21">
        <f t="shared" si="75"/>
        <v>20</v>
      </c>
      <c r="B3952" s="16" t="s">
        <v>5280</v>
      </c>
      <c r="C3952" s="85" t="str">
        <f ca="1">IFERROR(__xludf.DUMMYFUNCTION("GOOGLETRANSLATE(B3952:B3967,""RU"",""UK"")"),"Фторопласт кругляк d=32мм L=140мм")</f>
        <v>Фторопласт кругляк d=32мм L=140мм</v>
      </c>
      <c r="D3952" s="15" t="s">
        <v>130</v>
      </c>
      <c r="E3952" s="15" t="s">
        <v>5281</v>
      </c>
      <c r="F3952" s="91" t="s">
        <v>272</v>
      </c>
      <c r="G3952" s="4"/>
      <c r="H3952" s="4"/>
      <c r="I3952" s="4"/>
    </row>
    <row r="3953" spans="1:9" ht="15">
      <c r="A3953" s="21">
        <f t="shared" si="75"/>
        <v>21</v>
      </c>
      <c r="B3953" s="16" t="s">
        <v>5282</v>
      </c>
      <c r="C3953" s="85" t="str">
        <f ca="1">IFERROR(__xludf.DUMMYFUNCTION("GOOGLETRANSLATE(B3953:B3968,""RU"",""UK"")"),"Фторопласт кругляк d=36мм L=345мм")</f>
        <v>Фторопласт кругляк d=36мм L=345мм</v>
      </c>
      <c r="D3953" s="15" t="s">
        <v>130</v>
      </c>
      <c r="E3953" s="15" t="s">
        <v>5283</v>
      </c>
      <c r="F3953" s="91" t="s">
        <v>272</v>
      </c>
      <c r="G3953" s="4"/>
      <c r="H3953" s="4"/>
      <c r="I3953" s="4"/>
    </row>
    <row r="3954" spans="1:9" ht="15">
      <c r="A3954" s="21">
        <f t="shared" si="75"/>
        <v>22</v>
      </c>
      <c r="B3954" s="16" t="s">
        <v>5284</v>
      </c>
      <c r="C3954" s="85" t="str">
        <f ca="1">IFERROR(__xludf.DUMMYFUNCTION("GOOGLETRANSLATE(B3954:B3969,""RU"",""UK"")"),"Фторопласт кругляк d=37мм L=100мм")</f>
        <v>Фторопласт кругляк d=37мм L=100мм</v>
      </c>
      <c r="D3954" s="15" t="s">
        <v>130</v>
      </c>
      <c r="E3954" s="15" t="s">
        <v>5285</v>
      </c>
      <c r="F3954" s="91" t="s">
        <v>272</v>
      </c>
      <c r="G3954" s="4"/>
      <c r="H3954" s="4"/>
      <c r="I3954" s="4"/>
    </row>
    <row r="3955" spans="1:9" ht="15">
      <c r="A3955" s="21">
        <f t="shared" si="75"/>
        <v>23</v>
      </c>
      <c r="B3955" s="16" t="s">
        <v>5286</v>
      </c>
      <c r="C3955" s="85" t="str">
        <f ca="1">IFERROR(__xludf.DUMMYFUNCTION("GOOGLETRANSLATE(B3955:B3970,""RU"",""UK"")"),"Фторопласт кругляк d=41мм L=330мм")</f>
        <v>Фторопласт кругляк d=41мм L=330мм</v>
      </c>
      <c r="D3955" s="15" t="s">
        <v>130</v>
      </c>
      <c r="E3955" s="15" t="s">
        <v>5287</v>
      </c>
      <c r="F3955" s="91" t="s">
        <v>272</v>
      </c>
      <c r="G3955" s="4"/>
      <c r="H3955" s="4"/>
      <c r="I3955" s="4"/>
    </row>
    <row r="3956" spans="1:9" ht="15">
      <c r="A3956" s="21">
        <f t="shared" si="75"/>
        <v>24</v>
      </c>
      <c r="B3956" s="16" t="s">
        <v>5288</v>
      </c>
      <c r="C3956" s="85" t="str">
        <f ca="1">IFERROR(__xludf.DUMMYFUNCTION("GOOGLETRANSLATE(B3956:B3971,""RU"",""UK"")"),"Фторопласт кругляк d=42мм L=330мм")</f>
        <v>Фторопласт кругляк d=42мм L=330мм</v>
      </c>
      <c r="D3956" s="15" t="s">
        <v>130</v>
      </c>
      <c r="E3956" s="15" t="s">
        <v>5287</v>
      </c>
      <c r="F3956" s="91" t="s">
        <v>272</v>
      </c>
      <c r="G3956" s="4"/>
      <c r="H3956" s="4"/>
      <c r="I3956" s="4"/>
    </row>
    <row r="3957" spans="1:9" ht="15">
      <c r="A3957" s="21">
        <f t="shared" si="75"/>
        <v>25</v>
      </c>
      <c r="B3957" s="16" t="s">
        <v>5289</v>
      </c>
      <c r="C3957" s="85" t="str">
        <f ca="1">IFERROR(__xludf.DUMMYFUNCTION("GOOGLETRANSLATE(B3957:B3972,""RU"",""UK"")"),"Фторопласт кругляк d=71мм L=30мм")</f>
        <v>Фторопласт кругляк d=71мм L=30мм</v>
      </c>
      <c r="D3957" s="15" t="s">
        <v>130</v>
      </c>
      <c r="E3957" s="15" t="s">
        <v>5290</v>
      </c>
      <c r="F3957" s="91" t="s">
        <v>3248</v>
      </c>
      <c r="G3957" s="4"/>
      <c r="H3957" s="4"/>
      <c r="I3957" s="4"/>
    </row>
    <row r="3958" spans="1:9" ht="15">
      <c r="A3958" s="21">
        <f t="shared" si="75"/>
        <v>26</v>
      </c>
      <c r="B3958" s="14" t="s">
        <v>5291</v>
      </c>
      <c r="C3958" s="85" t="str">
        <f ca="1">IFERROR(__xludf.DUMMYFUNCTION("GOOGLETRANSLATE(B3958:B3973,""RU"",""UK"")"),"Фторопласт кругляк d=200мм L=52мм (2штх3.75кг)")</f>
        <v>Фторопласт кругляк d=200мм L=52мм (2штх3.75кг)</v>
      </c>
      <c r="D3958" s="15" t="s">
        <v>130</v>
      </c>
      <c r="E3958" s="15" t="s">
        <v>5157</v>
      </c>
      <c r="F3958" s="91" t="s">
        <v>16</v>
      </c>
      <c r="G3958" s="4"/>
      <c r="H3958" s="4"/>
      <c r="I3958" s="4"/>
    </row>
    <row r="3959" spans="1:9" ht="15">
      <c r="A3959" s="21">
        <f t="shared" si="75"/>
        <v>27</v>
      </c>
      <c r="B3959" s="14" t="s">
        <v>5292</v>
      </c>
      <c r="C3959" s="85" t="str">
        <f ca="1">IFERROR(__xludf.DUMMYFUNCTION("GOOGLETRANSLATE(B3959:B3974,""RU"",""UK"")"),"Фторопластова втулка d=59х36мм L=122мм")</f>
        <v>Фторопластова втулка d=59х36мм L=122мм</v>
      </c>
      <c r="D3959" s="15" t="s">
        <v>130</v>
      </c>
      <c r="E3959" s="15" t="s">
        <v>5293</v>
      </c>
      <c r="F3959" s="91" t="s">
        <v>16</v>
      </c>
      <c r="G3959" s="4"/>
      <c r="H3959" s="4"/>
      <c r="I3959" s="4"/>
    </row>
    <row r="3960" spans="1:9" ht="15">
      <c r="A3960" s="21">
        <f t="shared" si="75"/>
        <v>28</v>
      </c>
      <c r="B3960" s="14" t="s">
        <v>5294</v>
      </c>
      <c r="C3960" s="85" t="str">
        <f ca="1">IFERROR(__xludf.DUMMYFUNCTION("GOOGLETRANSLATE(B3960:B3975,""RU"",""UK"")"),"Втулка фторопластова d=73х37мм L=105мм (1штх0,7кг)")</f>
        <v>Втулка фторопластова d=73х37мм L=105мм (1штх0,7кг)</v>
      </c>
      <c r="D3960" s="15" t="s">
        <v>130</v>
      </c>
      <c r="E3960" s="15" t="s">
        <v>5295</v>
      </c>
      <c r="F3960" s="91" t="s">
        <v>16</v>
      </c>
      <c r="G3960" s="4"/>
      <c r="H3960" s="4"/>
      <c r="I3960" s="4"/>
    </row>
    <row r="3961" spans="1:9" ht="15">
      <c r="A3961" s="21">
        <f t="shared" si="75"/>
        <v>29</v>
      </c>
      <c r="B3961" s="14" t="s">
        <v>5296</v>
      </c>
      <c r="C3961" s="85" t="str">
        <f ca="1">IFERROR(__xludf.DUMMYFUNCTION("GOOGLETRANSLATE(B3961:B3976,""RU"",""UK"")"),"Фторопластова втулка d=90х60мм L=57мм (1шт)")</f>
        <v>Фторопластова втулка d=90х60мм L=57мм (1шт)</v>
      </c>
      <c r="D3961" s="15" t="s">
        <v>130</v>
      </c>
      <c r="E3961" s="15" t="s">
        <v>5297</v>
      </c>
      <c r="F3961" s="91" t="s">
        <v>16</v>
      </c>
      <c r="G3961" s="4"/>
      <c r="H3961" s="4"/>
      <c r="I3961" s="4"/>
    </row>
    <row r="3962" spans="1:9" ht="15">
      <c r="A3962" s="21">
        <f t="shared" si="75"/>
        <v>30</v>
      </c>
      <c r="B3962" s="14" t="s">
        <v>5298</v>
      </c>
      <c r="C3962" s="85" t="str">
        <f ca="1">IFERROR(__xludf.DUMMYFUNCTION("GOOGLETRANSLATE(B3962:B3977,""RU"",""UK"")"),"Фторопластова втулка d=95х75мм L=50мм / d=95х75мм L=74мм")</f>
        <v>Фторопластова втулка d=95х75мм L=50мм / d=95х75мм L=74мм</v>
      </c>
      <c r="D3962" s="15" t="s">
        <v>130</v>
      </c>
      <c r="E3962" s="15" t="s">
        <v>5299</v>
      </c>
      <c r="F3962" s="91" t="s">
        <v>16</v>
      </c>
      <c r="G3962" s="4"/>
      <c r="H3962" s="4"/>
      <c r="I3962" s="4"/>
    </row>
    <row r="3963" spans="1:9" ht="15">
      <c r="A3963" s="21">
        <f t="shared" si="75"/>
        <v>31</v>
      </c>
      <c r="B3963" s="14" t="s">
        <v>5300</v>
      </c>
      <c r="C3963" s="85" t="str">
        <f ca="1">IFERROR(__xludf.DUMMYFUNCTION("GOOGLETRANSLATE(B3963:B3978,""RU"",""UK"")"),"Фторопластовий квадрат 6х6мм")</f>
        <v>Фторопластовий квадрат 6х6мм</v>
      </c>
      <c r="D3963" s="15" t="s">
        <v>130</v>
      </c>
      <c r="E3963" s="15" t="s">
        <v>5301</v>
      </c>
      <c r="F3963" s="91" t="s">
        <v>16</v>
      </c>
      <c r="G3963" s="4"/>
      <c r="H3963" s="4"/>
      <c r="I3963" s="4"/>
    </row>
    <row r="3964" spans="1:9" ht="15">
      <c r="A3964" s="21">
        <f t="shared" si="75"/>
        <v>32</v>
      </c>
      <c r="B3964" s="14" t="s">
        <v>5302</v>
      </c>
      <c r="C3964" s="85" t="str">
        <f ca="1">IFERROR(__xludf.DUMMYFUNCTION("GOOGLETRANSLATE(B3964:B3979,""RU"",""UK"")"),"Фторопласт листовий 2,0мм 380х330мм (1лх0,6кг)")</f>
        <v>Фторопласт листовий 2,0мм 380х330мм (1лх0,6кг)</v>
      </c>
      <c r="D3964" s="15" t="s">
        <v>6</v>
      </c>
      <c r="E3964" s="15" t="s">
        <v>5303</v>
      </c>
      <c r="F3964" s="91" t="s">
        <v>5304</v>
      </c>
      <c r="G3964" s="4"/>
      <c r="H3964" s="4"/>
      <c r="I3964" s="4"/>
    </row>
    <row r="3965" spans="1:9" ht="15">
      <c r="A3965" s="21">
        <f t="shared" si="75"/>
        <v>33</v>
      </c>
      <c r="B3965" s="14" t="s">
        <v>5305</v>
      </c>
      <c r="C3965" s="85" t="str">
        <f ca="1">IFERROR(__xludf.DUMMYFUNCTION("GOOGLETRANSLATE(B3965:B3980,""RU"",""UK"")"),"Фторопласт листовий 2,5мм 250х180мм (1лх0,2кг)")</f>
        <v>Фторопласт листовий 2,5мм 250х180мм (1лх0,2кг)</v>
      </c>
      <c r="D3965" s="15" t="s">
        <v>6</v>
      </c>
      <c r="E3965" s="15" t="s">
        <v>5281</v>
      </c>
      <c r="F3965" s="91" t="s">
        <v>338</v>
      </c>
      <c r="G3965" s="4"/>
      <c r="H3965" s="4"/>
      <c r="I3965" s="4"/>
    </row>
    <row r="3966" spans="1:9" ht="15">
      <c r="A3966" s="21">
        <f t="shared" si="75"/>
        <v>34</v>
      </c>
      <c r="B3966" s="14" t="s">
        <v>5306</v>
      </c>
      <c r="C3966" s="85" t="str">
        <f ca="1">IFERROR(__xludf.DUMMYFUNCTION("GOOGLETRANSLATE(B3966:B3981,""RU"",""UK"")"),"Фторопласт листовий 2,5мм 250х250мм (1лх0.25кг)")</f>
        <v>Фторопласт листовий 2,5мм 250х250мм (1лх0.25кг)</v>
      </c>
      <c r="D3966" s="15" t="s">
        <v>6</v>
      </c>
      <c r="E3966" s="15" t="s">
        <v>5290</v>
      </c>
      <c r="F3966" s="91" t="s">
        <v>136</v>
      </c>
      <c r="G3966" s="4"/>
      <c r="H3966" s="4"/>
      <c r="I3966" s="4"/>
    </row>
    <row r="3967" spans="1:9" ht="15">
      <c r="A3967" s="21">
        <f t="shared" si="75"/>
        <v>35</v>
      </c>
      <c r="B3967" s="14" t="s">
        <v>5307</v>
      </c>
      <c r="C3967" s="85" t="str">
        <f ca="1">IFERROR(__xludf.DUMMYFUNCTION("GOOGLETRANSLATE(B3967:B3982,""RU"",""UK"")"),"Фторопласт листовий 3,0мм 240х160мм (1лх0.25кг)")</f>
        <v>Фторопласт листовий 3,0мм 240х160мм (1лх0.25кг)</v>
      </c>
      <c r="D3967" s="15" t="s">
        <v>6</v>
      </c>
      <c r="E3967" s="15" t="s">
        <v>5290</v>
      </c>
      <c r="F3967" s="91" t="s">
        <v>136</v>
      </c>
      <c r="G3967" s="4"/>
      <c r="H3967" s="4"/>
      <c r="I3967" s="4"/>
    </row>
    <row r="3968" spans="1:9" ht="15">
      <c r="A3968" s="21">
        <f t="shared" si="75"/>
        <v>36</v>
      </c>
      <c r="B3968" s="14" t="s">
        <v>5308</v>
      </c>
      <c r="C3968" s="85" t="str">
        <f ca="1">IFERROR(__xludf.DUMMYFUNCTION("GOOGLETRANSLATE(B3968:B3983,""RU"",""UK"")"),"Фторопласт листовий 8,0мм 280х290мм (1лх1, 4кг)")</f>
        <v>Фторопласт листовий 8,0мм 280х290мм (1лх1, 4кг)</v>
      </c>
      <c r="D3968" s="15" t="s">
        <v>6</v>
      </c>
      <c r="E3968" s="15" t="s">
        <v>5309</v>
      </c>
      <c r="F3968" s="91" t="s">
        <v>3738</v>
      </c>
      <c r="G3968" s="4"/>
      <c r="H3968" s="4"/>
      <c r="I3968" s="4"/>
    </row>
    <row r="3969" spans="1:9" ht="15">
      <c r="A3969" s="21">
        <f t="shared" si="75"/>
        <v>37</v>
      </c>
      <c r="B3969" s="19" t="s">
        <v>5310</v>
      </c>
      <c r="C3969" s="85" t="str">
        <f ca="1">IFERROR(__xludf.DUMMYFUNCTION("GOOGLETRANSLATE(B3969:B3984,""RU"",""UK"")"),"Фторопластова стрічка Ф4 марка ПН 0,4 х90мм (2 рул по 6,5 кг)")</f>
        <v>Фторопластова стрічка Ф4 марка ПН 0,4 х90мм (2 рул по 6,5 кг)</v>
      </c>
      <c r="D3969" s="15" t="s">
        <v>130</v>
      </c>
      <c r="E3969" s="15">
        <v>0</v>
      </c>
      <c r="F3969" s="91" t="s">
        <v>16</v>
      </c>
      <c r="G3969" s="4"/>
      <c r="H3969" s="4"/>
      <c r="I3969" s="4"/>
    </row>
    <row r="3970" spans="1:9" ht="15">
      <c r="A3970" s="21">
        <f t="shared" si="75"/>
        <v>38</v>
      </c>
      <c r="B3970" s="14" t="s">
        <v>5311</v>
      </c>
      <c r="C3970" s="85" t="str">
        <f ca="1">IFERROR(__xludf.DUMMYFUNCTION("GOOGLETRANSLATE(B3970:B3985,""RU"",""UK"")"),"Фторопласт з графітом (чорний) квадрат 52х52 L150 / L240")</f>
        <v>Фторопласт з графітом (чорний) квадрат 52х52 L150 / L240</v>
      </c>
      <c r="D3970" s="15" t="s">
        <v>130</v>
      </c>
      <c r="E3970" s="15" t="s">
        <v>5312</v>
      </c>
      <c r="F3970" s="91" t="s">
        <v>22</v>
      </c>
      <c r="G3970" s="4"/>
      <c r="H3970" s="4"/>
      <c r="I3970" s="4"/>
    </row>
    <row r="3971" spans="1:9" ht="15">
      <c r="A3971" s="21">
        <f t="shared" si="75"/>
        <v>39</v>
      </c>
      <c r="B3971" s="14" t="s">
        <v>5313</v>
      </c>
      <c r="C3971" s="85" t="str">
        <f ca="1">IFERROR(__xludf.DUMMYFUNCTION("GOOGLETRANSLATE(B3971:B3986,""RU"",""UK"")"),"Фторопластові прокладки (кільця)")</f>
        <v>Фторопластові прокладки (кільця)</v>
      </c>
      <c r="D3971" s="15" t="s">
        <v>130</v>
      </c>
      <c r="E3971" s="15" t="s">
        <v>5314</v>
      </c>
      <c r="F3971" s="91" t="s">
        <v>27</v>
      </c>
      <c r="G3971" s="4"/>
      <c r="H3971" s="4"/>
      <c r="I3971" s="4"/>
    </row>
    <row r="3972" spans="1:9" ht="15">
      <c r="A3972" s="21">
        <f t="shared" si="75"/>
        <v>40</v>
      </c>
      <c r="B3972" s="14" t="s">
        <v>5315</v>
      </c>
      <c r="C3972" s="85" t="str">
        <f ca="1">IFERROR(__xludf.DUMMYFUNCTION("GOOGLETRANSLATE(B3972:B3987,""RU"",""UK"")"),"Фторопластові круги різні 2мм (d100-140мм)")</f>
        <v>Фторопластові круги різні 2мм (d100-140мм)</v>
      </c>
      <c r="D3972" s="15" t="s">
        <v>130</v>
      </c>
      <c r="E3972" s="15">
        <v>7</v>
      </c>
      <c r="F3972" s="91" t="s">
        <v>27</v>
      </c>
      <c r="G3972" s="4"/>
      <c r="H3972" s="4"/>
      <c r="I3972" s="4"/>
    </row>
    <row r="3973" spans="1:9" ht="15">
      <c r="A3973" s="21">
        <f t="shared" si="75"/>
        <v>41</v>
      </c>
      <c r="B3973" s="14" t="s">
        <v>5316</v>
      </c>
      <c r="C3973" s="85" t="str">
        <f ca="1">IFERROR(__xludf.DUMMYFUNCTION("GOOGLETRANSLATE(B3973:B3988,""RU"",""UK"")"),"Капролон кругляк d=32мм L=72мм (10штх0,07кг)")</f>
        <v>Капролон кругляк d=32мм L=72мм (10штх0,07кг)</v>
      </c>
      <c r="D3973" s="15" t="s">
        <v>130</v>
      </c>
      <c r="E3973" s="15" t="s">
        <v>5317</v>
      </c>
      <c r="F3973" s="91" t="s">
        <v>327</v>
      </c>
      <c r="G3973" s="4"/>
      <c r="H3973" s="4"/>
      <c r="I3973" s="4"/>
    </row>
    <row r="3974" spans="1:9" ht="15">
      <c r="A3974" s="21">
        <f t="shared" si="75"/>
        <v>42</v>
      </c>
      <c r="B3974" s="14" t="s">
        <v>5318</v>
      </c>
      <c r="C3974" s="85" t="str">
        <f ca="1">IFERROR(__xludf.DUMMYFUNCTION("GOOGLETRANSLATE(B3974:B3989,""RU"",""UK"")"),"Текстоліт кругляк d=57мм L=270мм")</f>
        <v>Текстоліт кругляк d=57мм L=270мм</v>
      </c>
      <c r="D3974" s="15" t="s">
        <v>130</v>
      </c>
      <c r="E3974" s="15" t="s">
        <v>5319</v>
      </c>
      <c r="F3974" s="91" t="s">
        <v>119</v>
      </c>
      <c r="G3974" s="4"/>
      <c r="H3974" s="4"/>
      <c r="I3974" s="4"/>
    </row>
    <row r="3975" spans="1:9" ht="15">
      <c r="A3975" s="21">
        <f t="shared" si="75"/>
        <v>43</v>
      </c>
      <c r="B3975" s="14" t="s">
        <v>5320</v>
      </c>
      <c r="C3975" s="85" t="str">
        <f ca="1">IFERROR(__xludf.DUMMYFUNCTION("GOOGLETRANSLATE(B3975:B3990,""RU"",""UK"")"),"Текстоліт кругляк d=60мм L=80мм / d=60мм L=125мм")</f>
        <v>Текстоліт кругляк d=60мм L=80мм / d=60мм L=125мм</v>
      </c>
      <c r="D3975" s="15" t="s">
        <v>130</v>
      </c>
      <c r="E3975" s="15" t="s">
        <v>5321</v>
      </c>
      <c r="F3975" s="91" t="s">
        <v>119</v>
      </c>
      <c r="G3975" s="4"/>
      <c r="H3975" s="4"/>
      <c r="I3975" s="4"/>
    </row>
    <row r="3976" spans="1:9" ht="15">
      <c r="A3976" s="21">
        <f t="shared" si="75"/>
        <v>44</v>
      </c>
      <c r="B3976" s="14" t="s">
        <v>5322</v>
      </c>
      <c r="C3976" s="85" t="str">
        <f ca="1">IFERROR(__xludf.DUMMYFUNCTION("GOOGLETRANSLATE(B3976:B3991,""RU"",""UK"")"),"Склотканина тонка (ширина 0,9 м)")</f>
        <v>Склотканина тонка (ширина 0,9 м)</v>
      </c>
      <c r="D3976" s="15" t="s">
        <v>634</v>
      </c>
      <c r="E3976" s="15">
        <v>16</v>
      </c>
      <c r="F3976" s="91" t="s">
        <v>226</v>
      </c>
      <c r="G3976" s="4"/>
      <c r="H3976" s="4"/>
      <c r="I3976" s="4"/>
    </row>
    <row r="3977" spans="1:9" ht="15">
      <c r="A3977" s="21">
        <f t="shared" si="75"/>
        <v>45</v>
      </c>
      <c r="B3977" s="14" t="s">
        <v>5323</v>
      </c>
      <c r="C3977" s="85" t="str">
        <f ca="1">IFERROR(__xludf.DUMMYFUNCTION("GOOGLETRANSLATE(B3977:B3992,""RU"",""UK"")"),"Склотканина щільна (ширина 0,9 м)")</f>
        <v>Склотканина щільна (ширина 0,9 м)</v>
      </c>
      <c r="D3977" s="15" t="s">
        <v>634</v>
      </c>
      <c r="E3977" s="15">
        <v>11</v>
      </c>
      <c r="F3977" s="91" t="s">
        <v>614</v>
      </c>
      <c r="G3977" s="4"/>
      <c r="H3977" s="4"/>
      <c r="I3977" s="4"/>
    </row>
    <row r="3978" spans="1:9" ht="15">
      <c r="A3978" s="21">
        <f t="shared" si="75"/>
        <v>46</v>
      </c>
      <c r="B3978" s="14" t="s">
        <v>5324</v>
      </c>
      <c r="C3978" s="85" t="str">
        <f ca="1">IFERROR(__xludf.DUMMYFUNCTION("GOOGLETRANSLATE(B3978:B3993,""RU"",""UK"")"),"Окис хрому")</f>
        <v>Окис хрому</v>
      </c>
      <c r="D3978" s="15" t="s">
        <v>130</v>
      </c>
      <c r="E3978" s="15">
        <v>41</v>
      </c>
      <c r="F3978" s="91" t="s">
        <v>327</v>
      </c>
      <c r="G3978" s="4"/>
      <c r="H3978" s="4"/>
      <c r="I3978" s="4"/>
    </row>
    <row r="3979" spans="1:9" ht="15">
      <c r="A3979" s="21">
        <f t="shared" si="75"/>
        <v>47</v>
      </c>
      <c r="B3979" s="19" t="s">
        <v>5325</v>
      </c>
      <c r="C3979" s="85" t="str">
        <f ca="1">IFERROR(__xludf.DUMMYFUNCTION("GOOGLETRANSLATE(B3979:B3994,""RU"",""UK"")"),"Мастило графітове (банку 0,8кг)")</f>
        <v>Мастило графітове (банку 0,8кг)</v>
      </c>
      <c r="D3979" s="15" t="s">
        <v>5326</v>
      </c>
      <c r="E3979" s="15">
        <v>0</v>
      </c>
      <c r="F3979" s="91">
        <v>0</v>
      </c>
      <c r="G3979" s="4"/>
      <c r="H3979" s="4"/>
      <c r="I3979" s="4"/>
    </row>
    <row r="3980" spans="1:9" ht="15">
      <c r="A3980" s="21">
        <f t="shared" si="75"/>
        <v>48</v>
      </c>
      <c r="B3980" s="14" t="s">
        <v>5327</v>
      </c>
      <c r="C3980" s="85" t="str">
        <f ca="1">IFERROR(__xludf.DUMMYFUNCTION("GOOGLETRANSLATE(B3980:B3995,""RU"",""UK"")"),"Мастило ЛІТОЛ 24 (банку 0,8 кг)")</f>
        <v>Мастило ЛІТОЛ 24 (банку 0,8 кг)</v>
      </c>
      <c r="D3980" s="15" t="s">
        <v>5326</v>
      </c>
      <c r="E3980" s="15">
        <v>1</v>
      </c>
      <c r="F3980" s="91" t="s">
        <v>1688</v>
      </c>
      <c r="G3980" s="4"/>
      <c r="H3980" s="4"/>
      <c r="I3980" s="4"/>
    </row>
    <row r="3981" spans="1:9" ht="15">
      <c r="A3981" s="21">
        <f t="shared" si="75"/>
        <v>49</v>
      </c>
      <c r="B3981" s="19" t="s">
        <v>5328</v>
      </c>
      <c r="C3981" s="85" t="str">
        <f ca="1">IFERROR(__xludf.DUMMYFUNCTION("GOOGLETRANSLATE(B3981:B3996,""RU"",""UK"")"),"Змащення ЦИАТИМ 201/203 (банку 0,8кг)")</f>
        <v>Змащення ЦИАТИМ 201/203 (банку 0,8кг)</v>
      </c>
      <c r="D3981" s="15" t="s">
        <v>5326</v>
      </c>
      <c r="E3981" s="15" t="s">
        <v>3137</v>
      </c>
      <c r="F3981" s="91" t="s">
        <v>185</v>
      </c>
      <c r="G3981" s="4"/>
      <c r="H3981" s="4"/>
      <c r="I3981" s="4"/>
    </row>
    <row r="3982" spans="1:9" ht="15">
      <c r="A3982" s="21">
        <f t="shared" si="75"/>
        <v>50</v>
      </c>
      <c r="B3982" s="16" t="s">
        <v>5329</v>
      </c>
      <c r="C3982" s="85" t="str">
        <f ca="1">IFERROR(__xludf.DUMMYFUNCTION("GOOGLETRANSLATE(B3982:B3997,""RU"",""UK"")"),"Змащення ЦИАТИМ 221 (банку 0,8 кг)")</f>
        <v>Змащення ЦИАТИМ 221 (банку 0,8 кг)</v>
      </c>
      <c r="D3982" s="17" t="s">
        <v>5326</v>
      </c>
      <c r="E3982" s="17">
        <v>4</v>
      </c>
      <c r="F3982" s="92" t="s">
        <v>102</v>
      </c>
      <c r="G3982" s="4"/>
      <c r="H3982" s="4"/>
      <c r="I3982" s="4"/>
    </row>
    <row r="3983" spans="1:9" ht="15">
      <c r="A3983" s="21">
        <f t="shared" si="75"/>
        <v>51</v>
      </c>
      <c r="B3983" s="14" t="s">
        <v>5330</v>
      </c>
      <c r="C3983" s="85" t="str">
        <f ca="1">IFERROR(__xludf.DUMMYFUNCTION("GOOGLETRANSLATE(B3983:B3998,""RU"",""UK"")"),"Змащення СОЛІДОЛ-Ж (банку 0,8 кг)")</f>
        <v>Змащення СОЛІДОЛ-Ж (банку 0,8 кг)</v>
      </c>
      <c r="D3983" s="15" t="s">
        <v>5326</v>
      </c>
      <c r="E3983" s="15">
        <v>2</v>
      </c>
      <c r="F3983" s="91" t="s">
        <v>5331</v>
      </c>
      <c r="G3983" s="4"/>
      <c r="H3983" s="4"/>
      <c r="I3983" s="4"/>
    </row>
    <row r="3984" spans="1:9" ht="15">
      <c r="A3984" s="21">
        <f t="shared" si="75"/>
        <v>52</v>
      </c>
      <c r="B3984" s="14" t="s">
        <v>5332</v>
      </c>
      <c r="C3984" s="85" t="str">
        <f ca="1">IFERROR(__xludf.DUMMYFUNCTION("GOOGLETRANSLATE(B3984:B3999,""RU"",""UK"")"),"ВД-40 (банку 200мл)")</f>
        <v>ВД-40 (банку 200мл)</v>
      </c>
      <c r="D3984" s="17" t="s">
        <v>5326</v>
      </c>
      <c r="E3984" s="17">
        <v>17</v>
      </c>
      <c r="F3984" s="91" t="s">
        <v>567</v>
      </c>
      <c r="G3984" s="4"/>
      <c r="H3984" s="4"/>
      <c r="I3984" s="4"/>
    </row>
    <row r="3985" spans="1:9" ht="15">
      <c r="A3985" s="21">
        <f t="shared" si="75"/>
        <v>53</v>
      </c>
      <c r="B3985" s="14" t="s">
        <v>5333</v>
      </c>
      <c r="C3985" s="115" t="str">
        <f ca="1">IFERROR(__xludf.DUMMYFUNCTION("GOOGLETRANSLATE(B3985:B4000,""RU"",""UK"")"),"ВД-40 (банку 400мл)")</f>
        <v>ВД-40 (банку 400мл)</v>
      </c>
      <c r="D3985" s="17" t="s">
        <v>5326</v>
      </c>
      <c r="E3985" s="17">
        <v>2</v>
      </c>
      <c r="F3985" s="91" t="s">
        <v>461</v>
      </c>
      <c r="G3985" s="4"/>
      <c r="H3985" s="4"/>
      <c r="I3985" s="4"/>
    </row>
    <row r="3986" spans="1:9" ht="15">
      <c r="A3986" s="68"/>
      <c r="B3986" s="69"/>
      <c r="C3986" s="119" t="s">
        <v>6055</v>
      </c>
      <c r="D3986" s="69"/>
      <c r="E3986" s="69"/>
      <c r="F3986" s="106"/>
      <c r="G3986" s="4"/>
      <c r="H3986" s="4"/>
      <c r="I3986" s="4"/>
    </row>
    <row r="3987" spans="1:9" ht="15">
      <c r="A3987" s="13">
        <v>1</v>
      </c>
      <c r="B3987" s="80" t="s">
        <v>5334</v>
      </c>
      <c r="C3987" s="47" t="str">
        <f ca="1">IFERROR(__xludf.DUMMYFUNCTION("GOOGLETRANSLATE(B3987:B4002,""RU"",""UK"")"),"МИЛО ГОСПОДАРСЬКЕ Улюблене 200г")</f>
        <v>МИЛО ГОСПОДАРСЬКЕ Улюблене 200г</v>
      </c>
      <c r="D3987" s="15" t="s">
        <v>6</v>
      </c>
      <c r="E3987" s="15">
        <v>75</v>
      </c>
      <c r="F3987" s="91" t="s">
        <v>241</v>
      </c>
      <c r="G3987" s="4"/>
      <c r="H3987" s="4"/>
      <c r="I3987" s="4"/>
    </row>
    <row r="3988" spans="1:9" ht="15">
      <c r="A3988" s="13">
        <f>A3987+1</f>
        <v>2</v>
      </c>
      <c r="B3988" s="14" t="s">
        <v>5335</v>
      </c>
      <c r="C3988" s="85" t="str">
        <f ca="1">IFERROR(__xludf.DUMMYFUNCTION("GOOGLETRANSLATE(B3988:B4003,""RU"",""UK"")"),"Мило господарське біле 72% 200гр. (1ящ х120шт)")</f>
        <v>Мило господарське біле 72% 200гр. (1ящ х120шт)</v>
      </c>
      <c r="D3988" s="15" t="s">
        <v>6</v>
      </c>
      <c r="E3988" s="15">
        <v>130</v>
      </c>
      <c r="F3988" s="91" t="s">
        <v>5336</v>
      </c>
      <c r="G3988" s="4"/>
      <c r="H3988" s="4"/>
      <c r="I3988" s="4"/>
    </row>
    <row r="3989" spans="1:9" ht="15">
      <c r="A3989" s="21">
        <f t="shared" ref="A3989:A3998" si="76">A3988+1</f>
        <v>3</v>
      </c>
      <c r="B3989" s="14" t="s">
        <v>5337</v>
      </c>
      <c r="C3989" s="85" t="str">
        <f ca="1">IFERROR(__xludf.DUMMYFUNCTION("GOOGLETRANSLATE(B3989:B4004,""RU"",""UK"")"),"Мило туалетне")</f>
        <v>Мило туалетне</v>
      </c>
      <c r="D3989" s="15" t="s">
        <v>6</v>
      </c>
      <c r="E3989" s="15">
        <v>8</v>
      </c>
      <c r="F3989" s="91" t="s">
        <v>5338</v>
      </c>
      <c r="G3989" s="4"/>
      <c r="H3989" s="4"/>
      <c r="I3989" s="4"/>
    </row>
    <row r="3990" spans="1:9" ht="15">
      <c r="A3990" s="21">
        <f t="shared" si="76"/>
        <v>4</v>
      </c>
      <c r="B3990" s="45" t="s">
        <v>5339</v>
      </c>
      <c r="C3990" s="85" t="str">
        <f ca="1">IFERROR(__xludf.DUMMYFUNCTION("GOOGLETRANSLATE(B3990:B4005,""RU"",""UK"")"),"Helper засіб для миття посуду 495мл")</f>
        <v>Helper засіб для миття посуду 495мл</v>
      </c>
      <c r="D3990" s="15" t="s">
        <v>6</v>
      </c>
      <c r="E3990" s="15">
        <v>12</v>
      </c>
      <c r="F3990" s="91" t="s">
        <v>5340</v>
      </c>
      <c r="G3990" s="4"/>
      <c r="H3990" s="4"/>
      <c r="I3990" s="4"/>
    </row>
    <row r="3991" spans="1:9" ht="15">
      <c r="A3991" s="21">
        <f t="shared" si="76"/>
        <v>5</v>
      </c>
      <c r="B3991" s="14" t="s">
        <v>5341</v>
      </c>
      <c r="C3991" s="85" t="str">
        <f ca="1">IFERROR(__xludf.DUMMYFUNCTION("GOOGLETRANSLATE(B3991:B4006,""RU"",""UK"")"),"Засіб миючий ""Доместос"" 0,5л")</f>
        <v>Засіб миючий "Доместос" 0,5л</v>
      </c>
      <c r="D3991" s="15" t="s">
        <v>6</v>
      </c>
      <c r="E3991" s="15">
        <v>2</v>
      </c>
      <c r="F3991" s="91" t="s">
        <v>5342</v>
      </c>
      <c r="G3991" s="4"/>
      <c r="H3991" s="4"/>
      <c r="I3991" s="4"/>
    </row>
    <row r="3992" spans="1:9" ht="15">
      <c r="A3992" s="21">
        <f t="shared" si="76"/>
        <v>6</v>
      </c>
      <c r="B3992" s="14" t="s">
        <v>5343</v>
      </c>
      <c r="C3992" s="85" t="str">
        <f ca="1">IFERROR(__xludf.DUMMYFUNCTION("GOOGLETRANSLATE(B3992:B4007,""RU"",""UK"")"),"Гель для унітазів ЄЖ 800мл")</f>
        <v>Гель для унітазів ЄЖ 800мл</v>
      </c>
      <c r="D3992" s="15" t="s">
        <v>6</v>
      </c>
      <c r="E3992" s="15">
        <v>1</v>
      </c>
      <c r="F3992" s="91" t="s">
        <v>596</v>
      </c>
      <c r="G3992" s="4"/>
      <c r="H3992" s="4"/>
      <c r="I3992" s="4"/>
    </row>
    <row r="3993" spans="1:9" ht="15">
      <c r="A3993" s="21">
        <f t="shared" si="76"/>
        <v>7</v>
      </c>
      <c r="B3993" s="16" t="s">
        <v>5344</v>
      </c>
      <c r="C3993" s="85" t="str">
        <f ca="1">IFERROR(__xludf.DUMMYFUNCTION("GOOGLETRANSLATE(B3993:B4008,""RU"",""UK"")"),"Паста для миття рук ""Автомайстер"" 550г")</f>
        <v>Паста для миття рук "Автомайстер" 550г</v>
      </c>
      <c r="D3993" s="15" t="s">
        <v>6</v>
      </c>
      <c r="E3993" s="15">
        <v>83</v>
      </c>
      <c r="F3993" s="91" t="s">
        <v>5345</v>
      </c>
      <c r="G3993" s="4"/>
      <c r="H3993" s="4"/>
      <c r="I3993" s="4"/>
    </row>
    <row r="3994" spans="1:9" ht="15">
      <c r="A3994" s="21">
        <f t="shared" si="76"/>
        <v>8</v>
      </c>
      <c r="B3994" s="14" t="s">
        <v>5346</v>
      </c>
      <c r="C3994" s="85" t="str">
        <f ca="1">IFERROR(__xludf.DUMMYFUNCTION("GOOGLETRANSLATE(B3994:B4009,""RU"",""UK"")"),"Білизна 1л.")</f>
        <v>Білизна 1л.</v>
      </c>
      <c r="D3994" s="15" t="s">
        <v>6</v>
      </c>
      <c r="E3994" s="15">
        <v>10</v>
      </c>
      <c r="F3994" s="91" t="s">
        <v>5347</v>
      </c>
      <c r="G3994" s="4"/>
      <c r="H3994" s="4"/>
      <c r="I3994" s="4"/>
    </row>
    <row r="3995" spans="1:9" ht="15">
      <c r="A3995" s="21">
        <f t="shared" si="76"/>
        <v>9</v>
      </c>
      <c r="B3995" s="14" t="s">
        <v>5348</v>
      </c>
      <c r="C3995" s="85" t="str">
        <f ca="1">IFERROR(__xludf.DUMMYFUNCTION("GOOGLETRANSLATE(B3995:B4010,""RU"",""UK"")"),"Пакет для сміття 35л")</f>
        <v>Пакет для сміття 35л</v>
      </c>
      <c r="D3995" s="15" t="s">
        <v>6</v>
      </c>
      <c r="E3995" s="15">
        <v>6</v>
      </c>
      <c r="F3995" s="91" t="s">
        <v>5349</v>
      </c>
      <c r="G3995" s="4"/>
      <c r="H3995" s="4"/>
      <c r="I3995" s="4"/>
    </row>
    <row r="3996" spans="1:9" ht="15">
      <c r="A3996" s="21">
        <f t="shared" si="76"/>
        <v>10</v>
      </c>
      <c r="B3996" s="14" t="s">
        <v>5350</v>
      </c>
      <c r="C3996" s="85" t="str">
        <f ca="1">IFERROR(__xludf.DUMMYFUNCTION("GOOGLETRANSLATE(B3996:B4011,""RU"",""UK"")"),"Пакет для сміття 60л")</f>
        <v>Пакет для сміття 60л</v>
      </c>
      <c r="D3996" s="15" t="s">
        <v>6</v>
      </c>
      <c r="E3996" s="15">
        <v>12</v>
      </c>
      <c r="F3996" s="91" t="s">
        <v>290</v>
      </c>
      <c r="G3996" s="4"/>
      <c r="H3996" s="4"/>
      <c r="I3996" s="4"/>
    </row>
    <row r="3997" spans="1:9" ht="15">
      <c r="A3997" s="21">
        <f t="shared" si="76"/>
        <v>11</v>
      </c>
      <c r="B3997" s="14" t="s">
        <v>5351</v>
      </c>
      <c r="C3997" s="85" t="str">
        <f ca="1">IFERROR(__xludf.DUMMYFUNCTION("GOOGLETRANSLATE(B3997:B4012,""RU"",""UK"")"),"Папір туалетний Обухів (48)")</f>
        <v>Папір туалетний Обухів (48)</v>
      </c>
      <c r="D3997" s="15" t="s">
        <v>6</v>
      </c>
      <c r="E3997" s="15">
        <v>48</v>
      </c>
      <c r="F3997" s="91" t="s">
        <v>1384</v>
      </c>
      <c r="G3997" s="4"/>
      <c r="H3997" s="4"/>
      <c r="I3997" s="4"/>
    </row>
    <row r="3998" spans="1:9" ht="15">
      <c r="A3998" s="21">
        <f t="shared" si="76"/>
        <v>12</v>
      </c>
      <c r="B3998" s="14" t="s">
        <v>5352</v>
      </c>
      <c r="C3998" s="115" t="str">
        <f ca="1">IFERROR(__xludf.DUMMYFUNCTION("GOOGLETRANSLATE(B3998:B4013,""RU"",""UK"")"),"Освіжувач повітря")</f>
        <v>Освіжувач повітря</v>
      </c>
      <c r="D3998" s="15" t="s">
        <v>6</v>
      </c>
      <c r="E3998" s="15">
        <v>1</v>
      </c>
      <c r="F3998" s="91" t="s">
        <v>5353</v>
      </c>
      <c r="G3998" s="4"/>
      <c r="H3998" s="4"/>
      <c r="I3998" s="4"/>
    </row>
    <row r="3999" spans="1:9" ht="15">
      <c r="A3999" s="68"/>
      <c r="B3999" s="69"/>
      <c r="C3999" s="119" t="s">
        <v>6056</v>
      </c>
      <c r="D3999" s="69"/>
      <c r="E3999" s="69"/>
      <c r="F3999" s="106"/>
      <c r="G3999" s="4"/>
      <c r="H3999" s="4"/>
      <c r="I3999" s="4"/>
    </row>
    <row r="4000" spans="1:9" ht="15">
      <c r="A4000" s="13">
        <v>1</v>
      </c>
      <c r="B4000" s="14" t="s">
        <v>5354</v>
      </c>
      <c r="C4000" s="47" t="str">
        <f ca="1">IFERROR(__xludf.DUMMYFUNCTION("GOOGLETRANSLATE(B4000:B4015,""RU"",""UK"")"),"Каска стор.-монт.")</f>
        <v>Каска стор.-монт.</v>
      </c>
      <c r="D4000" s="15" t="s">
        <v>6</v>
      </c>
      <c r="E4000" s="15">
        <v>1</v>
      </c>
      <c r="F4000" s="91" t="s">
        <v>304</v>
      </c>
      <c r="G4000" s="4"/>
      <c r="H4000" s="4"/>
      <c r="I4000" s="4"/>
    </row>
    <row r="4001" spans="1:9" ht="15">
      <c r="A4001" s="13">
        <v>2</v>
      </c>
      <c r="B4001" s="14" t="s">
        <v>5355</v>
      </c>
      <c r="C4001" s="85" t="str">
        <f ca="1">IFERROR(__xludf.DUMMYFUNCTION("GOOGLETRANSLATE(B4001:B4016,""RU"",""UK"")"),"Брезентові рукавиці")</f>
        <v>Брезентові рукавиці</v>
      </c>
      <c r="D4001" s="15" t="s">
        <v>5356</v>
      </c>
      <c r="E4001" s="15">
        <v>307</v>
      </c>
      <c r="F4001" s="91" t="s">
        <v>417</v>
      </c>
      <c r="G4001" s="4"/>
      <c r="H4001" s="4"/>
      <c r="I4001" s="4"/>
    </row>
    <row r="4002" spans="1:9" ht="15">
      <c r="A4002" s="13">
        <v>3</v>
      </c>
      <c r="B4002" s="14" t="s">
        <v>5357</v>
      </c>
      <c r="C4002" s="85" t="str">
        <f ca="1">IFERROR(__xludf.DUMMYFUNCTION("GOOGLETRANSLATE(B4002:B4017,""RU"",""UK"")"),"Брезентові рукавиці 2-й наладонник")</f>
        <v>Брезентові рукавиці 2-й наладонник</v>
      </c>
      <c r="D4002" s="15" t="s">
        <v>5356</v>
      </c>
      <c r="E4002" s="15">
        <v>10</v>
      </c>
      <c r="F4002" s="91" t="s">
        <v>5358</v>
      </c>
      <c r="G4002" s="4"/>
      <c r="H4002" s="4"/>
      <c r="I4002" s="4"/>
    </row>
    <row r="4003" spans="1:9" ht="15">
      <c r="A4003" s="13">
        <v>5</v>
      </c>
      <c r="B4003" s="14" t="s">
        <v>5359</v>
      </c>
      <c r="C4003" s="85" t="str">
        <f ca="1">IFERROR(__xludf.DUMMYFUNCTION("GOOGLETRANSLATE(B4003:B4018,""RU"",""UK"")"),"Рукавички робочі трикотаж із ПВХ-точкою (помаранчеві)(арт.132) 47гр.")</f>
        <v>Рукавички робочі трикотаж із ПВХ-точкою (помаранчеві)(арт.132) 47гр.</v>
      </c>
      <c r="D4003" s="15" t="s">
        <v>5356</v>
      </c>
      <c r="E4003" s="15">
        <v>110</v>
      </c>
      <c r="F4003" s="91" t="s">
        <v>5360</v>
      </c>
      <c r="G4003" s="4"/>
      <c r="H4003" s="4"/>
      <c r="I4003" s="4"/>
    </row>
    <row r="4004" spans="1:9" ht="15">
      <c r="A4004" s="13">
        <v>8</v>
      </c>
      <c r="B4004" s="16" t="s">
        <v>5361</v>
      </c>
      <c r="C4004" s="85" t="str">
        <f ca="1">IFERROR(__xludf.DUMMYFUNCTION("GOOGLETRANSLATE(B4004:B4019,""RU"",""UK"")"),"Рукавиці для зварювальника шкіра ""Краги""")</f>
        <v>Рукавиці для зварювальника шкіра "Краги"</v>
      </c>
      <c r="D4004" s="15" t="s">
        <v>5356</v>
      </c>
      <c r="E4004" s="15">
        <v>0</v>
      </c>
      <c r="F4004" s="91" t="s">
        <v>760</v>
      </c>
      <c r="G4004" s="4"/>
      <c r="H4004" s="4"/>
      <c r="I4004" s="4"/>
    </row>
    <row r="4005" spans="1:9" ht="15">
      <c r="A4005" s="13">
        <v>9</v>
      </c>
      <c r="B4005" s="14" t="s">
        <v>5362</v>
      </c>
      <c r="C4005" s="85" t="str">
        <f ca="1">IFERROR(__xludf.DUMMYFUNCTION("GOOGLETRANSLATE(B4005:B4020,""RU"",""UK"")"),"Рукавички гумові госп.")</f>
        <v>Рукавички гумові госп.</v>
      </c>
      <c r="D4005" s="15" t="s">
        <v>5356</v>
      </c>
      <c r="E4005" s="15">
        <v>10</v>
      </c>
      <c r="F4005" s="91" t="s">
        <v>575</v>
      </c>
      <c r="G4005" s="4"/>
      <c r="H4005" s="4"/>
      <c r="I4005" s="4"/>
    </row>
    <row r="4006" spans="1:9" ht="15">
      <c r="A4006" s="13">
        <v>10</v>
      </c>
      <c r="B4006" s="14" t="s">
        <v>5363</v>
      </c>
      <c r="C4006" s="85" t="str">
        <f ca="1">IFERROR(__xludf.DUMMYFUNCTION("GOOGLETRANSLATE(B4006:B4021,""RU"",""UK"")"),"Рукавички гумові сині")</f>
        <v>Рукавички гумові сині</v>
      </c>
      <c r="D4006" s="15" t="s">
        <v>5356</v>
      </c>
      <c r="E4006" s="15">
        <v>40</v>
      </c>
      <c r="F4006" s="91" t="s">
        <v>1277</v>
      </c>
      <c r="G4006" s="4"/>
      <c r="H4006" s="4"/>
      <c r="I4006" s="4"/>
    </row>
    <row r="4007" spans="1:9" ht="15">
      <c r="A4007" s="13">
        <v>11</v>
      </c>
      <c r="B4007" s="14" t="s">
        <v>5364</v>
      </c>
      <c r="C4007" s="85" t="str">
        <f ca="1">IFERROR(__xludf.DUMMYFUNCTION("GOOGLETRANSLATE(B4007:B4022,""RU"",""UK"")"),"Рукавички масло-бензостійкі МБС (червоні)")</f>
        <v>Рукавички масло-бензостійкі МБС (червоні)</v>
      </c>
      <c r="D4007" s="15" t="s">
        <v>5356</v>
      </c>
      <c r="E4007" s="15">
        <v>0</v>
      </c>
      <c r="F4007" s="91" t="s">
        <v>201</v>
      </c>
      <c r="G4007" s="4"/>
      <c r="H4007" s="4"/>
      <c r="I4007" s="4"/>
    </row>
    <row r="4008" spans="1:9" ht="15">
      <c r="A4008" s="13">
        <v>12</v>
      </c>
      <c r="B4008" s="14" t="s">
        <v>5365</v>
      </c>
      <c r="C4008" s="85" t="str">
        <f ca="1">IFERROR(__xludf.DUMMYFUNCTION("GOOGLETRANSLATE(B4008:B4023,""RU"",""UK"")"),"Рукавички гумові з внутр. напиленням, тип ""Латекс"" ХL (сині)")</f>
        <v>Рукавички гумові з внутр. напиленням, тип "Латекс" ХL (сині)</v>
      </c>
      <c r="D4008" s="15" t="s">
        <v>5356</v>
      </c>
      <c r="E4008" s="15">
        <v>4</v>
      </c>
      <c r="F4008" s="91" t="s">
        <v>5246</v>
      </c>
      <c r="G4008" s="4"/>
      <c r="H4008" s="4"/>
      <c r="I4008" s="4"/>
    </row>
    <row r="4009" spans="1:9" ht="15">
      <c r="A4009" s="13">
        <v>13</v>
      </c>
      <c r="B4009" s="14" t="s">
        <v>5366</v>
      </c>
      <c r="C4009" s="85" t="str">
        <f ca="1">IFERROR(__xludf.DUMMYFUNCTION("GOOGLETRANSLATE(B4009:B4024,""RU"",""UK"")"),"Рукавички спилка")</f>
        <v>Рукавички спилка</v>
      </c>
      <c r="D4009" s="15" t="s">
        <v>5356</v>
      </c>
      <c r="E4009" s="15">
        <v>1</v>
      </c>
      <c r="F4009" s="91" t="s">
        <v>226</v>
      </c>
      <c r="G4009" s="4"/>
      <c r="H4009" s="4"/>
      <c r="I4009" s="4"/>
    </row>
    <row r="4010" spans="1:9" ht="15">
      <c r="A4010" s="13">
        <v>14</v>
      </c>
      <c r="B4010" s="14" t="s">
        <v>5367</v>
      </c>
      <c r="C4010" s="85" t="str">
        <f ca="1">IFERROR(__xludf.DUMMYFUNCTION("GOOGLETRANSLATE(B4010:B4025,""RU"",""UK"")"),"Рукавички робочі шкіра жовті")</f>
        <v>Рукавички робочі шкіра жовті</v>
      </c>
      <c r="D4010" s="15" t="s">
        <v>5356</v>
      </c>
      <c r="E4010" s="15">
        <v>8</v>
      </c>
      <c r="F4010" s="91">
        <v>111</v>
      </c>
      <c r="G4010" s="4"/>
      <c r="H4010" s="4"/>
      <c r="I4010" s="4"/>
    </row>
    <row r="4011" spans="1:9" ht="15">
      <c r="A4011" s="13">
        <v>16</v>
      </c>
      <c r="B4011" s="14" t="s">
        <v>5368</v>
      </c>
      <c r="C4011" s="85" t="str">
        <f ca="1">IFERROR(__xludf.DUMMYFUNCTION("GOOGLETRANSLATE(B4011:B4026,""RU"",""UK"")"),"Респіратор з клапаном паралон У-2К (напівмаска-захист від пилу та аерозолів)")</f>
        <v>Респіратор з клапаном паралон У-2К (напівмаска-захист від пилу та аерозолів)</v>
      </c>
      <c r="D4011" s="15" t="s">
        <v>6</v>
      </c>
      <c r="E4011" s="15">
        <v>4</v>
      </c>
      <c r="F4011" s="91" t="s">
        <v>134</v>
      </c>
      <c r="G4011" s="4"/>
      <c r="H4011" s="4"/>
      <c r="I4011" s="4"/>
    </row>
    <row r="4012" spans="1:9" ht="15">
      <c r="A4012" s="13">
        <v>17</v>
      </c>
      <c r="B4012" s="14" t="s">
        <v>5369</v>
      </c>
      <c r="C4012" s="85" t="str">
        <f ca="1">IFERROR(__xludf.DUMMYFUNCTION("GOOGLETRANSLATE(B4012:B4027,""RU"",""UK"")"),"Респіратор пелюсток")</f>
        <v>Респіратор пелюсток</v>
      </c>
      <c r="D4012" s="15" t="s">
        <v>6</v>
      </c>
      <c r="E4012" s="15">
        <v>11</v>
      </c>
      <c r="F4012" s="91" t="s">
        <v>361</v>
      </c>
      <c r="G4012" s="4"/>
      <c r="H4012" s="4"/>
      <c r="I4012" s="4"/>
    </row>
    <row r="4013" spans="1:9" ht="15">
      <c r="A4013" s="13">
        <v>18</v>
      </c>
      <c r="B4013" s="16" t="s">
        <v>5370</v>
      </c>
      <c r="C4013" s="85" t="str">
        <f ca="1">IFERROR(__xludf.DUMMYFUNCTION("GOOGLETRANSLATE(B4013:B4028,""RU"",""UK"")"),"Респіратор вугільний РУ-60М")</f>
        <v>Респіратор вугільний РУ-60М</v>
      </c>
      <c r="D4013" s="15" t="s">
        <v>6</v>
      </c>
      <c r="E4013" s="15">
        <v>2</v>
      </c>
      <c r="F4013" s="91" t="s">
        <v>218</v>
      </c>
      <c r="G4013" s="4"/>
      <c r="H4013" s="4"/>
      <c r="I4013" s="4"/>
    </row>
    <row r="4014" spans="1:9" ht="15">
      <c r="A4014" s="13">
        <v>19</v>
      </c>
      <c r="B4014" s="16" t="s">
        <v>5371</v>
      </c>
      <c r="C4014" s="85" t="str">
        <f ca="1">IFERROR(__xludf.DUMMYFUNCTION("GOOGLETRANSLATE(B4014:B4029,""RU"",""UK"")"),"Окуляри захисні закритий силікон.")</f>
        <v>Окуляри захисні закритий силікон.</v>
      </c>
      <c r="D4014" s="15" t="s">
        <v>6</v>
      </c>
      <c r="E4014" s="15">
        <v>0</v>
      </c>
      <c r="F4014" s="91" t="s">
        <v>5372</v>
      </c>
      <c r="G4014" s="4"/>
      <c r="H4014" s="4"/>
      <c r="I4014" s="4"/>
    </row>
    <row r="4015" spans="1:9" ht="15">
      <c r="A4015" s="13">
        <v>21</v>
      </c>
      <c r="B4015" s="14" t="s">
        <v>5373</v>
      </c>
      <c r="C4015" s="85" t="str">
        <f ca="1">IFERROR(__xludf.DUMMYFUNCTION("GOOGLETRANSLATE(B4015:B4030,""RU"",""UK"")"),"Окуляри захисні відкрите скло")</f>
        <v>Окуляри захисні відкрите скло</v>
      </c>
      <c r="D4015" s="15" t="s">
        <v>6</v>
      </c>
      <c r="E4015" s="15">
        <v>0</v>
      </c>
      <c r="F4015" s="91" t="s">
        <v>5374</v>
      </c>
      <c r="G4015" s="4"/>
      <c r="H4015" s="4"/>
      <c r="I4015" s="4"/>
    </row>
    <row r="4016" spans="1:9" ht="15">
      <c r="A4016" s="13">
        <v>22</v>
      </c>
      <c r="B4016" s="14" t="s">
        <v>5375</v>
      </c>
      <c r="C4016" s="85" t="str">
        <f ca="1">IFERROR(__xludf.DUMMYFUNCTION("GOOGLETRANSLATE(B4016:B4031,""RU"",""UK"")"),"Протигаз Ф313, Ф528")</f>
        <v>Протигаз Ф313, Ф528</v>
      </c>
      <c r="D4016" s="15" t="s">
        <v>6</v>
      </c>
      <c r="E4016" s="15">
        <v>108</v>
      </c>
      <c r="F4016" s="91" t="s">
        <v>214</v>
      </c>
      <c r="G4016" s="4"/>
      <c r="H4016" s="4"/>
      <c r="I4016" s="4"/>
    </row>
    <row r="4017" spans="1:9" ht="15">
      <c r="A4017" s="68"/>
      <c r="B4017" s="69"/>
      <c r="C4017" s="110" t="s">
        <v>6057</v>
      </c>
      <c r="D4017" s="69"/>
      <c r="E4017" s="69"/>
      <c r="F4017" s="106"/>
      <c r="G4017" s="4"/>
      <c r="H4017" s="4"/>
      <c r="I4017" s="4"/>
    </row>
    <row r="4018" spans="1:9" ht="15">
      <c r="A4018" s="13">
        <v>1</v>
      </c>
      <c r="B4018" s="14" t="s">
        <v>5376</v>
      </c>
      <c r="C4018" s="85" t="str">
        <f ca="1">IFERROR(__xludf.DUMMYFUNCTION("GOOGLETRANSLATE(B4018:B4033,""RU"",""UK"")"),"МТП - 1М 0 - 2,5 кг/см2")</f>
        <v>МТП - 1М 0 - 2,5 кг/см2</v>
      </c>
      <c r="D4018" s="15" t="s">
        <v>6</v>
      </c>
      <c r="E4018" s="15">
        <v>408</v>
      </c>
      <c r="F4018" s="91" t="s">
        <v>319</v>
      </c>
      <c r="G4018" s="4"/>
      <c r="H4018" s="4"/>
      <c r="I4018" s="4"/>
    </row>
    <row r="4019" spans="1:9" ht="15">
      <c r="A4019" s="13">
        <v>2</v>
      </c>
      <c r="B4019" s="14" t="s">
        <v>5377</v>
      </c>
      <c r="C4019" s="85" t="str">
        <f ca="1">IFERROR(__xludf.DUMMYFUNCTION("GOOGLETRANSLATE(B4019:B4034,""RU"",""UK"")"),"МТП - 1М 0 - 6 кг/см2")</f>
        <v>МТП - 1М 0 - 6 кг/см2</v>
      </c>
      <c r="D4019" s="15" t="s">
        <v>6</v>
      </c>
      <c r="E4019" s="15">
        <v>27</v>
      </c>
      <c r="F4019" s="91" t="s">
        <v>319</v>
      </c>
      <c r="G4019" s="4"/>
      <c r="H4019" s="4"/>
      <c r="I4019" s="4"/>
    </row>
    <row r="4020" spans="1:9" ht="15">
      <c r="A4020" s="13">
        <v>3</v>
      </c>
      <c r="B4020" s="14" t="s">
        <v>5378</v>
      </c>
      <c r="C4020" s="85" t="str">
        <f ca="1">IFERROR(__xludf.DUMMYFUNCTION("GOOGLETRANSLATE(B4020:B4035,""RU"",""UK"")"),"МТП - 1М 0 - 10 кг/см2")</f>
        <v>МТП - 1М 0 - 10 кг/см2</v>
      </c>
      <c r="D4020" s="15" t="s">
        <v>6</v>
      </c>
      <c r="E4020" s="15">
        <v>3</v>
      </c>
      <c r="F4020" s="91" t="s">
        <v>319</v>
      </c>
      <c r="G4020" s="4"/>
      <c r="H4020" s="4"/>
      <c r="I4020" s="4"/>
    </row>
    <row r="4021" spans="1:9" ht="15">
      <c r="A4021" s="13">
        <v>4</v>
      </c>
      <c r="B4021" s="14" t="s">
        <v>5379</v>
      </c>
      <c r="C4021" s="85" t="str">
        <f ca="1">IFERROR(__xludf.DUMMYFUNCTION("GOOGLETRANSLATE(B4021:B4036,""RU"",""UK"")"),"МТП - 1М 0 - 16 кг/см2")</f>
        <v>МТП - 1М 0 - 16 кг/см2</v>
      </c>
      <c r="D4021" s="15" t="s">
        <v>6</v>
      </c>
      <c r="E4021" s="15">
        <v>9</v>
      </c>
      <c r="F4021" s="91" t="s">
        <v>319</v>
      </c>
      <c r="G4021" s="4"/>
      <c r="H4021" s="4"/>
      <c r="I4021" s="4"/>
    </row>
    <row r="4022" spans="1:9" ht="15">
      <c r="A4022" s="13">
        <v>5</v>
      </c>
      <c r="B4022" s="14" t="s">
        <v>5380</v>
      </c>
      <c r="C4022" s="85" t="str">
        <f ca="1">IFERROR(__xludf.DUMMYFUNCTION("GOOGLETRANSLATE(B4022:B4037,""RU"",""UK"")"),"МТП - 1М 0 - 40 кг/см2")</f>
        <v>МТП - 1М 0 - 40 кг/см2</v>
      </c>
      <c r="D4022" s="15" t="s">
        <v>6</v>
      </c>
      <c r="E4022" s="15">
        <v>19</v>
      </c>
      <c r="F4022" s="91" t="s">
        <v>319</v>
      </c>
      <c r="G4022" s="4"/>
      <c r="H4022" s="4"/>
      <c r="I4022" s="4"/>
    </row>
    <row r="4023" spans="1:9" ht="15">
      <c r="A4023" s="13">
        <v>6</v>
      </c>
      <c r="B4023" s="14" t="s">
        <v>5381</v>
      </c>
      <c r="C4023" s="85" t="str">
        <f ca="1">IFERROR(__xludf.DUMMYFUNCTION("GOOGLETRANSLATE(B4023:B4038,""RU"",""UK"")"),"МТП - 1М 0 - 60 кг/см2")</f>
        <v>МТП - 1М 0 - 60 кг/см2</v>
      </c>
      <c r="D4023" s="15" t="s">
        <v>6</v>
      </c>
      <c r="E4023" s="15">
        <v>73</v>
      </c>
      <c r="F4023" s="91" t="s">
        <v>319</v>
      </c>
      <c r="G4023" s="4"/>
      <c r="H4023" s="4"/>
      <c r="I4023" s="4"/>
    </row>
    <row r="4024" spans="1:9" ht="15">
      <c r="A4024" s="13">
        <v>7</v>
      </c>
      <c r="B4024" s="14" t="s">
        <v>5382</v>
      </c>
      <c r="C4024" s="85" t="str">
        <f ca="1">IFERROR(__xludf.DUMMYFUNCTION("GOOGLETRANSLATE(B4024:B4039,""RU"",""UK"")"),"МТП – 1М (МТ) 0 – 100 кг/см2")</f>
        <v>МТП – 1М (МТ) 0 – 100 кг/см2</v>
      </c>
      <c r="D4024" s="15" t="s">
        <v>6</v>
      </c>
      <c r="E4024" s="15">
        <v>35</v>
      </c>
      <c r="F4024" s="91" t="s">
        <v>319</v>
      </c>
      <c r="G4024" s="4"/>
      <c r="H4024" s="4"/>
      <c r="I4024" s="4"/>
    </row>
    <row r="4025" spans="1:9" ht="15">
      <c r="A4025" s="13">
        <v>8</v>
      </c>
      <c r="B4025" s="14" t="s">
        <v>5383</v>
      </c>
      <c r="C4025" s="85" t="str">
        <f ca="1">IFERROR(__xludf.DUMMYFUNCTION("GOOGLETRANSLATE(B4025:B4040,""RU"",""UK"")"),"МТП - 1М 0 - 160 кг/см2")</f>
        <v>МТП - 1М 0 - 160 кг/см2</v>
      </c>
      <c r="D4025" s="15" t="s">
        <v>6</v>
      </c>
      <c r="E4025" s="15">
        <v>3</v>
      </c>
      <c r="F4025" s="91" t="s">
        <v>319</v>
      </c>
      <c r="G4025" s="4"/>
      <c r="H4025" s="4"/>
      <c r="I4025" s="4"/>
    </row>
    <row r="4026" spans="1:9" ht="15">
      <c r="A4026" s="13">
        <v>9</v>
      </c>
      <c r="B4026" s="14" t="s">
        <v>5384</v>
      </c>
      <c r="C4026" s="85" t="str">
        <f ca="1">IFERROR(__xludf.DUMMYFUNCTION("GOOGLETRANSLATE(B4026:B4041,""RU"",""UK"")"),"МТП - 100 0 - 1 кг/см2")</f>
        <v>МТП - 100 0 - 1 кг/см2</v>
      </c>
      <c r="D4026" s="15" t="s">
        <v>6</v>
      </c>
      <c r="E4026" s="15">
        <v>3</v>
      </c>
      <c r="F4026" s="91" t="s">
        <v>327</v>
      </c>
      <c r="G4026" s="4"/>
      <c r="H4026" s="4"/>
      <c r="I4026" s="4"/>
    </row>
    <row r="4027" spans="1:9" ht="15">
      <c r="A4027" s="13">
        <v>10</v>
      </c>
      <c r="B4027" s="14" t="s">
        <v>5385</v>
      </c>
      <c r="C4027" s="85" t="str">
        <f ca="1">IFERROR(__xludf.DUMMYFUNCTION("GOOGLETRANSLATE(B4027:B4042,""RU"",""UK"")"),"ОБМ 1 - 100 0 - 1,6 кг/см2/0-6кг/см2")</f>
        <v>ОБМ 1 - 100 0 - 1,6 кг/см2/0-6кг/см2</v>
      </c>
      <c r="D4027" s="15" t="s">
        <v>6</v>
      </c>
      <c r="E4027" s="15" t="s">
        <v>749</v>
      </c>
      <c r="F4027" s="91" t="s">
        <v>327</v>
      </c>
      <c r="G4027" s="4"/>
      <c r="H4027" s="4"/>
      <c r="I4027" s="4"/>
    </row>
    <row r="4028" spans="1:9" ht="15">
      <c r="A4028" s="13">
        <v>11</v>
      </c>
      <c r="B4028" s="14" t="s">
        <v>5386</v>
      </c>
      <c r="C4028" s="85" t="str">
        <f ca="1">IFERROR(__xludf.DUMMYFUNCTION("GOOGLETRANSLATE(B4028:B4043,""RU"",""UK"")"),"МТП - 100 0 - 2,5 кг/см2")</f>
        <v>МТП - 100 0 - 2,5 кг/см2</v>
      </c>
      <c r="D4028" s="15" t="s">
        <v>6</v>
      </c>
      <c r="E4028" s="15">
        <v>21</v>
      </c>
      <c r="F4028" s="91" t="s">
        <v>327</v>
      </c>
      <c r="G4028" s="4"/>
      <c r="H4028" s="4"/>
      <c r="I4028" s="4"/>
    </row>
    <row r="4029" spans="1:9" ht="15">
      <c r="A4029" s="13">
        <v>12</v>
      </c>
      <c r="B4029" s="14" t="s">
        <v>5387</v>
      </c>
      <c r="C4029" s="85" t="str">
        <f ca="1">IFERROR(__xludf.DUMMYFUNCTION("GOOGLETRANSLATE(B4029:B4044,""RU"",""UK"")"),"МТП - 100 0 - 4 кг/см2")</f>
        <v>МТП - 100 0 - 4 кг/см2</v>
      </c>
      <c r="D4029" s="15" t="s">
        <v>6</v>
      </c>
      <c r="E4029" s="15">
        <v>1</v>
      </c>
      <c r="F4029" s="91" t="s">
        <v>327</v>
      </c>
      <c r="G4029" s="4"/>
      <c r="H4029" s="4"/>
      <c r="I4029" s="4"/>
    </row>
    <row r="4030" spans="1:9" ht="15">
      <c r="A4030" s="13">
        <v>14</v>
      </c>
      <c r="B4030" s="14" t="s">
        <v>5388</v>
      </c>
      <c r="C4030" s="85" t="str">
        <f ca="1">IFERROR(__xludf.DUMMYFUNCTION("GOOGLETRANSLATE(B4030:B4045,""RU"",""UK"")"),"ДМ – 100 0 – 16 кг/см2 (1,6МРа)")</f>
        <v>ДМ – 100 0 – 16 кг/см2 (1,6МРа)</v>
      </c>
      <c r="D4030" s="15" t="s">
        <v>6</v>
      </c>
      <c r="E4030" s="15">
        <v>2</v>
      </c>
      <c r="F4030" s="91" t="s">
        <v>327</v>
      </c>
      <c r="G4030" s="4"/>
      <c r="H4030" s="4"/>
      <c r="I4030" s="4"/>
    </row>
    <row r="4031" spans="1:9" ht="15">
      <c r="A4031" s="13">
        <v>16</v>
      </c>
      <c r="B4031" s="14" t="s">
        <v>5389</v>
      </c>
      <c r="C4031" s="85" t="str">
        <f ca="1">IFERROR(__xludf.DUMMYFUNCTION("GOOGLETRANSLATE(B4031:B4046,""RU"",""UK"")"),"МТП - 160 0 - 2,5 кг/см2 / МТІ 160 0 - 2,5 кг/см2")</f>
        <v>МТП - 160 0 - 2,5 кг/см2 / МТІ 160 0 - 2,5 кг/см2</v>
      </c>
      <c r="D4031" s="15" t="s">
        <v>6</v>
      </c>
      <c r="E4031" s="15" t="s">
        <v>5390</v>
      </c>
      <c r="F4031" s="91" t="s">
        <v>128</v>
      </c>
      <c r="G4031" s="4"/>
      <c r="H4031" s="4"/>
      <c r="I4031" s="4"/>
    </row>
    <row r="4032" spans="1:9" ht="15">
      <c r="A4032" s="13">
        <v>17</v>
      </c>
      <c r="B4032" s="14" t="s">
        <v>5391</v>
      </c>
      <c r="C4032" s="85" t="str">
        <f ca="1">IFERROR(__xludf.DUMMYFUNCTION("GOOGLETRANSLATE(B4032:B4047,""RU"",""UK"")"),"KFM - 160 0 - 4кг/см2")</f>
        <v>KFM - 160 0 - 4кг/см2</v>
      </c>
      <c r="D4032" s="15" t="s">
        <v>6</v>
      </c>
      <c r="E4032" s="15">
        <v>10</v>
      </c>
      <c r="F4032" s="91" t="s">
        <v>128</v>
      </c>
      <c r="G4032" s="4"/>
      <c r="H4032" s="4"/>
      <c r="I4032" s="4"/>
    </row>
    <row r="4033" spans="1:9" ht="15">
      <c r="A4033" s="13">
        <v>18</v>
      </c>
      <c r="B4033" s="14" t="s">
        <v>5392</v>
      </c>
      <c r="C4033" s="85" t="str">
        <f ca="1">IFERROR(__xludf.DUMMYFUNCTION("GOOGLETRANSLATE(B4033:B4048,""RU"",""UK"")"),"МП4-У - 160 0 - 6кг/см2 / ОБМ1 - 160Б 0 - 6кг/см2")</f>
        <v>МП4-У - 160 0 - 6кг/см2 / ОБМ1 - 160Б 0 - 6кг/см2</v>
      </c>
      <c r="D4033" s="15" t="s">
        <v>6</v>
      </c>
      <c r="E4033" s="15" t="s">
        <v>438</v>
      </c>
      <c r="F4033" s="91" t="s">
        <v>128</v>
      </c>
      <c r="G4033" s="4"/>
      <c r="H4033" s="4"/>
      <c r="I4033" s="4"/>
    </row>
    <row r="4034" spans="1:9" ht="15">
      <c r="A4034" s="13">
        <v>19</v>
      </c>
      <c r="B4034" s="14" t="s">
        <v>5393</v>
      </c>
      <c r="C4034" s="85" t="str">
        <f ca="1">IFERROR(__xludf.DUMMYFUNCTION("GOOGLETRANSLATE(B4034:B4049,""RU"",""UK"")"),"TGL - 160 0 - 10кг/см2 (1,0МРа)")</f>
        <v>TGL - 160 0 - 10кг/см2 (1,0МРа)</v>
      </c>
      <c r="D4034" s="15" t="s">
        <v>6</v>
      </c>
      <c r="E4034" s="15">
        <v>1</v>
      </c>
      <c r="F4034" s="91" t="s">
        <v>128</v>
      </c>
      <c r="G4034" s="4"/>
      <c r="H4034" s="4"/>
      <c r="I4034" s="4"/>
    </row>
    <row r="4035" spans="1:9" ht="15">
      <c r="A4035" s="13">
        <v>20</v>
      </c>
      <c r="B4035" s="14" t="s">
        <v>5394</v>
      </c>
      <c r="C4035" s="85" t="str">
        <f ca="1">IFERROR(__xludf.DUMMYFUNCTION("GOOGLETRANSLATE(B4035:B4050,""RU"",""UK"")"),"KFM - 160 0 - 40кг/см2")</f>
        <v>KFM - 160 0 - 40кг/см2</v>
      </c>
      <c r="D4035" s="15" t="s">
        <v>6</v>
      </c>
      <c r="E4035" s="15">
        <v>18</v>
      </c>
      <c r="F4035" s="91" t="s">
        <v>128</v>
      </c>
      <c r="G4035" s="4"/>
      <c r="H4035" s="4"/>
      <c r="I4035" s="4"/>
    </row>
    <row r="4036" spans="1:9" ht="15">
      <c r="A4036" s="13">
        <v>21</v>
      </c>
      <c r="B4036" s="14" t="s">
        <v>5395</v>
      </c>
      <c r="C4036" s="85" t="str">
        <f ca="1">IFERROR(__xludf.DUMMYFUNCTION("GOOGLETRANSLATE(B4036:B4051,""RU"",""UK"")"),"МТП / МП4У - 160 0 - 100 кг/см2 (10МРа)")</f>
        <v>МТП / МП4У - 160 0 - 100 кг/см2 (10МРа)</v>
      </c>
      <c r="D4036" s="15" t="s">
        <v>6</v>
      </c>
      <c r="E4036" s="15" t="s">
        <v>696</v>
      </c>
      <c r="F4036" s="91" t="s">
        <v>128</v>
      </c>
      <c r="G4036" s="4"/>
      <c r="H4036" s="4"/>
      <c r="I4036" s="4"/>
    </row>
    <row r="4037" spans="1:9" ht="15">
      <c r="A4037" s="13">
        <v>22</v>
      </c>
      <c r="B4037" s="14" t="s">
        <v>5396</v>
      </c>
      <c r="C4037" s="85" t="str">
        <f ca="1">IFERROR(__xludf.DUMMYFUNCTION("GOOGLETRANSLATE(B4037:B4052,""RU"",""UK"")"),"Манометр МП5-250мм 0 – 10кг/см2")</f>
        <v>Манометр МП5-250мм 0 – 10кг/см2</v>
      </c>
      <c r="D4037" s="15" t="s">
        <v>6</v>
      </c>
      <c r="E4037" s="15">
        <v>2</v>
      </c>
      <c r="F4037" s="91" t="s">
        <v>272</v>
      </c>
      <c r="G4037" s="4"/>
      <c r="H4037" s="4"/>
      <c r="I4037" s="4"/>
    </row>
    <row r="4038" spans="1:9" ht="15">
      <c r="A4038" s="13">
        <v>23</v>
      </c>
      <c r="B4038" s="14" t="s">
        <v>5397</v>
      </c>
      <c r="C4038" s="85" t="str">
        <f ca="1">IFERROR(__xludf.DUMMYFUNCTION("GOOGLETRANSLATE(B4038:B4053,""RU"",""UK"")"),"Манометр М-250мм 0 – 40кг/см2")</f>
        <v>Манометр М-250мм 0 – 40кг/см2</v>
      </c>
      <c r="D4038" s="15" t="s">
        <v>6</v>
      </c>
      <c r="E4038" s="15">
        <v>1</v>
      </c>
      <c r="F4038" s="91" t="s">
        <v>272</v>
      </c>
      <c r="G4038" s="4"/>
      <c r="H4038" s="4"/>
      <c r="I4038" s="4"/>
    </row>
    <row r="4039" spans="1:9" ht="15">
      <c r="A4039" s="13">
        <v>24</v>
      </c>
      <c r="B4039" s="14" t="s">
        <v>5398</v>
      </c>
      <c r="C4039" s="85" t="str">
        <f ca="1">IFERROR(__xludf.DUMMYFUNCTION("GOOGLETRANSLATE(B4039:B4054,""RU"",""UK"")"),"ЕКМ - 1У 0 - 100кг/см2")</f>
        <v>ЕКМ - 1У 0 - 100кг/см2</v>
      </c>
      <c r="D4039" s="15" t="s">
        <v>6</v>
      </c>
      <c r="E4039" s="15">
        <v>1</v>
      </c>
      <c r="F4039" s="91" t="s">
        <v>231</v>
      </c>
      <c r="G4039" s="4"/>
      <c r="H4039" s="4"/>
      <c r="I4039" s="4"/>
    </row>
    <row r="4040" spans="1:9" ht="15">
      <c r="A4040" s="13">
        <v>25</v>
      </c>
      <c r="B4040" s="14" t="s">
        <v>5399</v>
      </c>
      <c r="C4040" s="85" t="str">
        <f ca="1">IFERROR(__xludf.DUMMYFUNCTION("GOOGLETRANSLATE(B4040:B4055,""RU"",""UK"")"),"ЕКМ - 1У 0 - 250кг/см2 = 25МРа")</f>
        <v>ЕКМ - 1У 0 - 250кг/см2 = 25МРа</v>
      </c>
      <c r="D4040" s="15" t="s">
        <v>6</v>
      </c>
      <c r="E4040" s="15">
        <v>3</v>
      </c>
      <c r="F4040" s="91" t="s">
        <v>231</v>
      </c>
      <c r="G4040" s="4"/>
      <c r="H4040" s="4"/>
      <c r="I4040" s="4"/>
    </row>
    <row r="4041" spans="1:9" ht="15">
      <c r="A4041" s="13">
        <v>26</v>
      </c>
      <c r="B4041" s="14" t="s">
        <v>5400</v>
      </c>
      <c r="C4041" s="85" t="str">
        <f ca="1">IFERROR(__xludf.DUMMYFUNCTION("GOOGLETRANSLATE(B4041:B4056,""RU"",""UK"")"),"Мановакумметр МВТПСд - 100 - ОМ2 R12 (-1-15кг/см2)")</f>
        <v>Мановакумметр МВТПСд - 100 - ОМ2 R12 (-1-15кг/см2)</v>
      </c>
      <c r="D4041" s="15" t="s">
        <v>6</v>
      </c>
      <c r="E4041" s="15">
        <v>1</v>
      </c>
      <c r="F4041" s="91" t="s">
        <v>272</v>
      </c>
      <c r="G4041" s="4"/>
      <c r="H4041" s="4"/>
      <c r="I4041" s="4"/>
    </row>
    <row r="4042" spans="1:9" ht="15">
      <c r="A4042" s="13">
        <v>27</v>
      </c>
      <c r="B4042" s="14" t="s">
        <v>5401</v>
      </c>
      <c r="C4042" s="85" t="str">
        <f ca="1">IFERROR(__xludf.DUMMYFUNCTION("GOOGLETRANSLATE(B4042:B4057,""RU"",""UK"")"),"Термометр ртутний. технічний -20 - +20 *")</f>
        <v>Термометр ртутний. технічний -20 - +20 *</v>
      </c>
      <c r="D4042" s="15" t="s">
        <v>6</v>
      </c>
      <c r="E4042" s="15">
        <v>1</v>
      </c>
      <c r="F4042" s="91" t="s">
        <v>327</v>
      </c>
      <c r="G4042" s="4"/>
      <c r="H4042" s="4"/>
      <c r="I4042" s="4"/>
    </row>
    <row r="4043" spans="1:9" ht="15">
      <c r="A4043" s="13">
        <v>28</v>
      </c>
      <c r="B4043" s="14" t="s">
        <v>5402</v>
      </c>
      <c r="C4043" s="85" t="str">
        <f ca="1">IFERROR(__xludf.DUMMYFUNCTION("GOOGLETRANSLATE(B4043:B4058,""RU"",""UK"")"),"Термометр ртутний. Лабор. 0 - +50*")</f>
        <v>Термометр ртутний. Лабор. 0 - +50*</v>
      </c>
      <c r="D4043" s="15" t="s">
        <v>6</v>
      </c>
      <c r="E4043" s="15">
        <v>1</v>
      </c>
      <c r="F4043" s="91" t="s">
        <v>272</v>
      </c>
      <c r="G4043" s="4"/>
      <c r="H4043" s="4"/>
      <c r="I4043" s="4"/>
    </row>
    <row r="4044" spans="1:9" ht="15">
      <c r="A4044" s="13">
        <v>29</v>
      </c>
      <c r="B4044" s="14" t="s">
        <v>5403</v>
      </c>
      <c r="C4044" s="85" t="str">
        <f ca="1">IFERROR(__xludf.DUMMYFUNCTION("GOOGLETRANSLATE(B4044:B4059,""RU"",""UK"")"),"Термометр ртутний. Лабор. 0 - +55*")</f>
        <v>Термометр ртутний. Лабор. 0 - +55*</v>
      </c>
      <c r="D4044" s="15" t="s">
        <v>6</v>
      </c>
      <c r="E4044" s="15">
        <v>9</v>
      </c>
      <c r="F4044" s="91" t="s">
        <v>272</v>
      </c>
      <c r="G4044" s="4"/>
      <c r="H4044" s="4"/>
      <c r="I4044" s="4"/>
    </row>
    <row r="4045" spans="1:9" ht="15">
      <c r="A4045" s="13">
        <v>30</v>
      </c>
      <c r="B4045" s="14" t="s">
        <v>5404</v>
      </c>
      <c r="C4045" s="85" t="str">
        <f ca="1">IFERROR(__xludf.DUMMYFUNCTION("GOOGLETRANSLATE(B4045:B4060,""RU"",""UK"")"),"Термометр ртутний. Лабор. 0 - +100 *")</f>
        <v>Термометр ртутний. Лабор. 0 - +100 *</v>
      </c>
      <c r="D4045" s="15" t="s">
        <v>6</v>
      </c>
      <c r="E4045" s="15">
        <v>3</v>
      </c>
      <c r="F4045" s="91" t="s">
        <v>272</v>
      </c>
      <c r="G4045" s="4"/>
      <c r="H4045" s="4"/>
      <c r="I4045" s="4"/>
    </row>
    <row r="4046" spans="1:9" ht="15">
      <c r="A4046" s="13">
        <v>31</v>
      </c>
      <c r="B4046" s="14" t="s">
        <v>5405</v>
      </c>
      <c r="C4046" s="85" t="str">
        <f ca="1">IFERROR(__xludf.DUMMYFUNCTION("GOOGLETRANSLATE(B4046:B4061,""RU"",""UK"")"),"Термометр ртутний. Лабор. 50 - +100 *")</f>
        <v>Термометр ртутний. Лабор. 50 - +100 *</v>
      </c>
      <c r="D4046" s="15" t="s">
        <v>6</v>
      </c>
      <c r="E4046" s="15">
        <v>10</v>
      </c>
      <c r="F4046" s="91" t="s">
        <v>272</v>
      </c>
      <c r="G4046" s="4"/>
      <c r="H4046" s="4"/>
      <c r="I4046" s="4"/>
    </row>
    <row r="4047" spans="1:9" ht="15">
      <c r="A4047" s="13">
        <v>32</v>
      </c>
      <c r="B4047" s="14" t="s">
        <v>5406</v>
      </c>
      <c r="C4047" s="85" t="str">
        <f ca="1">IFERROR(__xludf.DUMMYFUNCTION("GOOGLETRANSLATE(B4047:B4062,""RU"",""UK"")"),"Термометр ртутний. Лабор. 0 - +360 *")</f>
        <v>Термометр ртутний. Лабор. 0 - +360 *</v>
      </c>
      <c r="D4047" s="15" t="s">
        <v>6</v>
      </c>
      <c r="E4047" s="15">
        <v>5</v>
      </c>
      <c r="F4047" s="91" t="s">
        <v>272</v>
      </c>
      <c r="G4047" s="4"/>
      <c r="H4047" s="4"/>
      <c r="I4047" s="4"/>
    </row>
    <row r="4048" spans="1:9" ht="15">
      <c r="A4048" s="13">
        <v>33</v>
      </c>
      <c r="B4048" s="14" t="s">
        <v>5407</v>
      </c>
      <c r="C4048" s="85" t="str">
        <f ca="1">IFERROR(__xludf.DUMMYFUNCTION("GOOGLETRANSLATE(B4048:B4063,""RU"",""UK"")"),"Ареометр для спирту АСП-1 (Діапазон вимір. 0-105%) Загальна довжина 350 мм")</f>
        <v>Ареометр для спирту АСП-1 (Діапазон вимір. 0-105%) Загальна довжина 350 мм</v>
      </c>
      <c r="D4048" s="15" t="s">
        <v>6</v>
      </c>
      <c r="E4048" s="15">
        <v>1</v>
      </c>
      <c r="F4048" s="91" t="s">
        <v>272</v>
      </c>
      <c r="G4048" s="4"/>
      <c r="H4048" s="4"/>
      <c r="I4048" s="4"/>
    </row>
    <row r="4049" spans="1:9" ht="15">
      <c r="A4049" s="68"/>
      <c r="B4049" s="69"/>
      <c r="C4049" s="110" t="s">
        <v>6058</v>
      </c>
      <c r="D4049" s="69"/>
      <c r="E4049" s="69"/>
      <c r="F4049" s="106"/>
      <c r="G4049" s="4"/>
      <c r="H4049" s="4"/>
      <c r="I4049" s="4"/>
    </row>
    <row r="4050" spans="1:9" ht="15">
      <c r="A4050" s="13">
        <v>1</v>
      </c>
      <c r="B4050" s="14" t="s">
        <v>5408</v>
      </c>
      <c r="C4050" s="85" t="str">
        <f ca="1">IFERROR(__xludf.DUMMYFUNCTION("GOOGLETRANSLATE(B4050:B4065,""RU"",""UK"")"),"Ланцюг приводний ролик. ПР - 15,875 шир. 17мм (1,65м.х18шт)")</f>
        <v>Ланцюг приводний ролик. ПР - 15,875 шир. 17мм (1,65м.х18шт)</v>
      </c>
      <c r="D4050" s="15" t="s">
        <v>634</v>
      </c>
      <c r="E4050" s="15" t="s">
        <v>5409</v>
      </c>
      <c r="F4050" s="91" t="s">
        <v>327</v>
      </c>
      <c r="G4050" s="4"/>
      <c r="H4050" s="4"/>
      <c r="I4050" s="4"/>
    </row>
    <row r="4051" spans="1:9" ht="15">
      <c r="A4051" s="13">
        <v>2</v>
      </c>
      <c r="B4051" s="14" t="s">
        <v>5410</v>
      </c>
      <c r="C4051" s="85" t="str">
        <f ca="1">IFERROR(__xludf.DUMMYFUNCTION("GOOGLETRANSLATE(B4051:B4066,""RU"",""UK"")"),"Ланцюг приводний ролик. ПР – 19,05-2500 (4,5м)")</f>
        <v>Ланцюг приводний ролик. ПР – 19,05-2500 (4,5м)</v>
      </c>
      <c r="D4051" s="15" t="s">
        <v>634</v>
      </c>
      <c r="E4051" s="15" t="s">
        <v>5411</v>
      </c>
      <c r="F4051" s="91" t="s">
        <v>24</v>
      </c>
      <c r="G4051" s="4"/>
      <c r="H4051" s="4"/>
      <c r="I4051" s="4"/>
    </row>
    <row r="4052" spans="1:9" ht="15">
      <c r="A4052" s="13">
        <v>3</v>
      </c>
      <c r="B4052" s="14" t="s">
        <v>5412</v>
      </c>
      <c r="C4052" s="85" t="str">
        <f ca="1">IFERROR(__xludf.DUMMYFUNCTION("GOOGLETRANSLATE(B4052:B4067,""RU"",""UK"")"),"Ланцюг приводний ролик. ПР – 19,05-2500 (5,0м)")</f>
        <v>Ланцюг приводний ролик. ПР – 19,05-2500 (5,0м)</v>
      </c>
      <c r="D4052" s="15" t="s">
        <v>634</v>
      </c>
      <c r="E4052" s="15">
        <v>110</v>
      </c>
      <c r="F4052" s="91" t="s">
        <v>24</v>
      </c>
      <c r="G4052" s="4"/>
      <c r="H4052" s="4"/>
      <c r="I4052" s="4"/>
    </row>
    <row r="4053" spans="1:9" ht="15">
      <c r="A4053" s="13">
        <v>4</v>
      </c>
      <c r="B4053" s="14" t="s">
        <v>5413</v>
      </c>
      <c r="C4053" s="85" t="str">
        <f ca="1">IFERROR(__xludf.DUMMYFUNCTION("GOOGLETRANSLATE(B4053:B4068,""RU"",""UK"")"),"Ланцюг приводний ролик. ПР - 25,4 (рамер валика 16х16мм) (4шт по 1,75м)")</f>
        <v>Ланцюг приводний ролик. ПР - 25,4 (рамер валика 16х16мм) (4шт по 1,75м)</v>
      </c>
      <c r="D4053" s="15" t="s">
        <v>634</v>
      </c>
      <c r="E4053" s="15" t="s">
        <v>5414</v>
      </c>
      <c r="F4053" s="91" t="s">
        <v>106</v>
      </c>
      <c r="G4053" s="4"/>
      <c r="H4053" s="4"/>
      <c r="I4053" s="4"/>
    </row>
    <row r="4054" spans="1:9" ht="15">
      <c r="A4054" s="13">
        <v>5</v>
      </c>
      <c r="B4054" s="14" t="s">
        <v>5415</v>
      </c>
      <c r="C4054" s="85" t="str">
        <f ca="1">IFERROR(__xludf.DUMMYFUNCTION("GOOGLETRANSLATE(B4054:B4069,""RU"",""UK"")"),"Ланцюг приводний ролик. ПР – 35,0-5000 (5,0м)")</f>
        <v>Ланцюг приводний ролик. ПР – 35,0-5000 (5,0м)</v>
      </c>
      <c r="D4054" s="15" t="s">
        <v>634</v>
      </c>
      <c r="E4054" s="15">
        <v>40</v>
      </c>
      <c r="F4054" s="91" t="s">
        <v>16</v>
      </c>
      <c r="G4054" s="4"/>
      <c r="H4054" s="4"/>
      <c r="I4054" s="4"/>
    </row>
    <row r="4055" spans="1:9" ht="15">
      <c r="A4055" s="13">
        <v>6</v>
      </c>
      <c r="B4055" s="14" t="s">
        <v>5416</v>
      </c>
      <c r="C4055" s="85" t="str">
        <f ca="1">IFERROR(__xludf.DUMMYFUNCTION("GOOGLETRANSLATE(B4055:B4070,""RU"",""UK"")"),"Замок ланцюга в ком-ті 15.875")</f>
        <v>Замок ланцюга в ком-ті 15.875</v>
      </c>
      <c r="D4055" s="15" t="s">
        <v>4370</v>
      </c>
      <c r="E4055" s="15">
        <v>10</v>
      </c>
      <c r="F4055" s="91" t="s">
        <v>366</v>
      </c>
      <c r="G4055" s="4"/>
      <c r="H4055" s="4"/>
      <c r="I4055" s="4"/>
    </row>
    <row r="4056" spans="1:9" ht="15">
      <c r="A4056" s="13">
        <v>7</v>
      </c>
      <c r="B4056" s="14" t="s">
        <v>5417</v>
      </c>
      <c r="C4056" s="85" t="str">
        <f ca="1">IFERROR(__xludf.DUMMYFUNCTION("GOOGLETRANSLATE(B4056:B4071,""RU"",""UK"")"),"Замок ланцюга в ком-ті 25.4")</f>
        <v>Замок ланцюга в ком-ті 25.4</v>
      </c>
      <c r="D4056" s="15" t="s">
        <v>4370</v>
      </c>
      <c r="E4056" s="15">
        <v>3</v>
      </c>
      <c r="F4056" s="91" t="s">
        <v>181</v>
      </c>
      <c r="G4056" s="4"/>
      <c r="H4056" s="4"/>
      <c r="I4056" s="4"/>
    </row>
    <row r="4057" spans="1:9" ht="15">
      <c r="A4057" s="13">
        <v>8</v>
      </c>
      <c r="B4057" s="14" t="s">
        <v>5418</v>
      </c>
      <c r="C4057" s="115" t="str">
        <f ca="1">IFERROR(__xludf.DUMMYFUNCTION("GOOGLETRANSLATE(B4057:B4072,""RU"",""UK"")"),"Замок ланцюга в ком-ті 44.45")</f>
        <v>Замок ланцюга в ком-ті 44.45</v>
      </c>
      <c r="D4057" s="15" t="s">
        <v>4370</v>
      </c>
      <c r="E4057" s="15">
        <v>2</v>
      </c>
      <c r="F4057" s="91" t="s">
        <v>181</v>
      </c>
      <c r="G4057" s="4"/>
      <c r="H4057" s="4"/>
      <c r="I4057" s="4"/>
    </row>
    <row r="4058" spans="1:9" ht="15">
      <c r="A4058" s="68"/>
      <c r="B4058" s="69"/>
      <c r="C4058" s="119" t="s">
        <v>6059</v>
      </c>
      <c r="D4058" s="69"/>
      <c r="E4058" s="69"/>
      <c r="F4058" s="106"/>
      <c r="G4058" s="4"/>
      <c r="H4058" s="4"/>
      <c r="I4058" s="4"/>
    </row>
    <row r="4059" spans="1:9" ht="15">
      <c r="A4059" s="13">
        <v>1</v>
      </c>
      <c r="B4059" s="14" t="s">
        <v>5419</v>
      </c>
      <c r="C4059" s="47" t="str">
        <f ca="1">IFERROR(__xludf.DUMMYFUNCTION("GOOGLETRANSLATE(B4059:B4074,""RU"",""UK"")"),"Набивання сальникове плетене графітове АП - 31 4х4мм")</f>
        <v>Набивання сальникове плетене графітове АП - 31 4х4мм</v>
      </c>
      <c r="D4059" s="15" t="s">
        <v>130</v>
      </c>
      <c r="E4059" s="15">
        <v>55</v>
      </c>
      <c r="F4059" s="91" t="s">
        <v>104</v>
      </c>
      <c r="G4059" s="4"/>
      <c r="H4059" s="4"/>
      <c r="I4059" s="4"/>
    </row>
    <row r="4060" spans="1:9" ht="15">
      <c r="A4060" s="13">
        <v>2</v>
      </c>
      <c r="B4060" s="14" t="s">
        <v>5420</v>
      </c>
      <c r="C4060" s="85" t="str">
        <f ca="1">IFERROR(__xludf.DUMMYFUNCTION("GOOGLETRANSLATE(B4060:B4075,""RU"",""UK"")"),"Набивання сальникове плетене графітове АП - 31 5х5мм")</f>
        <v>Набивання сальникове плетене графітове АП - 31 5х5мм</v>
      </c>
      <c r="D4060" s="15" t="s">
        <v>130</v>
      </c>
      <c r="E4060" s="15">
        <v>17</v>
      </c>
      <c r="F4060" s="91" t="s">
        <v>104</v>
      </c>
      <c r="G4060" s="4"/>
      <c r="H4060" s="4"/>
      <c r="I4060" s="4"/>
    </row>
    <row r="4061" spans="1:9" ht="15">
      <c r="A4061" s="13">
        <v>3</v>
      </c>
      <c r="B4061" s="14" t="s">
        <v>5421</v>
      </c>
      <c r="C4061" s="85" t="str">
        <f ca="1">IFERROR(__xludf.DUMMYFUNCTION("GOOGLETRANSLATE(B4061:B4076,""RU"",""UK"")"),"Набивання сальникове плетене графітове АП - 31 32х32мм")</f>
        <v>Набивання сальникове плетене графітове АП - 31 32х32мм</v>
      </c>
      <c r="D4061" s="15" t="s">
        <v>130</v>
      </c>
      <c r="E4061" s="15">
        <v>16</v>
      </c>
      <c r="F4061" s="91" t="s">
        <v>104</v>
      </c>
      <c r="G4061" s="4"/>
      <c r="H4061" s="4"/>
      <c r="I4061" s="4"/>
    </row>
    <row r="4062" spans="1:9" ht="15">
      <c r="A4062" s="13">
        <v>4</v>
      </c>
      <c r="B4062" s="14" t="s">
        <v>5422</v>
      </c>
      <c r="C4062" s="85" t="str">
        <f ca="1">IFERROR(__xludf.DUMMYFUNCTION("GOOGLETRANSLATE(B4062:B4077,""RU"",""UK"")"),"Набивання сальникове плетене графітове АП - 31 35х35мм")</f>
        <v>Набивання сальникове плетене графітове АП - 31 35х35мм</v>
      </c>
      <c r="D4062" s="15" t="s">
        <v>130</v>
      </c>
      <c r="E4062" s="15">
        <v>147</v>
      </c>
      <c r="F4062" s="91" t="s">
        <v>104</v>
      </c>
      <c r="G4062" s="4"/>
      <c r="H4062" s="4"/>
      <c r="I4062" s="4"/>
    </row>
    <row r="4063" spans="1:9" ht="15">
      <c r="A4063" s="13">
        <v>5</v>
      </c>
      <c r="B4063" s="14" t="s">
        <v>5423</v>
      </c>
      <c r="C4063" s="85" t="str">
        <f ca="1">IFERROR(__xludf.DUMMYFUNCTION("GOOGLETRANSLATE(B4063:B4078,""RU"",""UK"")"),"Набивання сальникове плетене графітове АП - 31 43х43мм")</f>
        <v>Набивання сальникове плетене графітове АП - 31 43х43мм</v>
      </c>
      <c r="D4063" s="15" t="s">
        <v>130</v>
      </c>
      <c r="E4063" s="15">
        <v>106</v>
      </c>
      <c r="F4063" s="91" t="s">
        <v>104</v>
      </c>
      <c r="G4063" s="4"/>
      <c r="H4063" s="4"/>
      <c r="I4063" s="4"/>
    </row>
    <row r="4064" spans="1:9" ht="15">
      <c r="A4064" s="13">
        <v>6</v>
      </c>
      <c r="B4064" s="14" t="s">
        <v>5424</v>
      </c>
      <c r="C4064" s="85" t="str">
        <f ca="1">IFERROR(__xludf.DUMMYFUNCTION("GOOGLETRANSLATE(B4064:B4079,""RU"",""UK"")"),"Набивання сальникове плетене графітове ХБП 10х10мм")</f>
        <v>Набивання сальникове плетене графітове ХБП 10х10мм</v>
      </c>
      <c r="D4064" s="15" t="s">
        <v>130</v>
      </c>
      <c r="E4064" s="15">
        <v>7</v>
      </c>
      <c r="F4064" s="91" t="s">
        <v>104</v>
      </c>
      <c r="G4064" s="4"/>
      <c r="H4064" s="4"/>
      <c r="I4064" s="4"/>
    </row>
    <row r="4065" spans="1:9" ht="15">
      <c r="A4065" s="13">
        <v>7</v>
      </c>
      <c r="B4065" s="14" t="s">
        <v>5425</v>
      </c>
      <c r="C4065" s="85" t="str">
        <f ca="1">IFERROR(__xludf.DUMMYFUNCTION("GOOGLETRANSLATE(B4065:B4080,""RU"",""UK"")"),"Набивання сальникове плетене графітове ХБП 12х12мм")</f>
        <v>Набивання сальникове плетене графітове ХБП 12х12мм</v>
      </c>
      <c r="D4065" s="15" t="s">
        <v>130</v>
      </c>
      <c r="E4065" s="15">
        <v>5</v>
      </c>
      <c r="F4065" s="91" t="s">
        <v>104</v>
      </c>
      <c r="G4065" s="4"/>
      <c r="H4065" s="4"/>
      <c r="I4065" s="4"/>
    </row>
    <row r="4066" spans="1:9" ht="15">
      <c r="A4066" s="13">
        <v>8</v>
      </c>
      <c r="B4066" s="14" t="s">
        <v>5426</v>
      </c>
      <c r="C4066" s="85" t="str">
        <f ca="1">IFERROR(__xludf.DUMMYFUNCTION("GOOGLETRANSLATE(B4066:B4081,""RU"",""UK"")"),"Набивання сальникове плетене графітове ХБП 28х28мм")</f>
        <v>Набивання сальникове плетене графітове ХБП 28х28мм</v>
      </c>
      <c r="D4066" s="15" t="s">
        <v>130</v>
      </c>
      <c r="E4066" s="15">
        <v>25</v>
      </c>
      <c r="F4066" s="91" t="s">
        <v>2842</v>
      </c>
      <c r="G4066" s="4"/>
      <c r="H4066" s="4"/>
      <c r="I4066" s="4"/>
    </row>
    <row r="4067" spans="1:9" ht="15">
      <c r="A4067" s="13">
        <v>9</v>
      </c>
      <c r="B4067" s="14" t="s">
        <v>5427</v>
      </c>
      <c r="C4067" s="85" t="str">
        <f ca="1">IFERROR(__xludf.DUMMYFUNCTION("GOOGLETRANSLATE(B4067:B4082,""RU"",""UK"")"),"Набивання сальникове плетене графітове ХБП 50х50мм")</f>
        <v>Набивання сальникове плетене графітове ХБП 50х50мм</v>
      </c>
      <c r="D4067" s="15" t="s">
        <v>130</v>
      </c>
      <c r="E4067" s="15">
        <v>59</v>
      </c>
      <c r="F4067" s="91" t="s">
        <v>2842</v>
      </c>
      <c r="G4067" s="4"/>
      <c r="H4067" s="4"/>
      <c r="I4067" s="4"/>
    </row>
    <row r="4068" spans="1:9" ht="15">
      <c r="A4068" s="13">
        <v>10</v>
      </c>
      <c r="B4068" s="16" t="s">
        <v>5428</v>
      </c>
      <c r="C4068" s="85" t="str">
        <f ca="1">IFERROR(__xludf.DUMMYFUNCTION("GOOGLETRANSLATE(B4068:B4083,""RU"",""UK"")"),"Набивання сальникове плетене графітове ЛП 32х32мм")</f>
        <v>Набивання сальникове плетене графітове ЛП 32х32мм</v>
      </c>
      <c r="D4068" s="15" t="s">
        <v>130</v>
      </c>
      <c r="E4068" s="15">
        <v>35</v>
      </c>
      <c r="F4068" s="91" t="s">
        <v>2842</v>
      </c>
      <c r="G4068" s="4"/>
      <c r="H4068" s="4"/>
      <c r="I4068" s="4"/>
    </row>
    <row r="4069" spans="1:9" ht="15">
      <c r="A4069" s="13">
        <v>11</v>
      </c>
      <c r="B4069" s="14" t="s">
        <v>5429</v>
      </c>
      <c r="C4069" s="85" t="str">
        <f ca="1">IFERROR(__xludf.DUMMYFUNCTION("GOOGLETRANSLATE(B4069:B4084,""RU"",""UK"")"),"Набивання сальникове плетене графітове ЛП 34х34мм")</f>
        <v>Набивання сальникове плетене графітове ЛП 34х34мм</v>
      </c>
      <c r="D4069" s="15" t="s">
        <v>130</v>
      </c>
      <c r="E4069" s="15">
        <v>15</v>
      </c>
      <c r="F4069" s="91" t="s">
        <v>2842</v>
      </c>
      <c r="G4069" s="4"/>
      <c r="H4069" s="4"/>
      <c r="I4069" s="4"/>
    </row>
    <row r="4070" spans="1:9" ht="15">
      <c r="A4070" s="13">
        <v>12</v>
      </c>
      <c r="B4070" s="14" t="s">
        <v>5430</v>
      </c>
      <c r="C4070" s="85" t="str">
        <f ca="1">IFERROR(__xludf.DUMMYFUNCTION("GOOGLETRANSLATE(B4070:B4085,""RU"",""UK"")"),"Шнур азбестовий 2мм (бухта близько 2,5 кг)")</f>
        <v>Шнур азбестовий 2мм (бухта близько 2,5 кг)</v>
      </c>
      <c r="D4070" s="15" t="s">
        <v>6</v>
      </c>
      <c r="E4070" s="15">
        <v>2</v>
      </c>
      <c r="F4070" s="91" t="s">
        <v>22</v>
      </c>
      <c r="G4070" s="4"/>
      <c r="H4070" s="4"/>
      <c r="I4070" s="4"/>
    </row>
    <row r="4071" spans="1:9" ht="15">
      <c r="A4071" s="13">
        <v>13</v>
      </c>
      <c r="B4071" s="14" t="s">
        <v>5431</v>
      </c>
      <c r="C4071" s="85" t="str">
        <f ca="1">IFERROR(__xludf.DUMMYFUNCTION("GOOGLETRANSLATE(B4071:B4086,""RU"",""UK"")"),"Шнур азбестовий 4мм (бухта 2,3 кг) / 5мм (бухта 2,8 кг)")</f>
        <v>Шнур азбестовий 4мм (бухта 2,3 кг) / 5мм (бухта 2,8 кг)</v>
      </c>
      <c r="D4071" s="15" t="s">
        <v>130</v>
      </c>
      <c r="E4071" s="15" t="s">
        <v>5432</v>
      </c>
      <c r="F4071" s="91" t="s">
        <v>140</v>
      </c>
      <c r="G4071" s="4"/>
      <c r="H4071" s="4"/>
      <c r="I4071" s="4"/>
    </row>
    <row r="4072" spans="1:9" ht="15">
      <c r="A4072" s="68"/>
      <c r="B4072" s="69"/>
      <c r="C4072" s="110" t="s">
        <v>6060</v>
      </c>
      <c r="D4072" s="69"/>
      <c r="E4072" s="69"/>
      <c r="F4072" s="106"/>
      <c r="G4072" s="4"/>
      <c r="H4072" s="4"/>
      <c r="I4072" s="4"/>
    </row>
    <row r="4073" spans="1:9" ht="15">
      <c r="A4073" s="13">
        <v>1</v>
      </c>
      <c r="B4073" s="14" t="s">
        <v>5433</v>
      </c>
      <c r="C4073" s="85" t="str">
        <f ca="1">IFERROR(__xludf.DUMMYFUNCTION("GOOGLETRANSLATE(B4073:B4088,""RU"",""UK"")"),"Сальник 16х30")</f>
        <v>Сальник 16х30</v>
      </c>
      <c r="D4073" s="15" t="s">
        <v>6</v>
      </c>
      <c r="E4073" s="15">
        <v>3</v>
      </c>
      <c r="F4073" s="91" t="s">
        <v>1292</v>
      </c>
      <c r="G4073" s="4"/>
      <c r="H4073" s="4"/>
      <c r="I4073" s="4"/>
    </row>
    <row r="4074" spans="1:9" ht="15">
      <c r="A4074" s="13">
        <v>2</v>
      </c>
      <c r="B4074" s="14" t="s">
        <v>5434</v>
      </c>
      <c r="C4074" s="85" t="str">
        <f ca="1">IFERROR(__xludf.DUMMYFUNCTION("GOOGLETRANSLATE(B4074:B4089,""RU"",""UK"")"),"Сальник 20х40")</f>
        <v>Сальник 20х40</v>
      </c>
      <c r="D4074" s="15" t="s">
        <v>6</v>
      </c>
      <c r="E4074" s="15">
        <v>76</v>
      </c>
      <c r="F4074" s="91" t="s">
        <v>5435</v>
      </c>
      <c r="G4074" s="4"/>
      <c r="H4074" s="4"/>
      <c r="I4074" s="4"/>
    </row>
    <row r="4075" spans="1:9" ht="15">
      <c r="A4075" s="13">
        <v>3</v>
      </c>
      <c r="B4075" s="14" t="s">
        <v>5436</v>
      </c>
      <c r="C4075" s="85" t="str">
        <f ca="1">IFERROR(__xludf.DUMMYFUNCTION("GOOGLETRANSLATE(B4075:B4090,""RU"",""UK"")"),"Сальник 28х47")</f>
        <v>Сальник 28х47</v>
      </c>
      <c r="D4075" s="15" t="s">
        <v>6</v>
      </c>
      <c r="E4075" s="15">
        <v>9</v>
      </c>
      <c r="F4075" s="91" t="s">
        <v>1294</v>
      </c>
      <c r="G4075" s="4"/>
      <c r="H4075" s="4"/>
      <c r="I4075" s="4"/>
    </row>
    <row r="4076" spans="1:9" ht="15">
      <c r="A4076" s="13">
        <v>4</v>
      </c>
      <c r="B4076" s="14" t="s">
        <v>5437</v>
      </c>
      <c r="C4076" s="85" t="str">
        <f ca="1">IFERROR(__xludf.DUMMYFUNCTION("GOOGLETRANSLATE(B4076:B4091,""RU"",""UK"")"),"Сальник 30х52")</f>
        <v>Сальник 30х52</v>
      </c>
      <c r="D4076" s="15" t="s">
        <v>6</v>
      </c>
      <c r="E4076" s="15">
        <v>53</v>
      </c>
      <c r="F4076" s="91" t="s">
        <v>1349</v>
      </c>
      <c r="G4076" s="4"/>
      <c r="H4076" s="4"/>
      <c r="I4076" s="4"/>
    </row>
    <row r="4077" spans="1:9" ht="15">
      <c r="A4077" s="13">
        <v>5</v>
      </c>
      <c r="B4077" s="14" t="s">
        <v>5438</v>
      </c>
      <c r="C4077" s="85" t="str">
        <f ca="1">IFERROR(__xludf.DUMMYFUNCTION("GOOGLETRANSLATE(B4077:B4092,""RU"",""UK"")"),"Сальник 30х50")</f>
        <v>Сальник 30х50</v>
      </c>
      <c r="D4077" s="15" t="s">
        <v>6</v>
      </c>
      <c r="E4077" s="15">
        <v>10</v>
      </c>
      <c r="F4077" s="91" t="s">
        <v>1349</v>
      </c>
      <c r="G4077" s="4"/>
      <c r="H4077" s="4"/>
      <c r="I4077" s="4"/>
    </row>
    <row r="4078" spans="1:9" ht="15">
      <c r="A4078" s="13">
        <v>6</v>
      </c>
      <c r="B4078" s="14" t="s">
        <v>5439</v>
      </c>
      <c r="C4078" s="85" t="str">
        <f ca="1">IFERROR(__xludf.DUMMYFUNCTION("GOOGLETRANSLATE(B4078:B4093,""RU"",""UK"")"),"Сальник 32х47х10")</f>
        <v>Сальник 32х47х10</v>
      </c>
      <c r="D4078" s="15" t="s">
        <v>6</v>
      </c>
      <c r="E4078" s="15">
        <v>2</v>
      </c>
      <c r="F4078" s="91" t="s">
        <v>1349</v>
      </c>
      <c r="G4078" s="4"/>
      <c r="H4078" s="4"/>
      <c r="I4078" s="4"/>
    </row>
    <row r="4079" spans="1:9" ht="15">
      <c r="A4079" s="13">
        <v>7</v>
      </c>
      <c r="B4079" s="14" t="s">
        <v>5440</v>
      </c>
      <c r="C4079" s="85" t="str">
        <f ca="1">IFERROR(__xludf.DUMMYFUNCTION("GOOGLETRANSLATE(B4079:B4094,""RU"",""UK"")"),"Сальник 35х55х10")</f>
        <v>Сальник 35х55х10</v>
      </c>
      <c r="D4079" s="15" t="s">
        <v>6</v>
      </c>
      <c r="E4079" s="15">
        <v>22</v>
      </c>
      <c r="F4079" s="91" t="s">
        <v>5441</v>
      </c>
      <c r="G4079" s="4"/>
      <c r="H4079" s="4"/>
      <c r="I4079" s="4"/>
    </row>
    <row r="4080" spans="1:9" ht="15">
      <c r="A4080" s="13">
        <v>8</v>
      </c>
      <c r="B4080" s="14" t="s">
        <v>5442</v>
      </c>
      <c r="C4080" s="85" t="str">
        <f ca="1">IFERROR(__xludf.DUMMYFUNCTION("GOOGLETRANSLATE(B4080:B4095,""RU"",""UK"")"),"Сальник 38х58х10")</f>
        <v>Сальник 38х58х10</v>
      </c>
      <c r="D4080" s="15" t="s">
        <v>6</v>
      </c>
      <c r="E4080" s="15">
        <v>5</v>
      </c>
      <c r="F4080" s="91" t="s">
        <v>361</v>
      </c>
      <c r="G4080" s="4"/>
      <c r="H4080" s="4"/>
      <c r="I4080" s="4"/>
    </row>
    <row r="4081" spans="1:9" ht="15">
      <c r="A4081" s="13">
        <v>9</v>
      </c>
      <c r="B4081" s="14" t="s">
        <v>5443</v>
      </c>
      <c r="C4081" s="85" t="str">
        <f ca="1">IFERROR(__xludf.DUMMYFUNCTION("GOOGLETRANSLATE(B4081:B4096,""RU"",""UK"")"),"Сальник 45х65х10")</f>
        <v>Сальник 45х65х10</v>
      </c>
      <c r="D4081" s="15" t="s">
        <v>6</v>
      </c>
      <c r="E4081" s="15">
        <v>10</v>
      </c>
      <c r="F4081" s="91" t="s">
        <v>5444</v>
      </c>
      <c r="G4081" s="4"/>
      <c r="H4081" s="4"/>
      <c r="I4081" s="4"/>
    </row>
    <row r="4082" spans="1:9" ht="15">
      <c r="A4082" s="13">
        <v>10</v>
      </c>
      <c r="B4082" s="14" t="s">
        <v>5445</v>
      </c>
      <c r="C4082" s="85" t="str">
        <f ca="1">IFERROR(__xludf.DUMMYFUNCTION("GOOGLETRANSLATE(B4082:B4097,""RU"",""UK"")"),"Сальник 50х70х10+")</f>
        <v>Сальник 50х70х10+</v>
      </c>
      <c r="D4082" s="15" t="s">
        <v>6</v>
      </c>
      <c r="E4082" s="15">
        <v>16</v>
      </c>
      <c r="F4082" s="91" t="s">
        <v>610</v>
      </c>
      <c r="G4082" s="4"/>
      <c r="H4082" s="4"/>
      <c r="I4082" s="4"/>
    </row>
    <row r="4083" spans="1:9" ht="15">
      <c r="A4083" s="13">
        <v>11</v>
      </c>
      <c r="B4083" s="14" t="s">
        <v>5446</v>
      </c>
      <c r="C4083" s="85" t="str">
        <f ca="1">IFERROR(__xludf.DUMMYFUNCTION("GOOGLETRANSLATE(B4083:B4098,""RU"",""UK"")"),"Сальник 60х85х10")</f>
        <v>Сальник 60х85х10</v>
      </c>
      <c r="D4083" s="15" t="s">
        <v>6</v>
      </c>
      <c r="E4083" s="15">
        <v>5</v>
      </c>
      <c r="F4083" s="91" t="s">
        <v>417</v>
      </c>
      <c r="G4083" s="4"/>
      <c r="H4083" s="4"/>
      <c r="I4083" s="4"/>
    </row>
    <row r="4084" spans="1:9" ht="15">
      <c r="A4084" s="13">
        <v>12</v>
      </c>
      <c r="B4084" s="14" t="s">
        <v>5447</v>
      </c>
      <c r="C4084" s="85" t="str">
        <f ca="1">IFERROR(__xludf.DUMMYFUNCTION("GOOGLETRANSLATE(B4084:B4099,""RU"",""UK"")"),"Сальник 65х80х10")</f>
        <v>Сальник 65х80х10</v>
      </c>
      <c r="D4084" s="15" t="s">
        <v>6</v>
      </c>
      <c r="E4084" s="15">
        <v>12</v>
      </c>
      <c r="F4084" s="91" t="s">
        <v>290</v>
      </c>
      <c r="G4084" s="4"/>
      <c r="H4084" s="4"/>
      <c r="I4084" s="4"/>
    </row>
    <row r="4085" spans="1:9" ht="15">
      <c r="A4085" s="13">
        <v>13</v>
      </c>
      <c r="B4085" s="14" t="s">
        <v>5448</v>
      </c>
      <c r="C4085" s="85" t="str">
        <f ca="1">IFERROR(__xludf.DUMMYFUNCTION("GOOGLETRANSLATE(B4085:B4100,""RU"",""UK"")"),"Сальник 65х90х10")</f>
        <v>Сальник 65х90х10</v>
      </c>
      <c r="D4085" s="15" t="s">
        <v>6</v>
      </c>
      <c r="E4085" s="15">
        <v>68</v>
      </c>
      <c r="F4085" s="91" t="s">
        <v>2345</v>
      </c>
      <c r="G4085" s="4"/>
      <c r="H4085" s="4"/>
      <c r="I4085" s="4"/>
    </row>
    <row r="4086" spans="1:9" ht="15">
      <c r="A4086" s="13">
        <v>15</v>
      </c>
      <c r="B4086" s="14" t="s">
        <v>5449</v>
      </c>
      <c r="C4086" s="85" t="str">
        <f ca="1">IFERROR(__xludf.DUMMYFUNCTION("GOOGLETRANSLATE(B4086:B4101,""RU"",""UK"")"),"Сальник 75х100")</f>
        <v>Сальник 75х100</v>
      </c>
      <c r="D4086" s="15" t="s">
        <v>6</v>
      </c>
      <c r="E4086" s="15">
        <v>41</v>
      </c>
      <c r="F4086" s="91" t="s">
        <v>1239</v>
      </c>
      <c r="G4086" s="4"/>
      <c r="H4086" s="4"/>
      <c r="I4086" s="4"/>
    </row>
    <row r="4087" spans="1:9" ht="15">
      <c r="A4087" s="13">
        <v>16</v>
      </c>
      <c r="B4087" s="14" t="s">
        <v>5450</v>
      </c>
      <c r="C4087" s="85" t="str">
        <f ca="1">IFERROR(__xludf.DUMMYFUNCTION("GOOGLETRANSLATE(B4087:B4102,""RU"",""UK"")"),"Сальник 80х105")</f>
        <v>Сальник 80х105</v>
      </c>
      <c r="D4087" s="15" t="s">
        <v>6</v>
      </c>
      <c r="E4087" s="15">
        <v>3</v>
      </c>
      <c r="F4087" s="91" t="s">
        <v>124</v>
      </c>
      <c r="G4087" s="4"/>
      <c r="H4087" s="4"/>
      <c r="I4087" s="4"/>
    </row>
    <row r="4088" spans="1:9" ht="15">
      <c r="A4088" s="13">
        <v>17</v>
      </c>
      <c r="B4088" s="14" t="s">
        <v>5451</v>
      </c>
      <c r="C4088" s="85" t="str">
        <f ca="1">IFERROR(__xludf.DUMMYFUNCTION("GOOGLETRANSLATE(B4088:B4103,""RU"",""UK"")"),"Сальник 85х110")</f>
        <v>Сальник 85х110</v>
      </c>
      <c r="D4088" s="15" t="s">
        <v>6</v>
      </c>
      <c r="E4088" s="15">
        <v>116</v>
      </c>
      <c r="F4088" s="91" t="s">
        <v>134</v>
      </c>
      <c r="G4088" s="4"/>
      <c r="H4088" s="4"/>
      <c r="I4088" s="4"/>
    </row>
    <row r="4089" spans="1:9" ht="15">
      <c r="A4089" s="13">
        <v>18</v>
      </c>
      <c r="B4089" s="14" t="s">
        <v>5452</v>
      </c>
      <c r="C4089" s="85" t="str">
        <f ca="1">IFERROR(__xludf.DUMMYFUNCTION("GOOGLETRANSLATE(B4089:B4104,""RU"",""UK"")"),"Сальник 90х120")</f>
        <v>Сальник 90х120</v>
      </c>
      <c r="D4089" s="15" t="s">
        <v>6</v>
      </c>
      <c r="E4089" s="15">
        <v>14</v>
      </c>
      <c r="F4089" s="91" t="s">
        <v>134</v>
      </c>
      <c r="G4089" s="4"/>
      <c r="H4089" s="4"/>
      <c r="I4089" s="4"/>
    </row>
    <row r="4090" spans="1:9" ht="15">
      <c r="A4090" s="13">
        <v>19</v>
      </c>
      <c r="B4090" s="14" t="s">
        <v>5453</v>
      </c>
      <c r="C4090" s="85" t="str">
        <f ca="1">IFERROR(__xludf.DUMMYFUNCTION("GOOGLETRANSLATE(B4090:B4105,""RU"",""UK"")"),"Сальник 100х125")</f>
        <v>Сальник 100х125</v>
      </c>
      <c r="D4090" s="15" t="s">
        <v>6</v>
      </c>
      <c r="E4090" s="15">
        <v>40</v>
      </c>
      <c r="F4090" s="91" t="s">
        <v>2911</v>
      </c>
      <c r="G4090" s="4"/>
      <c r="H4090" s="4"/>
      <c r="I4090" s="4"/>
    </row>
    <row r="4091" spans="1:9" ht="15">
      <c r="A4091" s="13">
        <v>20</v>
      </c>
      <c r="B4091" s="14" t="s">
        <v>5454</v>
      </c>
      <c r="C4091" s="85" t="str">
        <f ca="1">IFERROR(__xludf.DUMMYFUNCTION("GOOGLETRANSLATE(B4091:B4106,""RU"",""UK"")"),"Сальник 110х135")</f>
        <v>Сальник 110х135</v>
      </c>
      <c r="D4091" s="15" t="s">
        <v>6</v>
      </c>
      <c r="E4091" s="15">
        <v>50</v>
      </c>
      <c r="F4091" s="91" t="s">
        <v>600</v>
      </c>
      <c r="G4091" s="4"/>
      <c r="H4091" s="4"/>
      <c r="I4091" s="4"/>
    </row>
    <row r="4092" spans="1:9" ht="15">
      <c r="A4092" s="13">
        <v>21</v>
      </c>
      <c r="B4092" s="14" t="s">
        <v>5455</v>
      </c>
      <c r="C4092" s="85" t="str">
        <f ca="1">IFERROR(__xludf.DUMMYFUNCTION("GOOGLETRANSLATE(B4092:B4107,""RU"",""UK"")"),"Кільце гум. 18х14х2/16х10х3/27х20х3,5")</f>
        <v>Кільце гум. 18х14х2/16х10х3/27х20х3,5</v>
      </c>
      <c r="D4092" s="15" t="s">
        <v>6</v>
      </c>
      <c r="E4092" s="15" t="s">
        <v>5456</v>
      </c>
      <c r="F4092" s="91" t="s">
        <v>646</v>
      </c>
      <c r="G4092" s="4"/>
      <c r="H4092" s="4"/>
      <c r="I4092" s="4"/>
    </row>
    <row r="4093" spans="1:9" ht="15">
      <c r="A4093" s="13">
        <v>22</v>
      </c>
      <c r="B4093" s="14" t="s">
        <v>5457</v>
      </c>
      <c r="C4093" s="85" t="str">
        <f ca="1">IFERROR(__xludf.DUMMYFUNCTION("GOOGLETRANSLATE(B4093:B4108,""RU"",""UK"")"),"Кільце гум. 34х24х5/37х30х3,5/43х38х2,5")</f>
        <v>Кільце гум. 34х24х5/37х30х3,5/43х38х2,5</v>
      </c>
      <c r="D4093" s="15" t="s">
        <v>6</v>
      </c>
      <c r="E4093" s="15" t="s">
        <v>4838</v>
      </c>
      <c r="F4093" s="91" t="s">
        <v>5458</v>
      </c>
      <c r="G4093" s="4"/>
      <c r="H4093" s="4"/>
      <c r="I4093" s="4"/>
    </row>
    <row r="4094" spans="1:9" ht="15">
      <c r="A4094" s="13">
        <v>23</v>
      </c>
      <c r="B4094" s="14" t="s">
        <v>5459</v>
      </c>
      <c r="C4094" s="85" t="str">
        <f ca="1">IFERROR(__xludf.DUMMYFUNCTION("GOOGLETRANSLATE(B4094:B4109,""RU"",""UK"")"),"Кільце гум. 59х45х7/74х62х6/82х72х5")</f>
        <v>Кільце гум. 59х45х7/74х62х6/82х72х5</v>
      </c>
      <c r="D4094" s="15" t="s">
        <v>6</v>
      </c>
      <c r="E4094" s="15" t="s">
        <v>5460</v>
      </c>
      <c r="F4094" s="91" t="s">
        <v>1292</v>
      </c>
      <c r="G4094" s="4"/>
      <c r="H4094" s="4"/>
      <c r="I4094" s="4"/>
    </row>
    <row r="4095" spans="1:9" ht="15">
      <c r="A4095" s="13">
        <v>24</v>
      </c>
      <c r="B4095" s="14" t="s">
        <v>5461</v>
      </c>
      <c r="C4095" s="85" t="str">
        <f ca="1">IFERROR(__xludf.DUMMYFUNCTION("GOOGLETRANSLATE(B4095:B4110,""RU"",""UK"")"),"Кільце гум. 127х120х3, 5/139х130х4, 5")</f>
        <v>Кільце гум. 127х120х3, 5/139х130х4, 5</v>
      </c>
      <c r="D4095" s="15" t="s">
        <v>6</v>
      </c>
      <c r="E4095" s="15" t="s">
        <v>2616</v>
      </c>
      <c r="F4095" s="91" t="s">
        <v>132</v>
      </c>
      <c r="G4095" s="4"/>
      <c r="H4095" s="4"/>
      <c r="I4095" s="4"/>
    </row>
    <row r="4096" spans="1:9" ht="15">
      <c r="A4096" s="13">
        <v>25</v>
      </c>
      <c r="B4096" s="14" t="s">
        <v>5462</v>
      </c>
      <c r="C4096" s="115" t="str">
        <f ca="1">IFERROR(__xludf.DUMMYFUNCTION("GOOGLETRANSLATE(B4096:B4111,""RU"",""UK"")"),"Кільце графітове 65х51х6")</f>
        <v>Кільце графітове 65х51х6</v>
      </c>
      <c r="D4096" s="15" t="s">
        <v>6</v>
      </c>
      <c r="E4096" s="15">
        <v>11</v>
      </c>
      <c r="F4096" s="91" t="s">
        <v>248</v>
      </c>
      <c r="G4096" s="4"/>
      <c r="H4096" s="4"/>
      <c r="I4096" s="4"/>
    </row>
    <row r="4097" spans="1:9" ht="15">
      <c r="A4097" s="27"/>
      <c r="B4097" s="28"/>
      <c r="C4097" s="119" t="s">
        <v>6072</v>
      </c>
      <c r="D4097" s="28"/>
      <c r="E4097" s="28"/>
      <c r="F4097" s="94"/>
      <c r="G4097" s="4"/>
      <c r="H4097" s="4"/>
      <c r="I4097" s="4"/>
    </row>
    <row r="4098" spans="1:9" ht="15">
      <c r="A4098" s="13">
        <v>1</v>
      </c>
      <c r="B4098" s="14" t="s">
        <v>5463</v>
      </c>
      <c r="C4098" s="47" t="str">
        <f ca="1">IFERROR(__xludf.DUMMYFUNCTION("GOOGLETRANSLATE(B4098:B4113,""RU"",""UK"")"),"Лом вигнутий 1200мм")</f>
        <v>Лом вигнутий 1200мм</v>
      </c>
      <c r="D4098" s="15" t="s">
        <v>6</v>
      </c>
      <c r="E4098" s="15">
        <v>5</v>
      </c>
      <c r="F4098" s="91" t="s">
        <v>510</v>
      </c>
      <c r="G4098" s="4"/>
      <c r="H4098" s="4"/>
      <c r="I4098" s="4"/>
    </row>
    <row r="4099" spans="1:9" ht="15">
      <c r="A4099" s="13">
        <v>2</v>
      </c>
      <c r="B4099" s="14" t="s">
        <v>5464</v>
      </c>
      <c r="C4099" s="85" t="str">
        <f ca="1">IFERROR(__xludf.DUMMYFUNCTION("GOOGLETRANSLATE(B4099:B4114,""RU"",""UK"")"),"Стовбур пожежний ПС-Б 50мм")</f>
        <v>Стовбур пожежний ПС-Б 50мм</v>
      </c>
      <c r="D4099" s="15" t="s">
        <v>6</v>
      </c>
      <c r="E4099" s="15">
        <v>23</v>
      </c>
      <c r="F4099" s="91" t="s">
        <v>104</v>
      </c>
      <c r="G4099" s="4"/>
      <c r="H4099" s="4"/>
      <c r="I4099" s="4"/>
    </row>
    <row r="4100" spans="1:9" ht="15">
      <c r="A4100" s="13">
        <v>3</v>
      </c>
      <c r="B4100" s="14" t="s">
        <v>5465</v>
      </c>
      <c r="C4100" s="85" t="str">
        <f ca="1">IFERROR(__xludf.DUMMYFUNCTION("GOOGLETRANSLATE(B4100:B4115,""RU"",""UK"")"),"Стовбур пожежний ПС-А 70мм")</f>
        <v>Стовбур пожежний ПС-А 70мм</v>
      </c>
      <c r="D4100" s="15" t="s">
        <v>6</v>
      </c>
      <c r="E4100" s="15">
        <v>10</v>
      </c>
      <c r="F4100" s="91" t="s">
        <v>212</v>
      </c>
      <c r="G4100" s="4"/>
      <c r="H4100" s="4"/>
      <c r="I4100" s="4"/>
    </row>
    <row r="4101" spans="1:9" ht="15">
      <c r="A4101" s="13">
        <v>4</v>
      </c>
      <c r="B4101" s="14" t="s">
        <v>5466</v>
      </c>
      <c r="C4101" s="85" t="str">
        <f ca="1">IFERROR(__xludf.DUMMYFUNCTION("GOOGLETRANSLATE(B4101:B4116,""RU"",""UK"")"),"Головка муфтова ГМ - 50мм вн.")</f>
        <v>Головка муфтова ГМ - 50мм вн.</v>
      </c>
      <c r="D4101" s="15" t="s">
        <v>6</v>
      </c>
      <c r="E4101" s="15">
        <v>10</v>
      </c>
      <c r="F4101" s="91" t="s">
        <v>226</v>
      </c>
      <c r="G4101" s="4"/>
      <c r="H4101" s="4"/>
      <c r="I4101" s="4"/>
    </row>
    <row r="4102" spans="1:9" ht="15">
      <c r="A4102" s="13">
        <v>5</v>
      </c>
      <c r="B4102" s="14" t="s">
        <v>5467</v>
      </c>
      <c r="C4102" s="85" t="str">
        <f ca="1">IFERROR(__xludf.DUMMYFUNCTION("GOOGLETRANSLATE(B4102:B4117,""RU"",""UK"")"),"Головка рукавна ГР-50 / ГР-70мм (Богданова)")</f>
        <v>Головка рукавна ГР-50 / ГР-70мм (Богданова)</v>
      </c>
      <c r="D4102" s="15" t="s">
        <v>6</v>
      </c>
      <c r="E4102" s="15" t="s">
        <v>5468</v>
      </c>
      <c r="F4102" s="91" t="s">
        <v>596</v>
      </c>
      <c r="G4102" s="4"/>
      <c r="H4102" s="4"/>
      <c r="I4102" s="4"/>
    </row>
    <row r="4103" spans="1:9" ht="15">
      <c r="A4103" s="13">
        <v>6</v>
      </c>
      <c r="B4103" s="14" t="s">
        <v>5469</v>
      </c>
      <c r="C4103" s="85" t="str">
        <f ca="1">IFERROR(__xludf.DUMMYFUNCTION("GOOGLETRANSLATE(B4103:B4118,""RU"",""UK"")"),"Ключ ріжковий (безіскровий) 9х11")</f>
        <v>Ключ ріжковий (безіскровий) 9х11</v>
      </c>
      <c r="D4103" s="15" t="s">
        <v>6</v>
      </c>
      <c r="E4103" s="15">
        <v>3</v>
      </c>
      <c r="F4103" s="91" t="s">
        <v>255</v>
      </c>
      <c r="G4103" s="4"/>
      <c r="H4103" s="4"/>
      <c r="I4103" s="4"/>
    </row>
    <row r="4104" spans="1:9" ht="15">
      <c r="A4104" s="13">
        <v>7</v>
      </c>
      <c r="B4104" s="14" t="s">
        <v>5470</v>
      </c>
      <c r="C4104" s="85" t="str">
        <f ca="1">IFERROR(__xludf.DUMMYFUNCTION("GOOGLETRANSLATE(B4104:B4119,""RU"",""UK"")"),"Ключ ріжковий (безіскровий) 17х19")</f>
        <v>Ключ ріжковий (безіскровий) 17х19</v>
      </c>
      <c r="D4104" s="15" t="s">
        <v>6</v>
      </c>
      <c r="E4104" s="15">
        <v>2</v>
      </c>
      <c r="F4104" s="91" t="s">
        <v>319</v>
      </c>
      <c r="G4104" s="4"/>
      <c r="H4104" s="4"/>
      <c r="I4104" s="4"/>
    </row>
    <row r="4105" spans="1:9" ht="15">
      <c r="A4105" s="13">
        <v>8</v>
      </c>
      <c r="B4105" s="14" t="s">
        <v>5471</v>
      </c>
      <c r="C4105" s="85" t="str">
        <f ca="1">IFERROR(__xludf.DUMMYFUNCTION("GOOGLETRANSLATE(B4105:B4120,""RU"",""UK"")"),"Ключ ріжковий (безіскровий) 32х36")</f>
        <v>Ключ ріжковий (безіскровий) 32х36</v>
      </c>
      <c r="D4105" s="15" t="s">
        <v>6</v>
      </c>
      <c r="E4105" s="15">
        <v>4</v>
      </c>
      <c r="F4105" s="91" t="s">
        <v>327</v>
      </c>
      <c r="G4105" s="4"/>
      <c r="H4105" s="4"/>
      <c r="I4105" s="4"/>
    </row>
    <row r="4106" spans="1:9" ht="15">
      <c r="A4106" s="13">
        <v>9</v>
      </c>
      <c r="B4106" s="14" t="s">
        <v>5472</v>
      </c>
      <c r="C4106" s="85" t="str">
        <f ca="1">IFERROR(__xludf.DUMMYFUNCTION("GOOGLETRANSLATE(B4106:B4121,""RU"",""UK"")"),"Ключ ріжковий (безіскровий) 41х46")</f>
        <v>Ключ ріжковий (безіскровий) 41х46</v>
      </c>
      <c r="D4106" s="15" t="s">
        <v>6</v>
      </c>
      <c r="E4106" s="15">
        <v>2</v>
      </c>
      <c r="F4106" s="91" t="s">
        <v>24</v>
      </c>
      <c r="G4106" s="4"/>
      <c r="H4106" s="4"/>
      <c r="I4106" s="4"/>
    </row>
    <row r="4107" spans="1:9" ht="15">
      <c r="A4107" s="13">
        <v>10</v>
      </c>
      <c r="B4107" s="14" t="s">
        <v>5473</v>
      </c>
      <c r="C4107" s="115" t="str">
        <f ca="1">IFERROR(__xludf.DUMMYFUNCTION("GOOGLETRANSLATE(B4107:B4122,""RU"",""UK"")"),"Ключ ріжковий (безіскровий) 46х50")</f>
        <v>Ключ ріжковий (безіскровий) 46х50</v>
      </c>
      <c r="D4107" s="15" t="s">
        <v>6</v>
      </c>
      <c r="E4107" s="15">
        <v>2</v>
      </c>
      <c r="F4107" s="91" t="s">
        <v>413</v>
      </c>
      <c r="G4107" s="4"/>
      <c r="H4107" s="4"/>
      <c r="I4107" s="4"/>
    </row>
    <row r="4108" spans="1:9" ht="15">
      <c r="A4108" s="68"/>
      <c r="B4108" s="69"/>
      <c r="C4108" s="119" t="s">
        <v>6061</v>
      </c>
      <c r="D4108" s="69"/>
      <c r="E4108" s="69"/>
      <c r="F4108" s="106"/>
      <c r="G4108" s="4"/>
      <c r="H4108" s="4"/>
      <c r="I4108" s="4"/>
    </row>
    <row r="4109" spans="1:9" ht="15">
      <c r="A4109" s="13">
        <v>1</v>
      </c>
      <c r="B4109" s="14" t="s">
        <v>5474</v>
      </c>
      <c r="C4109" s="47" t="str">
        <f ca="1">IFERROR(__xludf.DUMMYFUNCTION("GOOGLETRANSLATE(B4109:B4124,""RU"",""UK"")"),"Хомут 10 - 16мм оц")</f>
        <v>Хомут 10 - 16мм оц</v>
      </c>
      <c r="D4109" s="15" t="s">
        <v>6</v>
      </c>
      <c r="E4109" s="15">
        <v>5</v>
      </c>
      <c r="F4109" s="91" t="s">
        <v>1279</v>
      </c>
      <c r="G4109" s="4"/>
      <c r="H4109" s="4"/>
      <c r="I4109" s="4"/>
    </row>
    <row r="4110" spans="1:9" ht="15">
      <c r="A4110" s="13">
        <v>2</v>
      </c>
      <c r="B4110" s="14" t="s">
        <v>5475</v>
      </c>
      <c r="C4110" s="85" t="str">
        <f ca="1">IFERROR(__xludf.DUMMYFUNCTION("GOOGLETRANSLATE(B4110:B4125,""RU"",""UK"")"),"12 - 20мм оц")</f>
        <v>12 - 20мм оц</v>
      </c>
      <c r="D4110" s="15" t="s">
        <v>6</v>
      </c>
      <c r="E4110" s="15">
        <v>0</v>
      </c>
      <c r="F4110" s="91" t="s">
        <v>631</v>
      </c>
      <c r="G4110" s="4"/>
      <c r="H4110" s="4"/>
      <c r="I4110" s="4"/>
    </row>
    <row r="4111" spans="1:9" ht="15">
      <c r="A4111" s="13">
        <v>3</v>
      </c>
      <c r="B4111" s="14" t="s">
        <v>5476</v>
      </c>
      <c r="C4111" s="85" t="str">
        <f ca="1">IFERROR(__xludf.DUMMYFUNCTION("GOOGLETRANSLATE(B4111:B4126,""RU"",""UK"")"),"16 - 27мм оц")</f>
        <v>16 - 27мм оц</v>
      </c>
      <c r="D4111" s="15" t="s">
        <v>6</v>
      </c>
      <c r="E4111" s="15">
        <v>0</v>
      </c>
      <c r="F4111" s="91" t="s">
        <v>132</v>
      </c>
      <c r="G4111" s="4"/>
      <c r="H4111" s="4"/>
      <c r="I4111" s="4"/>
    </row>
    <row r="4112" spans="1:9" ht="15">
      <c r="A4112" s="13">
        <v>4</v>
      </c>
      <c r="B4112" s="14" t="s">
        <v>5477</v>
      </c>
      <c r="C4112" s="85" t="str">
        <f ca="1">IFERROR(__xludf.DUMMYFUNCTION("GOOGLETRANSLATE(B4112:B4127,""RU"",""UK"")"),"20 - 32мм нерж")</f>
        <v>20 - 32мм нерж</v>
      </c>
      <c r="D4112" s="15" t="s">
        <v>6</v>
      </c>
      <c r="E4112" s="15">
        <v>0</v>
      </c>
      <c r="F4112" s="91" t="s">
        <v>631</v>
      </c>
      <c r="G4112" s="4"/>
      <c r="H4112" s="4"/>
      <c r="I4112" s="4"/>
    </row>
    <row r="4113" spans="1:9" ht="15">
      <c r="A4113" s="13">
        <v>5</v>
      </c>
      <c r="B4113" s="14" t="s">
        <v>5478</v>
      </c>
      <c r="C4113" s="85" t="str">
        <f ca="1">IFERROR(__xludf.DUMMYFUNCTION("GOOGLETRANSLATE(B4113:B4128,""RU"",""UK"")"),"23 - 35мм оц")</f>
        <v>23 - 35мм оц</v>
      </c>
      <c r="D4113" s="15" t="s">
        <v>6</v>
      </c>
      <c r="E4113" s="15">
        <v>0</v>
      </c>
      <c r="F4113" s="91" t="s">
        <v>1236</v>
      </c>
      <c r="G4113" s="4"/>
      <c r="H4113" s="4"/>
      <c r="I4113" s="4"/>
    </row>
    <row r="4114" spans="1:9" ht="15">
      <c r="A4114" s="13">
        <v>6</v>
      </c>
      <c r="B4114" s="14" t="s">
        <v>5479</v>
      </c>
      <c r="C4114" s="85" t="str">
        <f ca="1">IFERROR(__xludf.DUMMYFUNCTION("GOOGLETRANSLATE(B4114:B4129,""RU"",""UK"")"),"25 - 40мм оц/нерж")</f>
        <v>25 - 40мм оц/нерж</v>
      </c>
      <c r="D4114" s="15" t="s">
        <v>6</v>
      </c>
      <c r="E4114" s="15" t="s">
        <v>3137</v>
      </c>
      <c r="F4114" s="91" t="s">
        <v>631</v>
      </c>
      <c r="G4114" s="4"/>
      <c r="H4114" s="4"/>
      <c r="I4114" s="4"/>
    </row>
    <row r="4115" spans="1:9" ht="15">
      <c r="A4115" s="13">
        <v>7</v>
      </c>
      <c r="B4115" s="14" t="s">
        <v>5480</v>
      </c>
      <c r="C4115" s="85" t="str">
        <f ca="1">IFERROR(__xludf.DUMMYFUNCTION("GOOGLETRANSLATE(B4115:B4130,""RU"",""UK"")"),"28 - 48мм оц")</f>
        <v>28 - 48мм оц</v>
      </c>
      <c r="D4115" s="15" t="s">
        <v>6</v>
      </c>
      <c r="E4115" s="15">
        <v>17</v>
      </c>
      <c r="F4115" s="91" t="s">
        <v>361</v>
      </c>
      <c r="G4115" s="4"/>
      <c r="H4115" s="4"/>
      <c r="I4115" s="4"/>
    </row>
    <row r="4116" spans="1:9" ht="15">
      <c r="A4116" s="13">
        <v>8</v>
      </c>
      <c r="B4116" s="14" t="s">
        <v>5481</v>
      </c>
      <c r="C4116" s="85" t="str">
        <f ca="1">IFERROR(__xludf.DUMMYFUNCTION("GOOGLETRANSLATE(B4116:B4131,""RU"",""UK"")"),"32 - 50мм нерж")</f>
        <v>32 - 50мм нерж</v>
      </c>
      <c r="D4116" s="15" t="s">
        <v>6</v>
      </c>
      <c r="E4116" s="15">
        <v>84</v>
      </c>
      <c r="F4116" s="91" t="s">
        <v>286</v>
      </c>
      <c r="G4116" s="4"/>
      <c r="H4116" s="4"/>
      <c r="I4116" s="4"/>
    </row>
    <row r="4117" spans="1:9" ht="15">
      <c r="A4117" s="13">
        <v>9</v>
      </c>
      <c r="B4117" s="14" t="s">
        <v>5482</v>
      </c>
      <c r="C4117" s="85" t="str">
        <f ca="1">IFERROR(__xludf.DUMMYFUNCTION("GOOGLETRANSLATE(B4117:B4132,""RU"",""UK"")"),"38 - 58мм оц")</f>
        <v>38 - 58мм оц</v>
      </c>
      <c r="D4117" s="15" t="s">
        <v>6</v>
      </c>
      <c r="E4117" s="15">
        <v>14</v>
      </c>
      <c r="F4117" s="91" t="s">
        <v>417</v>
      </c>
      <c r="G4117" s="4"/>
      <c r="H4117" s="4"/>
      <c r="I4117" s="4"/>
    </row>
    <row r="4118" spans="1:9" ht="15">
      <c r="A4118" s="13">
        <v>11</v>
      </c>
      <c r="B4118" s="14" t="s">
        <v>5483</v>
      </c>
      <c r="C4118" s="85" t="str">
        <f ca="1">IFERROR(__xludf.DUMMYFUNCTION("GOOGLETRANSLATE(B4118:B4133,""RU"",""UK"")"),"44 - 64мм оц")</f>
        <v>44 - 64мм оц</v>
      </c>
      <c r="D4118" s="15" t="s">
        <v>6</v>
      </c>
      <c r="E4118" s="15">
        <v>3</v>
      </c>
      <c r="F4118" s="91" t="s">
        <v>417</v>
      </c>
      <c r="G4118" s="4"/>
      <c r="H4118" s="4"/>
      <c r="I4118" s="4"/>
    </row>
    <row r="4119" spans="1:9" ht="15">
      <c r="A4119" s="13">
        <v>12</v>
      </c>
      <c r="B4119" s="14" t="s">
        <v>5484</v>
      </c>
      <c r="C4119" s="115" t="str">
        <f ca="1">IFERROR(__xludf.DUMMYFUNCTION("GOOGLETRANSLATE(B4119:B4134,""RU"",""UK"")"),"50 - 70мм нерж")</f>
        <v>50 - 70мм нерж</v>
      </c>
      <c r="D4119" s="15" t="s">
        <v>6</v>
      </c>
      <c r="E4119" s="15">
        <v>19</v>
      </c>
      <c r="F4119" s="91" t="s">
        <v>290</v>
      </c>
      <c r="G4119" s="4"/>
      <c r="H4119" s="4"/>
      <c r="I4119" s="4"/>
    </row>
    <row r="4120" spans="1:9" ht="15">
      <c r="A4120" s="68"/>
      <c r="B4120" s="69"/>
      <c r="C4120" s="119" t="s">
        <v>6062</v>
      </c>
      <c r="D4120" s="69"/>
      <c r="E4120" s="69"/>
      <c r="F4120" s="106"/>
      <c r="G4120" s="4"/>
      <c r="H4120" s="4"/>
      <c r="I4120" s="4"/>
    </row>
    <row r="4121" spans="1:9" ht="15">
      <c r="A4121" s="13">
        <v>1</v>
      </c>
      <c r="B4121" s="14" t="s">
        <v>5485</v>
      </c>
      <c r="C4121" s="47" t="str">
        <f ca="1">IFERROR(__xludf.DUMMYFUNCTION("GOOGLETRANSLATE(B4121:B4136,""RU"",""UK"")"),"Ремінь клиновий О (Z) - 500")</f>
        <v>Ремінь клиновий О (Z) - 500</v>
      </c>
      <c r="D4121" s="15" t="s">
        <v>6</v>
      </c>
      <c r="E4121" s="15">
        <v>2</v>
      </c>
      <c r="F4121" s="91" t="s">
        <v>169</v>
      </c>
      <c r="G4121" s="4"/>
      <c r="H4121" s="4"/>
      <c r="I4121" s="4"/>
    </row>
    <row r="4122" spans="1:9" ht="15">
      <c r="A4122" s="13">
        <v>2</v>
      </c>
      <c r="B4122" s="14" t="s">
        <v>5486</v>
      </c>
      <c r="C4122" s="85" t="str">
        <f ca="1">IFERROR(__xludf.DUMMYFUNCTION("GOOGLETRANSLATE(B4122:B4137,""RU"",""UK"")"),"Ремінь клиновий О (Z) - 530")</f>
        <v>Ремінь клиновий О (Z) - 530</v>
      </c>
      <c r="D4122" s="15" t="s">
        <v>6</v>
      </c>
      <c r="E4122" s="15">
        <v>10</v>
      </c>
      <c r="F4122" s="91" t="s">
        <v>169</v>
      </c>
      <c r="G4122" s="4"/>
      <c r="H4122" s="4"/>
      <c r="I4122" s="4"/>
    </row>
    <row r="4123" spans="1:9" ht="15">
      <c r="A4123" s="13">
        <v>3</v>
      </c>
      <c r="B4123" s="14" t="s">
        <v>5487</v>
      </c>
      <c r="C4123" s="85" t="str">
        <f ca="1">IFERROR(__xludf.DUMMYFUNCTION("GOOGLETRANSLATE(B4123:B4138,""RU"",""UK"")"),"Ремінь клиновий О (Z) - 560")</f>
        <v>Ремінь клиновий О (Z) - 560</v>
      </c>
      <c r="D4123" s="15" t="s">
        <v>6</v>
      </c>
      <c r="E4123" s="15">
        <v>6</v>
      </c>
      <c r="F4123" s="91" t="s">
        <v>201</v>
      </c>
      <c r="G4123" s="4"/>
      <c r="H4123" s="4"/>
      <c r="I4123" s="4"/>
    </row>
    <row r="4124" spans="1:9" ht="15">
      <c r="A4124" s="13">
        <v>4</v>
      </c>
      <c r="B4124" s="14" t="s">
        <v>5488</v>
      </c>
      <c r="C4124" s="85" t="str">
        <f ca="1">IFERROR(__xludf.DUMMYFUNCTION("GOOGLETRANSLATE(B4124:B4139,""RU"",""UK"")"),"Ремінь клиновий О (Z) - 630")</f>
        <v>Ремінь клиновий О (Z) - 630</v>
      </c>
      <c r="D4124" s="15" t="s">
        <v>6</v>
      </c>
      <c r="E4124" s="15">
        <v>1</v>
      </c>
      <c r="F4124" s="91" t="s">
        <v>253</v>
      </c>
      <c r="G4124" s="4"/>
      <c r="H4124" s="4"/>
      <c r="I4124" s="4"/>
    </row>
    <row r="4125" spans="1:9" ht="15">
      <c r="A4125" s="13">
        <v>5</v>
      </c>
      <c r="B4125" s="14" t="s">
        <v>5489</v>
      </c>
      <c r="C4125" s="85" t="str">
        <f ca="1">IFERROR(__xludf.DUMMYFUNCTION("GOOGLETRANSLATE(B4125:B4140,""RU"",""UK"")"),"Ремінь клиновий О (Z) - 900")</f>
        <v>Ремінь клиновий О (Z) - 900</v>
      </c>
      <c r="D4125" s="15" t="s">
        <v>6</v>
      </c>
      <c r="E4125" s="15">
        <v>2</v>
      </c>
      <c r="F4125" s="91" t="s">
        <v>596</v>
      </c>
      <c r="G4125" s="4"/>
      <c r="H4125" s="4"/>
      <c r="I4125" s="4"/>
    </row>
    <row r="4126" spans="1:9" ht="15">
      <c r="A4126" s="13">
        <v>6</v>
      </c>
      <c r="B4126" s="14" t="s">
        <v>5490</v>
      </c>
      <c r="C4126" s="85" t="str">
        <f ca="1">IFERROR(__xludf.DUMMYFUNCTION("GOOGLETRANSLATE(B4126:B4141,""RU"",""UK"")"),"Ремінь клиновий О (Z) - 950")</f>
        <v>Ремінь клиновий О (Z) - 950</v>
      </c>
      <c r="D4126" s="15" t="s">
        <v>6</v>
      </c>
      <c r="E4126" s="15">
        <v>2</v>
      </c>
      <c r="F4126" s="91" t="s">
        <v>598</v>
      </c>
      <c r="G4126" s="4"/>
      <c r="H4126" s="4"/>
      <c r="I4126" s="4"/>
    </row>
    <row r="4127" spans="1:9" ht="15">
      <c r="A4127" s="13">
        <v>7</v>
      </c>
      <c r="B4127" s="14" t="s">
        <v>5491</v>
      </c>
      <c r="C4127" s="85" t="str">
        <f ca="1">IFERROR(__xludf.DUMMYFUNCTION("GOOGLETRANSLATE(B4127:B4142,""RU"",""UK"")"),"Ремінь клиновий О (Z) - 1018")</f>
        <v>Ремінь клиновий О (Z) - 1018</v>
      </c>
      <c r="D4127" s="15" t="s">
        <v>6</v>
      </c>
      <c r="E4127" s="15">
        <v>5</v>
      </c>
      <c r="F4127" s="91" t="s">
        <v>226</v>
      </c>
      <c r="G4127" s="4"/>
      <c r="H4127" s="4"/>
      <c r="I4127" s="4"/>
    </row>
    <row r="4128" spans="1:9" ht="15">
      <c r="A4128" s="13">
        <v>8</v>
      </c>
      <c r="B4128" s="14" t="s">
        <v>5492</v>
      </c>
      <c r="C4128" s="85" t="str">
        <f ca="1">IFERROR(__xludf.DUMMYFUNCTION("GOOGLETRANSLATE(B4128:B4143,""RU"",""UK"")"),"Ремінь клиновий О (Z) - 1120")</f>
        <v>Ремінь клиновий О (Z) - 1120</v>
      </c>
      <c r="D4128" s="15" t="s">
        <v>6</v>
      </c>
      <c r="E4128" s="15">
        <v>1</v>
      </c>
      <c r="F4128" s="91" t="s">
        <v>371</v>
      </c>
      <c r="G4128" s="4"/>
      <c r="H4128" s="4"/>
      <c r="I4128" s="4"/>
    </row>
    <row r="4129" spans="1:9" ht="15">
      <c r="A4129" s="13">
        <v>9</v>
      </c>
      <c r="B4129" s="14" t="s">
        <v>5493</v>
      </c>
      <c r="C4129" s="85" t="str">
        <f ca="1">IFERROR(__xludf.DUMMYFUNCTION("GOOGLETRANSLATE(B4129:B4144,""RU"",""UK"")"),"Ремінь клиновий О (Z) - 1280")</f>
        <v>Ремінь клиновий О (Z) - 1280</v>
      </c>
      <c r="D4129" s="15" t="s">
        <v>6</v>
      </c>
      <c r="E4129" s="15">
        <v>1</v>
      </c>
      <c r="F4129" s="91" t="s">
        <v>614</v>
      </c>
      <c r="G4129" s="4"/>
      <c r="H4129" s="4"/>
      <c r="I4129" s="4"/>
    </row>
    <row r="4130" spans="1:9" ht="15">
      <c r="A4130" s="13">
        <v>10</v>
      </c>
      <c r="B4130" s="14" t="s">
        <v>5494</v>
      </c>
      <c r="C4130" s="85" t="str">
        <f ca="1">IFERROR(__xludf.DUMMYFUNCTION("GOOGLETRANSLATE(B4130:B4145,""RU"",""UK"")"),"Ремінь клиновий О (Z) - 1600")</f>
        <v>Ремінь клиновий О (Z) - 1600</v>
      </c>
      <c r="D4130" s="15" t="s">
        <v>6</v>
      </c>
      <c r="E4130" s="15">
        <v>5</v>
      </c>
      <c r="F4130" s="91" t="s">
        <v>338</v>
      </c>
      <c r="G4130" s="4"/>
      <c r="H4130" s="4"/>
      <c r="I4130" s="4"/>
    </row>
    <row r="4131" spans="1:9" ht="15">
      <c r="A4131" s="13">
        <v>11</v>
      </c>
      <c r="B4131" s="14" t="s">
        <v>5495</v>
      </c>
      <c r="C4131" s="85" t="str">
        <f ca="1">IFERROR(__xludf.DUMMYFUNCTION("GOOGLETRANSLATE(B4131:B4146,""RU"",""UK"")"),"Ремінь клиновий О (Z) - 2120")</f>
        <v>Ремінь клиновий О (Z) - 2120</v>
      </c>
      <c r="D4131" s="15" t="s">
        <v>6</v>
      </c>
      <c r="E4131" s="15">
        <v>5</v>
      </c>
      <c r="F4131" s="91" t="s">
        <v>185</v>
      </c>
      <c r="G4131" s="4"/>
      <c r="H4131" s="4"/>
      <c r="I4131" s="4"/>
    </row>
    <row r="4132" spans="1:9" ht="15">
      <c r="A4132" s="13">
        <v>12</v>
      </c>
      <c r="B4132" s="14" t="s">
        <v>5496</v>
      </c>
      <c r="C4132" s="85" t="str">
        <f ca="1">IFERROR(__xludf.DUMMYFUNCTION("GOOGLETRANSLATE(B4132:B4147,""RU"",""UK"")"),"Ремінь клинової А - 710")</f>
        <v>Ремінь клинової А - 710</v>
      </c>
      <c r="D4132" s="15" t="s">
        <v>6</v>
      </c>
      <c r="E4132" s="15">
        <v>3</v>
      </c>
      <c r="F4132" s="91" t="s">
        <v>596</v>
      </c>
      <c r="G4132" s="4"/>
      <c r="H4132" s="4"/>
      <c r="I4132" s="4"/>
    </row>
    <row r="4133" spans="1:9" ht="15">
      <c r="A4133" s="13">
        <v>13</v>
      </c>
      <c r="B4133" s="14" t="s">
        <v>5497</v>
      </c>
      <c r="C4133" s="85" t="str">
        <f ca="1">IFERROR(__xludf.DUMMYFUNCTION("GOOGLETRANSLATE(B4133:B4148,""RU"",""UK"")"),"Ремінь клинової А - 850")</f>
        <v>Ремінь клинової А - 850</v>
      </c>
      <c r="D4133" s="15" t="s">
        <v>6</v>
      </c>
      <c r="E4133" s="15">
        <v>14</v>
      </c>
      <c r="F4133" s="91" t="s">
        <v>209</v>
      </c>
      <c r="G4133" s="4"/>
      <c r="H4133" s="4"/>
      <c r="I4133" s="4"/>
    </row>
    <row r="4134" spans="1:9" ht="15">
      <c r="A4134" s="13">
        <v>14</v>
      </c>
      <c r="B4134" s="14" t="s">
        <v>5498</v>
      </c>
      <c r="C4134" s="85" t="str">
        <f ca="1">IFERROR(__xludf.DUMMYFUNCTION("GOOGLETRANSLATE(B4134:B4149,""RU"",""UK"")"),"Ремінь клинової А - 1500")</f>
        <v>Ремінь клинової А - 1500</v>
      </c>
      <c r="D4134" s="15" t="s">
        <v>6</v>
      </c>
      <c r="E4134" s="15">
        <v>18</v>
      </c>
      <c r="F4134" s="91" t="s">
        <v>212</v>
      </c>
      <c r="G4134" s="4"/>
      <c r="H4134" s="4"/>
      <c r="I4134" s="4"/>
    </row>
    <row r="4135" spans="1:9" ht="15">
      <c r="A4135" s="13">
        <v>15</v>
      </c>
      <c r="B4135" s="14" t="s">
        <v>5499</v>
      </c>
      <c r="C4135" s="85" t="str">
        <f ca="1">IFERROR(__xludf.DUMMYFUNCTION("GOOGLETRANSLATE(B4135:B4150,""RU"",""UK"")"),"Ремінь клинової А - 1750")</f>
        <v>Ремінь клинової А - 1750</v>
      </c>
      <c r="D4135" s="15" t="s">
        <v>6</v>
      </c>
      <c r="E4135" s="15">
        <v>48</v>
      </c>
      <c r="F4135" s="91" t="s">
        <v>2106</v>
      </c>
      <c r="G4135" s="4"/>
      <c r="H4135" s="4"/>
      <c r="I4135" s="4"/>
    </row>
    <row r="4136" spans="1:9" ht="15">
      <c r="A4136" s="13">
        <v>16</v>
      </c>
      <c r="B4136" s="14" t="s">
        <v>5500</v>
      </c>
      <c r="C4136" s="85" t="str">
        <f ca="1">IFERROR(__xludf.DUMMYFUNCTION("GOOGLETRANSLATE(B4136:B4151,""RU"",""UK"")"),"Ремінь клинової А - 1900")</f>
        <v>Ремінь клинової А - 1900</v>
      </c>
      <c r="D4136" s="15" t="s">
        <v>6</v>
      </c>
      <c r="E4136" s="15">
        <v>16</v>
      </c>
      <c r="F4136" s="91" t="s">
        <v>136</v>
      </c>
      <c r="G4136" s="4"/>
      <c r="H4136" s="4"/>
      <c r="I4136" s="4"/>
    </row>
    <row r="4137" spans="1:9" ht="15">
      <c r="A4137" s="13">
        <v>17</v>
      </c>
      <c r="B4137" s="14" t="s">
        <v>5501</v>
      </c>
      <c r="C4137" s="85" t="str">
        <f ca="1">IFERROR(__xludf.DUMMYFUNCTION("GOOGLETRANSLATE(B4137:B4152,""RU"",""UK"")"),"Ремінь клинової А - 2500")</f>
        <v>Ремінь клинової А - 2500</v>
      </c>
      <c r="D4137" s="15" t="s">
        <v>6</v>
      </c>
      <c r="E4137" s="15">
        <v>20</v>
      </c>
      <c r="F4137" s="91" t="s">
        <v>557</v>
      </c>
      <c r="G4137" s="4"/>
      <c r="H4137" s="4"/>
      <c r="I4137" s="4"/>
    </row>
    <row r="4138" spans="1:9" ht="15">
      <c r="A4138" s="13">
        <v>18</v>
      </c>
      <c r="B4138" s="14" t="s">
        <v>5502</v>
      </c>
      <c r="C4138" s="85" t="str">
        <f ca="1">IFERROR(__xludf.DUMMYFUNCTION("GOOGLETRANSLATE(B4138:B4153,""RU"",""UK"")"),"Ремінь клинової А - 2550")</f>
        <v>Ремінь клинової А - 2550</v>
      </c>
      <c r="D4138" s="15" t="s">
        <v>6</v>
      </c>
      <c r="E4138" s="15">
        <v>25</v>
      </c>
      <c r="F4138" s="91" t="s">
        <v>557</v>
      </c>
      <c r="G4138" s="4"/>
      <c r="H4138" s="4"/>
      <c r="I4138" s="4"/>
    </row>
    <row r="4139" spans="1:9" ht="15">
      <c r="A4139" s="13">
        <v>19</v>
      </c>
      <c r="B4139" s="14" t="s">
        <v>5503</v>
      </c>
      <c r="C4139" s="85" t="str">
        <f ca="1">IFERROR(__xludf.DUMMYFUNCTION("GOOGLETRANSLATE(B4139:B4154,""RU"",""UK"")"),"Ремінь клинової А - 2800")</f>
        <v>Ремінь клинової А - 2800</v>
      </c>
      <c r="D4139" s="15" t="s">
        <v>6</v>
      </c>
      <c r="E4139" s="15">
        <v>34</v>
      </c>
      <c r="F4139" s="91" t="s">
        <v>216</v>
      </c>
      <c r="G4139" s="4"/>
      <c r="H4139" s="4"/>
      <c r="I4139" s="4"/>
    </row>
    <row r="4140" spans="1:9" ht="15">
      <c r="A4140" s="13">
        <v>20</v>
      </c>
      <c r="B4140" s="14" t="s">
        <v>5504</v>
      </c>
      <c r="C4140" s="85" t="str">
        <f ca="1">IFERROR(__xludf.DUMMYFUNCTION("GOOGLETRANSLATE(B4140:B4155,""RU"",""UK"")"),"Ремінь клинової А - 2850")</f>
        <v>Ремінь клинової А - 2850</v>
      </c>
      <c r="D4140" s="15" t="s">
        <v>6</v>
      </c>
      <c r="E4140" s="15">
        <v>14</v>
      </c>
      <c r="F4140" s="91" t="s">
        <v>539</v>
      </c>
      <c r="G4140" s="4"/>
      <c r="H4140" s="4"/>
      <c r="I4140" s="4"/>
    </row>
    <row r="4141" spans="1:9" ht="15">
      <c r="A4141" s="13">
        <v>21</v>
      </c>
      <c r="B4141" s="14" t="s">
        <v>5505</v>
      </c>
      <c r="C4141" s="85" t="str">
        <f ca="1">IFERROR(__xludf.DUMMYFUNCTION("GOOGLETRANSLATE(B4141:B4156,""RU"",""UK"")"),"Ремінь клиновий Б(В) - 710")</f>
        <v>Ремінь клиновий Б(В) - 710</v>
      </c>
      <c r="D4141" s="15" t="s">
        <v>6</v>
      </c>
      <c r="E4141" s="15">
        <v>5</v>
      </c>
      <c r="F4141" s="91" t="s">
        <v>255</v>
      </c>
      <c r="G4141" s="4"/>
      <c r="H4141" s="4"/>
      <c r="I4141" s="4"/>
    </row>
    <row r="4142" spans="1:9" ht="15">
      <c r="A4142" s="13">
        <v>22</v>
      </c>
      <c r="B4142" s="14" t="s">
        <v>5506</v>
      </c>
      <c r="C4142" s="85" t="str">
        <f ca="1">IFERROR(__xludf.DUMMYFUNCTION("GOOGLETRANSLATE(B4142:B4157,""RU"",""UK"")"),"Ремінь клиновий Б(В) - 750")</f>
        <v>Ремінь клиновий Б(В) - 750</v>
      </c>
      <c r="D4142" s="15" t="s">
        <v>6</v>
      </c>
      <c r="E4142" s="15">
        <v>46</v>
      </c>
      <c r="F4142" s="91" t="s">
        <v>598</v>
      </c>
      <c r="G4142" s="4"/>
      <c r="H4142" s="4"/>
      <c r="I4142" s="4"/>
    </row>
    <row r="4143" spans="1:9" ht="15">
      <c r="A4143" s="13">
        <v>23</v>
      </c>
      <c r="B4143" s="14" t="s">
        <v>5507</v>
      </c>
      <c r="C4143" s="85" t="str">
        <f ca="1">IFERROR(__xludf.DUMMYFUNCTION("GOOGLETRANSLATE(B4143:B4158,""RU"",""UK"")"),"Ремінь клиновий Б(В) - 900")</f>
        <v>Ремінь клиновий Б(В) - 900</v>
      </c>
      <c r="D4143" s="15" t="s">
        <v>6</v>
      </c>
      <c r="E4143" s="15">
        <v>33</v>
      </c>
      <c r="F4143" s="91" t="s">
        <v>226</v>
      </c>
      <c r="G4143" s="4"/>
      <c r="H4143" s="4"/>
      <c r="I4143" s="4"/>
    </row>
    <row r="4144" spans="1:9" ht="15">
      <c r="A4144" s="13">
        <v>24</v>
      </c>
      <c r="B4144" s="14" t="s">
        <v>5508</v>
      </c>
      <c r="C4144" s="85" t="str">
        <f ca="1">IFERROR(__xludf.DUMMYFUNCTION("GOOGLETRANSLATE(B4144:B4159,""RU"",""UK"")"),"Ремінь клиновий Б(В) - 937")</f>
        <v>Ремінь клиновий Б(В) - 937</v>
      </c>
      <c r="D4144" s="15" t="s">
        <v>6</v>
      </c>
      <c r="E4144" s="15">
        <v>8</v>
      </c>
      <c r="F4144" s="91" t="s">
        <v>104</v>
      </c>
      <c r="G4144" s="4"/>
      <c r="H4144" s="4"/>
      <c r="I4144" s="4"/>
    </row>
    <row r="4145" spans="1:9" ht="15">
      <c r="A4145" s="13">
        <v>25</v>
      </c>
      <c r="B4145" s="14" t="s">
        <v>5509</v>
      </c>
      <c r="C4145" s="85" t="str">
        <f ca="1">IFERROR(__xludf.DUMMYFUNCTION("GOOGLETRANSLATE(B4145:B4160,""RU"",""UK"")"),"Ремінь клиновий Б(В) - 1120")</f>
        <v>Ремінь клиновий Б(В) - 1120</v>
      </c>
      <c r="D4145" s="15" t="s">
        <v>6</v>
      </c>
      <c r="E4145" s="15">
        <v>2</v>
      </c>
      <c r="F4145" s="91" t="s">
        <v>185</v>
      </c>
      <c r="G4145" s="4"/>
      <c r="H4145" s="4"/>
      <c r="I4145" s="4"/>
    </row>
    <row r="4146" spans="1:9" ht="15">
      <c r="A4146" s="13">
        <v>26</v>
      </c>
      <c r="B4146" s="14" t="s">
        <v>5510</v>
      </c>
      <c r="C4146" s="85" t="str">
        <f ca="1">IFERROR(__xludf.DUMMYFUNCTION("GOOGLETRANSLATE(B4146:B4161,""RU"",""UK"")"),"Ремінь клиновий Б(В) - 1180")</f>
        <v>Ремінь клиновий Б(В) - 1180</v>
      </c>
      <c r="D4146" s="15" t="s">
        <v>6</v>
      </c>
      <c r="E4146" s="15">
        <v>12</v>
      </c>
      <c r="F4146" s="91" t="s">
        <v>2106</v>
      </c>
      <c r="G4146" s="4"/>
      <c r="H4146" s="4"/>
      <c r="I4146" s="4"/>
    </row>
    <row r="4147" spans="1:9" ht="15">
      <c r="A4147" s="13">
        <v>27</v>
      </c>
      <c r="B4147" s="14" t="s">
        <v>5511</v>
      </c>
      <c r="C4147" s="85" t="str">
        <f ca="1">IFERROR(__xludf.DUMMYFUNCTION("GOOGLETRANSLATE(B4147:B4162,""RU"",""UK"")"),"Ремінь клиновий Б(В) - 1320")</f>
        <v>Ремінь клиновий Б(В) - 1320</v>
      </c>
      <c r="D4147" s="15" t="s">
        <v>6</v>
      </c>
      <c r="E4147" s="15">
        <v>4</v>
      </c>
      <c r="F4147" s="91" t="s">
        <v>1194</v>
      </c>
      <c r="G4147" s="4"/>
      <c r="H4147" s="4"/>
      <c r="I4147" s="4"/>
    </row>
    <row r="4148" spans="1:9" ht="15">
      <c r="A4148" s="13">
        <v>28</v>
      </c>
      <c r="B4148" s="14" t="s">
        <v>5512</v>
      </c>
      <c r="C4148" s="85" t="str">
        <f ca="1">IFERROR(__xludf.DUMMYFUNCTION("GOOGLETRANSLATE(B4148:B4163,""RU"",""UK"")"),"Ремінь клиновий Б(В) - 1900")</f>
        <v>Ремінь клиновий Б(В) - 1900</v>
      </c>
      <c r="D4148" s="15" t="s">
        <v>6</v>
      </c>
      <c r="E4148" s="15">
        <v>13</v>
      </c>
      <c r="F4148" s="91" t="s">
        <v>319</v>
      </c>
      <c r="G4148" s="4"/>
      <c r="H4148" s="4"/>
      <c r="I4148" s="4"/>
    </row>
    <row r="4149" spans="1:9" ht="15">
      <c r="A4149" s="13">
        <v>29</v>
      </c>
      <c r="B4149" s="14" t="s">
        <v>5513</v>
      </c>
      <c r="C4149" s="85" t="str">
        <f ca="1">IFERROR(__xludf.DUMMYFUNCTION("GOOGLETRANSLATE(B4149:B4164,""RU"",""UK"")"),"Ремінь клиновий Б(В) - 2120")</f>
        <v>Ремінь клиновий Б(В) - 2120</v>
      </c>
      <c r="D4149" s="15" t="s">
        <v>6</v>
      </c>
      <c r="E4149" s="15">
        <v>1</v>
      </c>
      <c r="F4149" s="91" t="s">
        <v>567</v>
      </c>
      <c r="G4149" s="4"/>
      <c r="H4149" s="4"/>
      <c r="I4149" s="4"/>
    </row>
    <row r="4150" spans="1:9" ht="15">
      <c r="A4150" s="13">
        <v>30</v>
      </c>
      <c r="B4150" s="14" t="s">
        <v>5514</v>
      </c>
      <c r="C4150" s="85" t="str">
        <f ca="1">IFERROR(__xludf.DUMMYFUNCTION("GOOGLETRANSLATE(B4150:B4165,""RU"",""UK"")"),"Ремінь клиновий Б(В) - 2360")</f>
        <v>Ремінь клиновий Б(В) - 2360</v>
      </c>
      <c r="D4150" s="15" t="s">
        <v>6</v>
      </c>
      <c r="E4150" s="15">
        <v>10</v>
      </c>
      <c r="F4150" s="91" t="s">
        <v>1559</v>
      </c>
      <c r="G4150" s="4"/>
      <c r="H4150" s="4"/>
      <c r="I4150" s="4"/>
    </row>
    <row r="4151" spans="1:9" ht="15">
      <c r="A4151" s="13">
        <v>31</v>
      </c>
      <c r="B4151" s="16" t="s">
        <v>5515</v>
      </c>
      <c r="C4151" s="85" t="str">
        <f ca="1">IFERROR(__xludf.DUMMYFUNCTION("GOOGLETRANSLATE(B4151:B4166,""RU"",""UK"")"),"Ремінь клиновий Б(В) (SPB) - 4000")</f>
        <v>Ремінь клиновий Б(В) (SPB) - 4000</v>
      </c>
      <c r="D4151" s="15" t="s">
        <v>6</v>
      </c>
      <c r="E4151" s="15">
        <v>6</v>
      </c>
      <c r="F4151" s="91" t="s">
        <v>327</v>
      </c>
      <c r="G4151" s="4"/>
      <c r="H4151" s="4"/>
      <c r="I4151" s="4"/>
    </row>
    <row r="4152" spans="1:9" ht="15">
      <c r="A4152" s="13">
        <v>32</v>
      </c>
      <c r="B4152" s="14" t="s">
        <v>5516</v>
      </c>
      <c r="C4152" s="85" t="str">
        <f ca="1">IFERROR(__xludf.DUMMYFUNCTION("GOOGLETRANSLATE(B4152:B4167,""RU"",""UK"")"),"Ремінь клиновий В(С) - 710")</f>
        <v>Ремінь клиновий В(С) - 710</v>
      </c>
      <c r="D4152" s="15" t="s">
        <v>6</v>
      </c>
      <c r="E4152" s="15">
        <v>7</v>
      </c>
      <c r="F4152" s="91" t="s">
        <v>209</v>
      </c>
      <c r="G4152" s="4"/>
      <c r="H4152" s="4"/>
      <c r="I4152" s="4"/>
    </row>
    <row r="4153" spans="1:9" ht="15">
      <c r="A4153" s="13">
        <v>33</v>
      </c>
      <c r="B4153" s="14" t="s">
        <v>5517</v>
      </c>
      <c r="C4153" s="85" t="str">
        <f ca="1">IFERROR(__xludf.DUMMYFUNCTION("GOOGLETRANSLATE(B4153:B4168,""RU"",""UK"")"),"Ремінь клиновий (С) - 800")</f>
        <v>Ремінь клиновий (С) - 800</v>
      </c>
      <c r="D4153" s="15" t="s">
        <v>6</v>
      </c>
      <c r="E4153" s="15">
        <v>11</v>
      </c>
      <c r="F4153" s="91" t="s">
        <v>371</v>
      </c>
      <c r="G4153" s="4"/>
      <c r="H4153" s="4"/>
      <c r="I4153" s="4"/>
    </row>
    <row r="4154" spans="1:9" ht="15">
      <c r="A4154" s="13">
        <v>34</v>
      </c>
      <c r="B4154" s="14" t="s">
        <v>5518</v>
      </c>
      <c r="C4154" s="85" t="str">
        <f ca="1">IFERROR(__xludf.DUMMYFUNCTION("GOOGLETRANSLATE(B4154:B4169,""RU"",""UK"")"),"Ремінь клиновий (С) - 950")</f>
        <v>Ремінь клиновий (С) - 950</v>
      </c>
      <c r="D4154" s="15" t="s">
        <v>6</v>
      </c>
      <c r="E4154" s="15">
        <v>1</v>
      </c>
      <c r="F4154" s="91" t="s">
        <v>614</v>
      </c>
      <c r="G4154" s="4"/>
      <c r="H4154" s="4"/>
      <c r="I4154" s="4"/>
    </row>
    <row r="4155" spans="1:9" ht="15">
      <c r="A4155" s="13">
        <v>35</v>
      </c>
      <c r="B4155" s="14" t="s">
        <v>5519</v>
      </c>
      <c r="C4155" s="85" t="str">
        <f ca="1">IFERROR(__xludf.DUMMYFUNCTION("GOOGLETRANSLATE(B4155:B4170,""RU"",""UK"")"),"Ремінь клиновий (С) - 1000")</f>
        <v>Ремінь клиновий (С) - 1000</v>
      </c>
      <c r="D4155" s="15" t="s">
        <v>6</v>
      </c>
      <c r="E4155" s="15">
        <v>10</v>
      </c>
      <c r="F4155" s="91" t="s">
        <v>185</v>
      </c>
      <c r="G4155" s="4"/>
      <c r="H4155" s="4"/>
      <c r="I4155" s="4"/>
    </row>
    <row r="4156" spans="1:9" ht="15">
      <c r="A4156" s="13">
        <v>36</v>
      </c>
      <c r="B4156" s="14" t="s">
        <v>5520</v>
      </c>
      <c r="C4156" s="85" t="str">
        <f ca="1">IFERROR(__xludf.DUMMYFUNCTION("GOOGLETRANSLATE(B4156:B4171,""RU"",""UK"")"),"Ремінь клиновий (С) - 1800")</f>
        <v>Ремінь клиновий (С) - 1800</v>
      </c>
      <c r="D4156" s="15" t="s">
        <v>6</v>
      </c>
      <c r="E4156" s="15">
        <v>1</v>
      </c>
      <c r="F4156" s="91" t="s">
        <v>319</v>
      </c>
      <c r="G4156" s="4"/>
      <c r="H4156" s="4"/>
      <c r="I4156" s="4"/>
    </row>
    <row r="4157" spans="1:9" ht="15">
      <c r="A4157" s="13">
        <v>37</v>
      </c>
      <c r="B4157" s="14" t="s">
        <v>5521</v>
      </c>
      <c r="C4157" s="85" t="str">
        <f ca="1">IFERROR(__xludf.DUMMYFUNCTION("GOOGLETRANSLATE(B4157:B4172,""RU"",""UK"")"),"Ремінь клиновий В(С) - 2120")</f>
        <v>Ремінь клиновий В(С) - 2120</v>
      </c>
      <c r="D4157" s="15" t="s">
        <v>6</v>
      </c>
      <c r="E4157" s="15">
        <v>26</v>
      </c>
      <c r="F4157" s="91" t="s">
        <v>1320</v>
      </c>
      <c r="G4157" s="4"/>
      <c r="H4157" s="4"/>
      <c r="I4157" s="4"/>
    </row>
    <row r="4158" spans="1:9" ht="15">
      <c r="A4158" s="13">
        <v>38</v>
      </c>
      <c r="B4158" s="14" t="s">
        <v>5522</v>
      </c>
      <c r="C4158" s="85" t="str">
        <f ca="1">IFERROR(__xludf.DUMMYFUNCTION("GOOGLETRANSLATE(B4158:B4173,""RU"",""UK"")"),"Ремінь клиновий В(С) - 2360")</f>
        <v>Ремінь клиновий В(С) - 2360</v>
      </c>
      <c r="D4158" s="15" t="s">
        <v>6</v>
      </c>
      <c r="E4158" s="15">
        <v>9</v>
      </c>
      <c r="F4158" s="91" t="s">
        <v>119</v>
      </c>
      <c r="G4158" s="4"/>
      <c r="H4158" s="4"/>
      <c r="I4158" s="4"/>
    </row>
    <row r="4159" spans="1:9" ht="15">
      <c r="A4159" s="13">
        <v>39</v>
      </c>
      <c r="B4159" s="14" t="s">
        <v>5523</v>
      </c>
      <c r="C4159" s="85" t="str">
        <f ca="1">IFERROR(__xludf.DUMMYFUNCTION("GOOGLETRANSLATE(B4159:B4174,""RU"",""UK"")"),"Ремінь клиновий В(С) - 2600")</f>
        <v>Ремінь клиновий В(С) - 2600</v>
      </c>
      <c r="D4159" s="15" t="s">
        <v>6</v>
      </c>
      <c r="E4159" s="15">
        <v>5</v>
      </c>
      <c r="F4159" s="91" t="s">
        <v>222</v>
      </c>
      <c r="G4159" s="4"/>
      <c r="H4159" s="4"/>
      <c r="I4159" s="4"/>
    </row>
    <row r="4160" spans="1:9" ht="15">
      <c r="A4160" s="13">
        <v>40</v>
      </c>
      <c r="B4160" s="14" t="s">
        <v>5524</v>
      </c>
      <c r="C4160" s="85" t="str">
        <f ca="1">IFERROR(__xludf.DUMMYFUNCTION("GOOGLETRANSLATE(B4160:B4175,""RU"",""UK"")"),"Ремінь клиновий В(С) - 2650")</f>
        <v>Ремінь клиновий В(С) - 2650</v>
      </c>
      <c r="D4160" s="15" t="s">
        <v>6</v>
      </c>
      <c r="E4160" s="15">
        <v>1</v>
      </c>
      <c r="F4160" s="91" t="s">
        <v>222</v>
      </c>
      <c r="G4160" s="4"/>
      <c r="H4160" s="4"/>
      <c r="I4160" s="4"/>
    </row>
    <row r="4161" spans="1:9" ht="15">
      <c r="A4161" s="13">
        <v>41</v>
      </c>
      <c r="B4161" s="14" t="s">
        <v>5525</v>
      </c>
      <c r="C4161" s="85" t="str">
        <f ca="1">IFERROR(__xludf.DUMMYFUNCTION("GOOGLETRANSLATE(B4161:B4176,""RU"",""UK"")"),"Ремінь клиновий В(С) - 2900")</f>
        <v>Ремінь клиновий В(С) - 2900</v>
      </c>
      <c r="D4161" s="15" t="s">
        <v>6</v>
      </c>
      <c r="E4161" s="15">
        <v>3</v>
      </c>
      <c r="F4161" s="91" t="s">
        <v>222</v>
      </c>
      <c r="G4161" s="4"/>
      <c r="H4161" s="4"/>
      <c r="I4161" s="4"/>
    </row>
    <row r="4162" spans="1:9" ht="15">
      <c r="A4162" s="13">
        <v>42</v>
      </c>
      <c r="B4162" s="14" t="s">
        <v>5526</v>
      </c>
      <c r="C4162" s="85" t="str">
        <f ca="1">IFERROR(__xludf.DUMMYFUNCTION("GOOGLETRANSLATE(B4162:B4177,""RU"",""UK"")"),"Ремінь клиновий В(С) - 3150")</f>
        <v>Ремінь клиновий В(С) - 3150</v>
      </c>
      <c r="D4162" s="15" t="s">
        <v>6</v>
      </c>
      <c r="E4162" s="15">
        <v>1</v>
      </c>
      <c r="F4162" s="91" t="s">
        <v>327</v>
      </c>
      <c r="G4162" s="4"/>
      <c r="H4162" s="4"/>
      <c r="I4162" s="4"/>
    </row>
    <row r="4163" spans="1:9" ht="15">
      <c r="A4163" s="13">
        <v>43</v>
      </c>
      <c r="B4163" s="14" t="s">
        <v>5527</v>
      </c>
      <c r="C4163" s="85" t="str">
        <f ca="1">IFERROR(__xludf.DUMMYFUNCTION("GOOGLETRANSLATE(B4163:B4178,""RU"",""UK"")"),"Ремінь клиновий В(С) - 3350")</f>
        <v>Ремінь клиновий В(С) - 3350</v>
      </c>
      <c r="D4163" s="15" t="s">
        <v>6</v>
      </c>
      <c r="E4163" s="15">
        <v>3</v>
      </c>
      <c r="F4163" s="91" t="s">
        <v>140</v>
      </c>
      <c r="G4163" s="4"/>
      <c r="H4163" s="4"/>
      <c r="I4163" s="4"/>
    </row>
    <row r="4164" spans="1:9" ht="15">
      <c r="A4164" s="13">
        <v>44</v>
      </c>
      <c r="B4164" s="14" t="s">
        <v>5528</v>
      </c>
      <c r="C4164" s="85" t="str">
        <f ca="1">IFERROR(__xludf.DUMMYFUNCTION("GOOGLETRANSLATE(B4164:B4179,""RU"",""UK"")"),"Ремінь клиновий В(С) - 3585")</f>
        <v>Ремінь клиновий В(С) - 3585</v>
      </c>
      <c r="D4164" s="15" t="s">
        <v>6</v>
      </c>
      <c r="E4164" s="15">
        <v>10</v>
      </c>
      <c r="F4164" s="91" t="s">
        <v>140</v>
      </c>
      <c r="G4164" s="4"/>
      <c r="H4164" s="4"/>
      <c r="I4164" s="4"/>
    </row>
    <row r="4165" spans="1:9" ht="15">
      <c r="A4165" s="13">
        <v>45</v>
      </c>
      <c r="B4165" s="14" t="s">
        <v>5529</v>
      </c>
      <c r="C4165" s="85" t="str">
        <f ca="1">IFERROR(__xludf.DUMMYFUNCTION("GOOGLETRANSLATE(B4165:B4180,""RU"",""UK"")"),"Ремінь клиновий (С) - 4350")</f>
        <v>Ремінь клиновий (С) - 4350</v>
      </c>
      <c r="D4165" s="15" t="s">
        <v>6</v>
      </c>
      <c r="E4165" s="15">
        <v>9</v>
      </c>
      <c r="F4165" s="91" t="s">
        <v>140</v>
      </c>
      <c r="G4165" s="4"/>
      <c r="H4165" s="4"/>
      <c r="I4165" s="4"/>
    </row>
    <row r="4166" spans="1:9" ht="15">
      <c r="A4166" s="13">
        <v>46</v>
      </c>
      <c r="B4166" s="14" t="s">
        <v>5530</v>
      </c>
      <c r="C4166" s="85" t="str">
        <f ca="1">IFERROR(__xludf.DUMMYFUNCTION("GOOGLETRANSLATE(B4166:B4181,""RU"",""UK"")"),"Ремінь клиновий (С) - 4500")</f>
        <v>Ремінь клиновий (С) - 4500</v>
      </c>
      <c r="D4166" s="15" t="s">
        <v>6</v>
      </c>
      <c r="E4166" s="15">
        <v>18</v>
      </c>
      <c r="F4166" s="91" t="s">
        <v>20</v>
      </c>
      <c r="G4166" s="4"/>
      <c r="H4166" s="4"/>
      <c r="I4166" s="4"/>
    </row>
    <row r="4167" spans="1:9" ht="15">
      <c r="A4167" s="13">
        <v>47</v>
      </c>
      <c r="B4167" s="14" t="s">
        <v>5531</v>
      </c>
      <c r="C4167" s="85" t="str">
        <f ca="1">IFERROR(__xludf.DUMMYFUNCTION("GOOGLETRANSLATE(B4167:B4182,""RU"",""UK"")"),"Ремінь клиновий (С) - 5000")</f>
        <v>Ремінь клиновий (С) - 5000</v>
      </c>
      <c r="D4167" s="15" t="s">
        <v>6</v>
      </c>
      <c r="E4167" s="15">
        <v>1</v>
      </c>
      <c r="F4167" s="91" t="s">
        <v>20</v>
      </c>
      <c r="G4167" s="4"/>
      <c r="H4167" s="4"/>
      <c r="I4167" s="4"/>
    </row>
    <row r="4168" spans="1:9" ht="15">
      <c r="A4168" s="13">
        <v>48</v>
      </c>
      <c r="B4168" s="14" t="s">
        <v>5532</v>
      </c>
      <c r="C4168" s="85" t="str">
        <f ca="1">IFERROR(__xludf.DUMMYFUNCTION("GOOGLETRANSLATE(B4168:B4183,""RU"",""UK"")"),"Ремінь клиновий В(С) - 5300")</f>
        <v>Ремінь клиновий В(С) - 5300</v>
      </c>
      <c r="D4168" s="15" t="s">
        <v>6</v>
      </c>
      <c r="E4168" s="15">
        <v>2</v>
      </c>
      <c r="F4168" s="91" t="s">
        <v>20</v>
      </c>
      <c r="G4168" s="4"/>
      <c r="H4168" s="4"/>
      <c r="I4168" s="4"/>
    </row>
    <row r="4169" spans="1:9" ht="15">
      <c r="A4169" s="13">
        <v>49</v>
      </c>
      <c r="B4169" s="14" t="s">
        <v>5533</v>
      </c>
      <c r="C4169" s="85" t="str">
        <f ca="1">IFERROR(__xludf.DUMMYFUNCTION("GOOGLETRANSLATE(B4169:B4184,""RU"",""UK"")"),"Ремінь клиновий В(С) - 5600")</f>
        <v>Ремінь клиновий В(С) - 5600</v>
      </c>
      <c r="D4169" s="15" t="s">
        <v>6</v>
      </c>
      <c r="E4169" s="15">
        <v>9</v>
      </c>
      <c r="F4169" s="91" t="s">
        <v>20</v>
      </c>
      <c r="G4169" s="4"/>
      <c r="H4169" s="4"/>
      <c r="I4169" s="4"/>
    </row>
    <row r="4170" spans="1:9" ht="15">
      <c r="A4170" s="13">
        <v>50</v>
      </c>
      <c r="B4170" s="14" t="s">
        <v>5534</v>
      </c>
      <c r="C4170" s="85" t="str">
        <f ca="1">IFERROR(__xludf.DUMMYFUNCTION("GOOGLETRANSLATE(B4170:B4185,""RU"",""UK"")"),"Ремінь клиновий Г(D) - 3150")</f>
        <v>Ремінь клиновий Г(D) - 3150</v>
      </c>
      <c r="D4170" s="15" t="s">
        <v>6</v>
      </c>
      <c r="E4170" s="15">
        <v>3</v>
      </c>
      <c r="F4170" s="91" t="s">
        <v>24</v>
      </c>
      <c r="G4170" s="4"/>
      <c r="H4170" s="4"/>
      <c r="I4170" s="4"/>
    </row>
    <row r="4171" spans="1:9" ht="15">
      <c r="A4171" s="13">
        <v>51</v>
      </c>
      <c r="B4171" s="14" t="s">
        <v>5535</v>
      </c>
      <c r="C4171" s="115" t="str">
        <f ca="1">IFERROR(__xludf.DUMMYFUNCTION("GOOGLETRANSLATE(B4171:B4186,""RU"",""UK"")"),"Ремінь клиновий Г(D) - 3475")</f>
        <v>Ремінь клиновий Г(D) - 3475</v>
      </c>
      <c r="D4171" s="15" t="s">
        <v>6</v>
      </c>
      <c r="E4171" s="15">
        <v>8</v>
      </c>
      <c r="F4171" s="91" t="s">
        <v>24</v>
      </c>
      <c r="G4171" s="4"/>
      <c r="H4171" s="4"/>
      <c r="I4171" s="4"/>
    </row>
    <row r="4172" spans="1:9" ht="15">
      <c r="A4172" s="68"/>
      <c r="B4172" s="69"/>
      <c r="C4172" s="119" t="s">
        <v>6063</v>
      </c>
      <c r="D4172" s="69"/>
      <c r="E4172" s="69"/>
      <c r="F4172" s="106"/>
      <c r="G4172" s="4"/>
      <c r="H4172" s="4"/>
      <c r="I4172" s="4"/>
    </row>
    <row r="4173" spans="1:9" ht="15">
      <c r="A4173" s="13">
        <v>1</v>
      </c>
      <c r="B4173" s="14" t="s">
        <v>5536</v>
      </c>
      <c r="C4173" s="47" t="str">
        <f ca="1">IFERROR(__xludf.DUMMYFUNCTION("GOOGLETRANSLATE(B4173:B4188,""RU"",""UK"")"),"Цвях 20мм (3кгх4шт)")</f>
        <v>Цвях 20мм (3кгх4шт)</v>
      </c>
      <c r="D4173" s="15" t="s">
        <v>130</v>
      </c>
      <c r="E4173" s="15">
        <v>12</v>
      </c>
      <c r="F4173" s="91" t="s">
        <v>201</v>
      </c>
      <c r="G4173" s="4"/>
      <c r="H4173" s="4"/>
      <c r="I4173" s="4"/>
    </row>
    <row r="4174" spans="1:9" ht="15">
      <c r="A4174" s="13">
        <v>2</v>
      </c>
      <c r="B4174" s="14" t="s">
        <v>5537</v>
      </c>
      <c r="C4174" s="85" t="str">
        <f ca="1">IFERROR(__xludf.DUMMYFUNCTION("GOOGLETRANSLATE(B4174:B4189,""RU"",""UK"")"),"Цвях 25мм (3х3+(10кгх3шт)+8+9кг)")</f>
        <v>Цвях 25мм (3х3+(10кгх3шт)+8+9кг)</v>
      </c>
      <c r="D4174" s="15" t="s">
        <v>130</v>
      </c>
      <c r="E4174" s="15">
        <v>56</v>
      </c>
      <c r="F4174" s="91" t="s">
        <v>169</v>
      </c>
      <c r="G4174" s="4"/>
      <c r="H4174" s="4"/>
      <c r="I4174" s="4"/>
    </row>
    <row r="4175" spans="1:9" ht="15">
      <c r="A4175" s="13">
        <v>3</v>
      </c>
      <c r="B4175" s="14" t="s">
        <v>5538</v>
      </c>
      <c r="C4175" s="85" t="str">
        <f ca="1">IFERROR(__xludf.DUMMYFUNCTION("GOOGLETRANSLATE(B4175:B4190,""RU"",""UK"")"),"Цвях 32мм (3кгх4шт+13+2кг)")</f>
        <v>Цвях 32мм (3кгх4шт+13+2кг)</v>
      </c>
      <c r="D4175" s="15" t="s">
        <v>130</v>
      </c>
      <c r="E4175" s="15">
        <v>27</v>
      </c>
      <c r="F4175" s="91" t="s">
        <v>169</v>
      </c>
      <c r="G4175" s="4"/>
      <c r="H4175" s="4"/>
      <c r="I4175" s="4"/>
    </row>
    <row r="4176" spans="1:9" ht="15">
      <c r="A4176" s="13">
        <v>4</v>
      </c>
      <c r="B4176" s="14" t="s">
        <v>5539</v>
      </c>
      <c r="C4176" s="85" t="str">
        <f ca="1">IFERROR(__xludf.DUMMYFUNCTION("GOOGLETRANSLATE(B4176:B4191,""RU"",""UK"")"),"Цвях 40мм (20кгх3шт+10кгх2+3кгх5)")</f>
        <v>Цвях 40мм (20кгх3шт+10кгх2+3кгх5)</v>
      </c>
      <c r="D4176" s="15" t="s">
        <v>130</v>
      </c>
      <c r="E4176" s="15">
        <v>95</v>
      </c>
      <c r="F4176" s="91" t="s">
        <v>248</v>
      </c>
      <c r="G4176" s="4"/>
      <c r="H4176" s="4"/>
      <c r="I4176" s="4"/>
    </row>
    <row r="4177" spans="1:9" ht="15">
      <c r="A4177" s="13">
        <v>5</v>
      </c>
      <c r="B4177" s="14" t="s">
        <v>5540</v>
      </c>
      <c r="C4177" s="85" t="str">
        <f ca="1">IFERROR(__xludf.DUMMYFUNCTION("GOOGLETRANSLATE(B4177:B4192,""RU"",""UK"")"),"Цвях 50мм")</f>
        <v>Цвях 50мм</v>
      </c>
      <c r="D4177" s="15" t="s">
        <v>130</v>
      </c>
      <c r="E4177" s="15">
        <v>11</v>
      </c>
      <c r="F4177" s="91" t="s">
        <v>248</v>
      </c>
      <c r="G4177" s="4"/>
      <c r="H4177" s="4"/>
      <c r="I4177" s="4"/>
    </row>
    <row r="4178" spans="1:9" ht="15">
      <c r="A4178" s="13">
        <v>6</v>
      </c>
      <c r="B4178" s="14" t="s">
        <v>5541</v>
      </c>
      <c r="C4178" s="85" t="str">
        <f ca="1">IFERROR(__xludf.DUMMYFUNCTION("GOOGLETRANSLATE(B4178:B4193,""RU"",""UK"")"),"Цвях 60мм (3х3)")</f>
        <v>Цвях 60мм (3х3)</v>
      </c>
      <c r="D4178" s="15" t="s">
        <v>130</v>
      </c>
      <c r="E4178" s="15">
        <v>3</v>
      </c>
      <c r="F4178" s="91" t="s">
        <v>248</v>
      </c>
      <c r="G4178" s="4"/>
      <c r="H4178" s="4"/>
      <c r="I4178" s="4"/>
    </row>
    <row r="4179" spans="1:9" ht="15">
      <c r="A4179" s="68"/>
      <c r="B4179" s="69"/>
      <c r="C4179" s="110" t="s">
        <v>6064</v>
      </c>
      <c r="D4179" s="69"/>
      <c r="E4179" s="69"/>
      <c r="F4179" s="106"/>
      <c r="G4179" s="4"/>
      <c r="H4179" s="4"/>
      <c r="I4179" s="4"/>
    </row>
    <row r="4180" spans="1:9" ht="15">
      <c r="A4180" s="13">
        <v>1</v>
      </c>
      <c r="B4180" s="19" t="s">
        <v>5542</v>
      </c>
      <c r="C4180" s="85" t="str">
        <f ca="1">IFERROR(__xludf.DUMMYFUNCTION("GOOGLETRANSLATE(B4180:B4195,""RU"",""UK"")"),"Гайка 4")</f>
        <v>Гайка 4</v>
      </c>
      <c r="D4180" s="15" t="s">
        <v>130</v>
      </c>
      <c r="E4180" s="15">
        <v>0</v>
      </c>
      <c r="F4180" s="91" t="s">
        <v>631</v>
      </c>
      <c r="G4180" s="4"/>
      <c r="H4180" s="4"/>
      <c r="I4180" s="4"/>
    </row>
    <row r="4181" spans="1:9" ht="15">
      <c r="A4181" s="13">
        <f>A4180+1</f>
        <v>2</v>
      </c>
      <c r="B4181" s="14" t="s">
        <v>5543</v>
      </c>
      <c r="C4181" s="85" t="str">
        <f ca="1">IFERROR(__xludf.DUMMYFUNCTION("GOOGLETRANSLATE(B4181:B4196,""RU"",""UK"")"),"Гайка 5")</f>
        <v>Гайка 5</v>
      </c>
      <c r="D4181" s="15" t="s">
        <v>130</v>
      </c>
      <c r="E4181" s="15" t="s">
        <v>5544</v>
      </c>
      <c r="F4181" s="91" t="s">
        <v>319</v>
      </c>
      <c r="G4181" s="4"/>
      <c r="H4181" s="4"/>
      <c r="I4181" s="4"/>
    </row>
    <row r="4182" spans="1:9" ht="15">
      <c r="A4182" s="21">
        <f t="shared" ref="A4182:A4245" si="77">A4181+1</f>
        <v>3</v>
      </c>
      <c r="B4182" s="14" t="s">
        <v>5545</v>
      </c>
      <c r="C4182" s="85" t="str">
        <f ca="1">IFERROR(__xludf.DUMMYFUNCTION("GOOGLETRANSLATE(B4182:B4197,""RU"",""UK"")"),"Гайка 6оц")</f>
        <v>Гайка 6оц</v>
      </c>
      <c r="D4182" s="15" t="s">
        <v>130</v>
      </c>
      <c r="E4182" s="15" t="s">
        <v>1230</v>
      </c>
      <c r="F4182" s="91" t="s">
        <v>317</v>
      </c>
      <c r="G4182" s="4"/>
      <c r="H4182" s="4"/>
      <c r="I4182" s="4"/>
    </row>
    <row r="4183" spans="1:9" ht="15">
      <c r="A4183" s="21">
        <f t="shared" si="77"/>
        <v>4</v>
      </c>
      <c r="B4183" s="16" t="s">
        <v>5546</v>
      </c>
      <c r="C4183" s="85" t="str">
        <f ca="1">IFERROR(__xludf.DUMMYFUNCTION("GOOGLETRANSLATE(B4183:B4198,""RU"",""UK"")"),"Гайка 8")</f>
        <v>Гайка 8</v>
      </c>
      <c r="D4183" s="15" t="s">
        <v>130</v>
      </c>
      <c r="E4183" s="15">
        <v>5</v>
      </c>
      <c r="F4183" s="91" t="s">
        <v>317</v>
      </c>
      <c r="G4183" s="4"/>
      <c r="H4183" s="4"/>
      <c r="I4183" s="4"/>
    </row>
    <row r="4184" spans="1:9" ht="15">
      <c r="A4184" s="21">
        <f t="shared" si="77"/>
        <v>5</v>
      </c>
      <c r="B4184" s="16" t="s">
        <v>5547</v>
      </c>
      <c r="C4184" s="85" t="str">
        <f ca="1">IFERROR(__xludf.DUMMYFUNCTION("GOOGLETRANSLATE(B4184:B4199,""RU"",""UK"")"),"Гайка 10")</f>
        <v>Гайка 10</v>
      </c>
      <c r="D4184" s="15" t="s">
        <v>130</v>
      </c>
      <c r="E4184" s="15">
        <v>5</v>
      </c>
      <c r="F4184" s="91" t="s">
        <v>194</v>
      </c>
      <c r="G4184" s="4"/>
      <c r="H4184" s="4"/>
      <c r="I4184" s="4"/>
    </row>
    <row r="4185" spans="1:9" ht="15">
      <c r="A4185" s="21">
        <f t="shared" si="77"/>
        <v>6</v>
      </c>
      <c r="B4185" s="14" t="s">
        <v>5548</v>
      </c>
      <c r="C4185" s="85" t="str">
        <f ca="1">IFERROR(__xludf.DUMMYFUNCTION("GOOGLETRANSLATE(B4185:B4200,""RU"",""UK"")"),"Гайка 12")</f>
        <v>Гайка 12</v>
      </c>
      <c r="D4185" s="15" t="s">
        <v>130</v>
      </c>
      <c r="E4185" s="15">
        <v>16</v>
      </c>
      <c r="F4185" s="91" t="s">
        <v>194</v>
      </c>
      <c r="G4185" s="4"/>
      <c r="H4185" s="4"/>
      <c r="I4185" s="4"/>
    </row>
    <row r="4186" spans="1:9" ht="15">
      <c r="A4186" s="21">
        <f t="shared" si="77"/>
        <v>7</v>
      </c>
      <c r="B4186" s="14" t="s">
        <v>5549</v>
      </c>
      <c r="C4186" s="85" t="str">
        <f ca="1">IFERROR(__xludf.DUMMYFUNCTION("GOOGLETRANSLATE(B4186:B4201,""RU"",""UK"")"),"Гайка 12оц.")</f>
        <v>Гайка 12оц.</v>
      </c>
      <c r="D4186" s="15" t="s">
        <v>130</v>
      </c>
      <c r="E4186" s="15">
        <v>32</v>
      </c>
      <c r="F4186" s="91" t="s">
        <v>317</v>
      </c>
      <c r="G4186" s="4"/>
      <c r="H4186" s="4"/>
      <c r="I4186" s="4"/>
    </row>
    <row r="4187" spans="1:9" ht="15">
      <c r="A4187" s="21">
        <f t="shared" si="77"/>
        <v>8</v>
      </c>
      <c r="B4187" s="14" t="s">
        <v>5550</v>
      </c>
      <c r="C4187" s="85" t="str">
        <f ca="1">IFERROR(__xludf.DUMMYFUNCTION("GOOGLETRANSLATE(B4187:B4202,""RU"",""UK"")"),"Гайка 14")</f>
        <v>Гайка 14</v>
      </c>
      <c r="D4187" s="15" t="s">
        <v>130</v>
      </c>
      <c r="E4187" s="15">
        <v>0</v>
      </c>
      <c r="F4187" s="91" t="s">
        <v>194</v>
      </c>
      <c r="G4187" s="4"/>
      <c r="H4187" s="4"/>
      <c r="I4187" s="4"/>
    </row>
    <row r="4188" spans="1:9" ht="15">
      <c r="A4188" s="21">
        <f t="shared" si="77"/>
        <v>9</v>
      </c>
      <c r="B4188" s="14" t="s">
        <v>5551</v>
      </c>
      <c r="C4188" s="85" t="str">
        <f ca="1">IFERROR(__xludf.DUMMYFUNCTION("GOOGLETRANSLATE(B4188:B4203,""RU"",""UK"")"),"Гайка 16")</f>
        <v>Гайка 16</v>
      </c>
      <c r="D4188" s="15" t="s">
        <v>130</v>
      </c>
      <c r="E4188" s="15">
        <v>37</v>
      </c>
      <c r="F4188" s="91" t="s">
        <v>194</v>
      </c>
      <c r="G4188" s="4"/>
      <c r="H4188" s="4"/>
      <c r="I4188" s="4"/>
    </row>
    <row r="4189" spans="1:9" ht="15">
      <c r="A4189" s="21">
        <f t="shared" si="77"/>
        <v>10</v>
      </c>
      <c r="B4189" s="14" t="s">
        <v>5552</v>
      </c>
      <c r="C4189" s="85" t="str">
        <f ca="1">IFERROR(__xludf.DUMMYFUNCTION("GOOGLETRANSLATE(B4189:B4204,""RU"",""UK"")"),"Гайка 16оц.")</f>
        <v>Гайка 16оц.</v>
      </c>
      <c r="D4189" s="15" t="s">
        <v>130</v>
      </c>
      <c r="E4189" s="15">
        <v>236</v>
      </c>
      <c r="F4189" s="91" t="s">
        <v>348</v>
      </c>
      <c r="G4189" s="4"/>
      <c r="H4189" s="4"/>
      <c r="I4189" s="4"/>
    </row>
    <row r="4190" spans="1:9" ht="15">
      <c r="A4190" s="21">
        <f t="shared" si="77"/>
        <v>11</v>
      </c>
      <c r="B4190" s="14" t="s">
        <v>5553</v>
      </c>
      <c r="C4190" s="85" t="str">
        <f ca="1">IFERROR(__xludf.DUMMYFUNCTION("GOOGLETRANSLATE(B4190:B4205,""RU"",""UK"")"),"Гайка 18")</f>
        <v>Гайка 18</v>
      </c>
      <c r="D4190" s="15" t="s">
        <v>130</v>
      </c>
      <c r="E4190" s="15">
        <v>13</v>
      </c>
      <c r="F4190" s="91" t="s">
        <v>194</v>
      </c>
      <c r="G4190" s="4"/>
      <c r="H4190" s="4"/>
      <c r="I4190" s="4"/>
    </row>
    <row r="4191" spans="1:9" ht="15">
      <c r="A4191" s="21">
        <f t="shared" si="77"/>
        <v>12</v>
      </c>
      <c r="B4191" s="19" t="s">
        <v>5554</v>
      </c>
      <c r="C4191" s="85" t="str">
        <f ca="1">IFERROR(__xludf.DUMMYFUNCTION("GOOGLETRANSLATE(B4191:B4206,""RU"",""UK"")"),"Гайка 20")</f>
        <v>Гайка 20</v>
      </c>
      <c r="D4191" s="15" t="s">
        <v>130</v>
      </c>
      <c r="E4191" s="15">
        <v>0</v>
      </c>
      <c r="F4191" s="91" t="s">
        <v>136</v>
      </c>
      <c r="G4191" s="4"/>
      <c r="H4191" s="4"/>
      <c r="I4191" s="4"/>
    </row>
    <row r="4192" spans="1:9" ht="15">
      <c r="A4192" s="21">
        <f t="shared" si="77"/>
        <v>13</v>
      </c>
      <c r="B4192" s="14" t="s">
        <v>5555</v>
      </c>
      <c r="C4192" s="85" t="str">
        <f ca="1">IFERROR(__xludf.DUMMYFUNCTION("GOOGLETRANSLATE(B4192:B4207,""RU"",""UK"")"),"Гайка 22 / 24")</f>
        <v>Гайка 22 / 24</v>
      </c>
      <c r="D4192" s="15" t="s">
        <v>130</v>
      </c>
      <c r="E4192" s="15" t="s">
        <v>5556</v>
      </c>
      <c r="F4192" s="91" t="s">
        <v>1194</v>
      </c>
      <c r="G4192" s="4"/>
      <c r="H4192" s="4"/>
      <c r="I4192" s="4"/>
    </row>
    <row r="4193" spans="1:9" ht="15">
      <c r="A4193" s="21">
        <f t="shared" si="77"/>
        <v>14</v>
      </c>
      <c r="B4193" s="14" t="s">
        <v>5557</v>
      </c>
      <c r="C4193" s="85" t="str">
        <f ca="1">IFERROR(__xludf.DUMMYFUNCTION("GOOGLETRANSLATE(B4193:B4208,""RU"",""UK"")"),"Гайка 24х1,5оц")</f>
        <v>Гайка 24х1,5оц</v>
      </c>
      <c r="D4193" s="15" t="s">
        <v>130</v>
      </c>
      <c r="E4193" s="15">
        <v>3</v>
      </c>
      <c r="F4193" s="91" t="s">
        <v>1194</v>
      </c>
      <c r="G4193" s="4"/>
      <c r="H4193" s="4"/>
      <c r="I4193" s="4"/>
    </row>
    <row r="4194" spans="1:9" ht="15">
      <c r="A4194" s="21">
        <f t="shared" si="77"/>
        <v>15</v>
      </c>
      <c r="B4194" s="14" t="s">
        <v>5558</v>
      </c>
      <c r="C4194" s="85" t="str">
        <f ca="1">IFERROR(__xludf.DUMMYFUNCTION("GOOGLETRANSLATE(B4194:B4209,""RU"",""UK"")"),"Гайка 27оц. / 30оц.")</f>
        <v>Гайка 27оц. / 30оц.</v>
      </c>
      <c r="D4194" s="15" t="s">
        <v>130</v>
      </c>
      <c r="E4194" s="15" t="s">
        <v>3720</v>
      </c>
      <c r="F4194" s="91" t="s">
        <v>557</v>
      </c>
      <c r="G4194" s="4"/>
      <c r="H4194" s="4"/>
      <c r="I4194" s="4"/>
    </row>
    <row r="4195" spans="1:9" ht="15">
      <c r="A4195" s="21">
        <f t="shared" si="77"/>
        <v>16</v>
      </c>
      <c r="B4195" s="14" t="s">
        <v>5559</v>
      </c>
      <c r="C4195" s="85" t="str">
        <f ca="1">IFERROR(__xludf.DUMMYFUNCTION("GOOGLETRANSLATE(B4195:B4210,""RU"",""UK"")"),"Гайка 30")</f>
        <v>Гайка 30</v>
      </c>
      <c r="D4195" s="15" t="s">
        <v>130</v>
      </c>
      <c r="E4195" s="15">
        <v>9</v>
      </c>
      <c r="F4195" s="91" t="s">
        <v>136</v>
      </c>
      <c r="G4195" s="4"/>
      <c r="H4195" s="4"/>
      <c r="I4195" s="4"/>
    </row>
    <row r="4196" spans="1:9" ht="15">
      <c r="A4196" s="21">
        <f t="shared" si="77"/>
        <v>17</v>
      </c>
      <c r="B4196" s="14" t="s">
        <v>5560</v>
      </c>
      <c r="C4196" s="85" t="str">
        <f ca="1">IFERROR(__xludf.DUMMYFUNCTION("GOOGLETRANSLATE(B4196:B4211,""RU"",""UK"")"),"Гайка 36оц.")</f>
        <v>Гайка 36оц.</v>
      </c>
      <c r="D4196" s="15" t="s">
        <v>130</v>
      </c>
      <c r="E4196" s="15">
        <v>10</v>
      </c>
      <c r="F4196" s="91" t="s">
        <v>557</v>
      </c>
      <c r="G4196" s="4"/>
      <c r="H4196" s="4"/>
      <c r="I4196" s="4"/>
    </row>
    <row r="4197" spans="1:9" ht="15">
      <c r="A4197" s="21">
        <f t="shared" si="77"/>
        <v>18</v>
      </c>
      <c r="B4197" s="14" t="s">
        <v>5561</v>
      </c>
      <c r="C4197" s="85" t="str">
        <f ca="1">IFERROR(__xludf.DUMMYFUNCTION("GOOGLETRANSLATE(B4197:B4212,""RU"",""UK"")"),"Гайка 42")</f>
        <v>Гайка 42</v>
      </c>
      <c r="D4197" s="15" t="s">
        <v>6</v>
      </c>
      <c r="E4197" s="15">
        <v>7</v>
      </c>
      <c r="F4197" s="91" t="s">
        <v>136</v>
      </c>
      <c r="G4197" s="4"/>
      <c r="H4197" s="4"/>
      <c r="I4197" s="4"/>
    </row>
    <row r="4198" spans="1:9" ht="15">
      <c r="A4198" s="21">
        <f t="shared" si="77"/>
        <v>19</v>
      </c>
      <c r="B4198" s="14" t="s">
        <v>5562</v>
      </c>
      <c r="C4198" s="85" t="str">
        <f ca="1">IFERROR(__xludf.DUMMYFUNCTION("GOOGLETRANSLATE(B4198:B4213,""RU"",""UK"")"),"Шайба гровер 4оц")</f>
        <v>Шайба гровер 4оц</v>
      </c>
      <c r="D4198" s="15" t="s">
        <v>130</v>
      </c>
      <c r="E4198" s="15" t="s">
        <v>5309</v>
      </c>
      <c r="F4198" s="91" t="s">
        <v>185</v>
      </c>
      <c r="G4198" s="4"/>
      <c r="H4198" s="4"/>
      <c r="I4198" s="4"/>
    </row>
    <row r="4199" spans="1:9" ht="15">
      <c r="A4199" s="21">
        <f t="shared" si="77"/>
        <v>20</v>
      </c>
      <c r="B4199" s="14" t="s">
        <v>5563</v>
      </c>
      <c r="C4199" s="85" t="str">
        <f ca="1">IFERROR(__xludf.DUMMYFUNCTION("GOOGLETRANSLATE(B4199:B4214,""RU"",""UK"")"),"Шайба гровер 5")</f>
        <v>Шайба гровер 5</v>
      </c>
      <c r="D4199" s="15" t="s">
        <v>130</v>
      </c>
      <c r="E4199" s="15">
        <v>21</v>
      </c>
      <c r="F4199" s="91" t="s">
        <v>185</v>
      </c>
      <c r="G4199" s="4"/>
      <c r="H4199" s="4"/>
      <c r="I4199" s="4"/>
    </row>
    <row r="4200" spans="1:9" ht="15">
      <c r="A4200" s="21">
        <f t="shared" si="77"/>
        <v>21</v>
      </c>
      <c r="B4200" s="14" t="s">
        <v>5564</v>
      </c>
      <c r="C4200" s="85" t="str">
        <f ca="1">IFERROR(__xludf.DUMMYFUNCTION("GOOGLETRANSLATE(B4200:B4215,""RU"",""UK"")"),"Шайба гровер 6")</f>
        <v>Шайба гровер 6</v>
      </c>
      <c r="D4200" s="15" t="s">
        <v>130</v>
      </c>
      <c r="E4200" s="15">
        <v>64</v>
      </c>
      <c r="F4200" s="91" t="s">
        <v>212</v>
      </c>
      <c r="G4200" s="4"/>
      <c r="H4200" s="4"/>
      <c r="I4200" s="4"/>
    </row>
    <row r="4201" spans="1:9" ht="15">
      <c r="A4201" s="21">
        <f t="shared" si="77"/>
        <v>22</v>
      </c>
      <c r="B4201" s="16" t="s">
        <v>5565</v>
      </c>
      <c r="C4201" s="85" t="str">
        <f ca="1">IFERROR(__xludf.DUMMYFUNCTION("GOOGLETRANSLATE(B4201:B4216,""RU"",""UK"")"),"Шайба гровер 8")</f>
        <v>Шайба гровер 8</v>
      </c>
      <c r="D4201" s="15" t="s">
        <v>130</v>
      </c>
      <c r="E4201" s="15">
        <v>0</v>
      </c>
      <c r="F4201" s="91" t="s">
        <v>212</v>
      </c>
      <c r="G4201" s="4"/>
      <c r="H4201" s="4"/>
      <c r="I4201" s="4"/>
    </row>
    <row r="4202" spans="1:9" ht="15">
      <c r="A4202" s="21">
        <f t="shared" si="77"/>
        <v>23</v>
      </c>
      <c r="B4202" s="14" t="s">
        <v>5566</v>
      </c>
      <c r="C4202" s="85" t="str">
        <f ca="1">IFERROR(__xludf.DUMMYFUNCTION("GOOGLETRANSLATE(B4202:B4217,""RU"",""UK"")"),"Шайба гровер 12")</f>
        <v>Шайба гровер 12</v>
      </c>
      <c r="D4202" s="15" t="s">
        <v>130</v>
      </c>
      <c r="E4202" s="15">
        <v>41</v>
      </c>
      <c r="F4202" s="91" t="s">
        <v>212</v>
      </c>
      <c r="G4202" s="4"/>
      <c r="H4202" s="4"/>
      <c r="I4202" s="4"/>
    </row>
    <row r="4203" spans="1:9" ht="15">
      <c r="A4203" s="21">
        <f t="shared" si="77"/>
        <v>24</v>
      </c>
      <c r="B4203" s="14" t="s">
        <v>5567</v>
      </c>
      <c r="C4203" s="85" t="str">
        <f ca="1">IFERROR(__xludf.DUMMYFUNCTION("GOOGLETRANSLATE(B4203:B4218,""RU"",""UK"")"),"Шайба гровер 16")</f>
        <v>Шайба гровер 16</v>
      </c>
      <c r="D4203" s="15" t="s">
        <v>130</v>
      </c>
      <c r="E4203" s="15">
        <v>50</v>
      </c>
      <c r="F4203" s="91" t="s">
        <v>212</v>
      </c>
      <c r="G4203" s="4"/>
      <c r="H4203" s="4"/>
      <c r="I4203" s="4"/>
    </row>
    <row r="4204" spans="1:9" ht="15">
      <c r="A4204" s="21">
        <f t="shared" si="77"/>
        <v>25</v>
      </c>
      <c r="B4204" s="14" t="s">
        <v>5568</v>
      </c>
      <c r="C4204" s="85" t="str">
        <f ca="1">IFERROR(__xludf.DUMMYFUNCTION("GOOGLETRANSLATE(B4204:B4219,""RU"",""UK"")"),"Шайба гровер 16оц.")</f>
        <v>Шайба гровер 16оц.</v>
      </c>
      <c r="D4204" s="15" t="s">
        <v>130</v>
      </c>
      <c r="E4204" s="15" t="s">
        <v>5569</v>
      </c>
      <c r="F4204" s="91" t="s">
        <v>1553</v>
      </c>
      <c r="G4204" s="4"/>
      <c r="H4204" s="4"/>
      <c r="I4204" s="4"/>
    </row>
    <row r="4205" spans="1:9" ht="15">
      <c r="A4205" s="21">
        <f t="shared" si="77"/>
        <v>26</v>
      </c>
      <c r="B4205" s="14" t="s">
        <v>5570</v>
      </c>
      <c r="C4205" s="85" t="str">
        <f ca="1">IFERROR(__xludf.DUMMYFUNCTION("GOOGLETRANSLATE(B4205:B4220,""RU"",""UK"")"),"Шайба гровер 18 / 20")</f>
        <v>Шайба гровер 18 / 20</v>
      </c>
      <c r="D4205" s="15" t="s">
        <v>130</v>
      </c>
      <c r="E4205" s="15" t="s">
        <v>5571</v>
      </c>
      <c r="F4205" s="91" t="s">
        <v>212</v>
      </c>
      <c r="G4205" s="4"/>
      <c r="H4205" s="4"/>
      <c r="I4205" s="4"/>
    </row>
    <row r="4206" spans="1:9" ht="15">
      <c r="A4206" s="21">
        <f t="shared" si="77"/>
        <v>27</v>
      </c>
      <c r="B4206" s="14" t="s">
        <v>5572</v>
      </c>
      <c r="C4206" s="85" t="str">
        <f ca="1">IFERROR(__xludf.DUMMYFUNCTION("GOOGLETRANSLATE(B4206:B4221,""RU"",""UK"")"),"Шайба гровер 20оц.")</f>
        <v>Шайба гровер 20оц.</v>
      </c>
      <c r="D4206" s="15" t="s">
        <v>130</v>
      </c>
      <c r="E4206" s="15">
        <v>14</v>
      </c>
      <c r="F4206" s="91" t="s">
        <v>1553</v>
      </c>
      <c r="G4206" s="4"/>
      <c r="H4206" s="4"/>
      <c r="I4206" s="4"/>
    </row>
    <row r="4207" spans="1:9" ht="15">
      <c r="A4207" s="21">
        <f t="shared" si="77"/>
        <v>28</v>
      </c>
      <c r="B4207" s="14" t="s">
        <v>5573</v>
      </c>
      <c r="C4207" s="85" t="str">
        <f ca="1">IFERROR(__xludf.DUMMYFUNCTION("GOOGLETRANSLATE(B4207:B4222,""RU"",""UK"")"),"Шайба гровер 24оц.")</f>
        <v>Шайба гровер 24оц.</v>
      </c>
      <c r="D4207" s="15" t="s">
        <v>130</v>
      </c>
      <c r="E4207" s="15" t="s">
        <v>5574</v>
      </c>
      <c r="F4207" s="91" t="s">
        <v>1553</v>
      </c>
      <c r="G4207" s="4"/>
      <c r="H4207" s="4"/>
      <c r="I4207" s="4"/>
    </row>
    <row r="4208" spans="1:9" ht="15">
      <c r="A4208" s="21">
        <f t="shared" si="77"/>
        <v>29</v>
      </c>
      <c r="B4208" s="14" t="s">
        <v>5575</v>
      </c>
      <c r="C4208" s="85" t="str">
        <f ca="1">IFERROR(__xludf.DUMMYFUNCTION("GOOGLETRANSLATE(B4208:B4223,""RU"",""UK"")"),"Шайба гровер 27")</f>
        <v>Шайба гровер 27</v>
      </c>
      <c r="D4208" s="15" t="s">
        <v>130</v>
      </c>
      <c r="E4208" s="15" t="s">
        <v>5576</v>
      </c>
      <c r="F4208" s="91" t="s">
        <v>564</v>
      </c>
      <c r="G4208" s="4"/>
      <c r="H4208" s="4"/>
      <c r="I4208" s="4"/>
    </row>
    <row r="4209" spans="1:9" ht="15">
      <c r="A4209" s="21">
        <f t="shared" si="77"/>
        <v>30</v>
      </c>
      <c r="B4209" s="14" t="s">
        <v>5577</v>
      </c>
      <c r="C4209" s="85" t="str">
        <f ca="1">IFERROR(__xludf.DUMMYFUNCTION("GOOGLETRANSLATE(B4209:B4224,""RU"",""UK"")"),"Шайба плоска 5")</f>
        <v>Шайба плоска 5</v>
      </c>
      <c r="D4209" s="15" t="s">
        <v>130</v>
      </c>
      <c r="E4209" s="15">
        <v>52</v>
      </c>
      <c r="F4209" s="91" t="s">
        <v>185</v>
      </c>
      <c r="G4209" s="4"/>
      <c r="H4209" s="4"/>
      <c r="I4209" s="4"/>
    </row>
    <row r="4210" spans="1:9" ht="15">
      <c r="A4210" s="21">
        <f t="shared" si="77"/>
        <v>31</v>
      </c>
      <c r="B4210" s="14" t="s">
        <v>5578</v>
      </c>
      <c r="C4210" s="85" t="str">
        <f ca="1">IFERROR(__xludf.DUMMYFUNCTION("GOOGLETRANSLATE(B4210:B4225,""RU"",""UK"")"),"Шайба плоска 6")</f>
        <v>Шайба плоска 6</v>
      </c>
      <c r="D4210" s="15" t="s">
        <v>130</v>
      </c>
      <c r="E4210" s="15">
        <v>1</v>
      </c>
      <c r="F4210" s="91" t="s">
        <v>185</v>
      </c>
      <c r="G4210" s="4"/>
      <c r="H4210" s="4"/>
      <c r="I4210" s="4"/>
    </row>
    <row r="4211" spans="1:9" ht="15">
      <c r="A4211" s="21">
        <f t="shared" si="77"/>
        <v>32</v>
      </c>
      <c r="B4211" s="14" t="s">
        <v>5579</v>
      </c>
      <c r="C4211" s="85" t="str">
        <f ca="1">IFERROR(__xludf.DUMMYFUNCTION("GOOGLETRANSLATE(B4211:B4226,""RU"",""UK"")"),"Шайба плоска 8")</f>
        <v>Шайба плоска 8</v>
      </c>
      <c r="D4211" s="15" t="s">
        <v>130</v>
      </c>
      <c r="E4211" s="15">
        <v>4</v>
      </c>
      <c r="F4211" s="91" t="s">
        <v>185</v>
      </c>
      <c r="G4211" s="4"/>
      <c r="H4211" s="4"/>
      <c r="I4211" s="4"/>
    </row>
    <row r="4212" spans="1:9" ht="15">
      <c r="A4212" s="21">
        <f t="shared" si="77"/>
        <v>33</v>
      </c>
      <c r="B4212" s="14" t="s">
        <v>5580</v>
      </c>
      <c r="C4212" s="85" t="str">
        <f ca="1">IFERROR(__xludf.DUMMYFUNCTION("GOOGLETRANSLATE(B4212:B4227,""RU"",""UK"")"),"Шайба плоска 10")</f>
        <v>Шайба плоска 10</v>
      </c>
      <c r="D4212" s="15" t="s">
        <v>130</v>
      </c>
      <c r="E4212" s="15">
        <v>4</v>
      </c>
      <c r="F4212" s="91" t="s">
        <v>185</v>
      </c>
      <c r="G4212" s="4"/>
      <c r="H4212" s="4"/>
      <c r="I4212" s="4"/>
    </row>
    <row r="4213" spans="1:9" ht="15">
      <c r="A4213" s="21">
        <f t="shared" si="77"/>
        <v>34</v>
      </c>
      <c r="B4213" s="14" t="s">
        <v>5581</v>
      </c>
      <c r="C4213" s="85" t="str">
        <f ca="1">IFERROR(__xludf.DUMMYFUNCTION("GOOGLETRANSLATE(B4213:B4228,""RU"",""UK"")"),"Шайба плоска 12")</f>
        <v>Шайба плоска 12</v>
      </c>
      <c r="D4213" s="15" t="s">
        <v>130</v>
      </c>
      <c r="E4213" s="15">
        <v>576</v>
      </c>
      <c r="F4213" s="91" t="s">
        <v>212</v>
      </c>
      <c r="G4213" s="4"/>
      <c r="H4213" s="4"/>
      <c r="I4213" s="4"/>
    </row>
    <row r="4214" spans="1:9" ht="15">
      <c r="A4214" s="21">
        <f t="shared" si="77"/>
        <v>35</v>
      </c>
      <c r="B4214" s="14" t="s">
        <v>5582</v>
      </c>
      <c r="C4214" s="85" t="str">
        <f ca="1">IFERROR(__xludf.DUMMYFUNCTION("GOOGLETRANSLATE(B4214:B4229,""RU"",""UK"")"),"Шайба плоска 12оц.")</f>
        <v>Шайба плоска 12оц.</v>
      </c>
      <c r="D4214" s="15" t="s">
        <v>130</v>
      </c>
      <c r="E4214" s="15">
        <v>50</v>
      </c>
      <c r="F4214" s="91" t="s">
        <v>212</v>
      </c>
      <c r="G4214" s="4"/>
      <c r="H4214" s="4"/>
      <c r="I4214" s="4"/>
    </row>
    <row r="4215" spans="1:9" ht="15">
      <c r="A4215" s="21">
        <f t="shared" si="77"/>
        <v>36</v>
      </c>
      <c r="B4215" s="14" t="s">
        <v>5583</v>
      </c>
      <c r="C4215" s="85" t="str">
        <f ca="1">IFERROR(__xludf.DUMMYFUNCTION("GOOGLETRANSLATE(B4215:B4230,""RU"",""UK"")"),"Шайба плоска бронзова 12")</f>
        <v>Шайба плоска бронзова 12</v>
      </c>
      <c r="D4215" s="15" t="s">
        <v>130</v>
      </c>
      <c r="E4215" s="15" t="s">
        <v>5584</v>
      </c>
      <c r="F4215" s="91" t="s">
        <v>140</v>
      </c>
      <c r="G4215" s="4"/>
      <c r="H4215" s="4"/>
      <c r="I4215" s="4"/>
    </row>
    <row r="4216" spans="1:9" ht="15">
      <c r="A4216" s="21">
        <f t="shared" si="77"/>
        <v>37</v>
      </c>
      <c r="B4216" s="14" t="s">
        <v>5585</v>
      </c>
      <c r="C4216" s="85" t="str">
        <f ca="1">IFERROR(__xludf.DUMMYFUNCTION("GOOGLETRANSLATE(B4216:B4231,""RU"",""UK"")"),"Шайба плоска 14")</f>
        <v>Шайба плоска 14</v>
      </c>
      <c r="D4216" s="15" t="s">
        <v>130</v>
      </c>
      <c r="E4216" s="15">
        <v>1</v>
      </c>
      <c r="F4216" s="91" t="s">
        <v>212</v>
      </c>
      <c r="G4216" s="4"/>
      <c r="H4216" s="4"/>
      <c r="I4216" s="4"/>
    </row>
    <row r="4217" spans="1:9" ht="15">
      <c r="A4217" s="21">
        <f t="shared" si="77"/>
        <v>38</v>
      </c>
      <c r="B4217" s="14" t="s">
        <v>5586</v>
      </c>
      <c r="C4217" s="85" t="str">
        <f ca="1">IFERROR(__xludf.DUMMYFUNCTION("GOOGLETRANSLATE(B4217:B4232,""RU"",""UK"")"),"Шайба плоска 16")</f>
        <v>Шайба плоска 16</v>
      </c>
      <c r="D4217" s="15" t="s">
        <v>130</v>
      </c>
      <c r="E4217" s="15">
        <v>0</v>
      </c>
      <c r="F4217" s="91" t="s">
        <v>495</v>
      </c>
      <c r="G4217" s="4"/>
      <c r="H4217" s="4"/>
      <c r="I4217" s="4"/>
    </row>
    <row r="4218" spans="1:9" ht="15">
      <c r="A4218" s="21">
        <f t="shared" si="77"/>
        <v>39</v>
      </c>
      <c r="B4218" s="14" t="s">
        <v>5587</v>
      </c>
      <c r="C4218" s="85" t="str">
        <f ca="1">IFERROR(__xludf.DUMMYFUNCTION("GOOGLETRANSLATE(B4218:B4233,""RU"",""UK"")"),"Шайба плоска 18 / 20")</f>
        <v>Шайба плоска 18 / 20</v>
      </c>
      <c r="D4218" s="15" t="s">
        <v>130</v>
      </c>
      <c r="E4218" s="15" t="s">
        <v>5588</v>
      </c>
      <c r="F4218" s="91" t="s">
        <v>495</v>
      </c>
      <c r="G4218" s="4"/>
      <c r="H4218" s="4"/>
      <c r="I4218" s="4"/>
    </row>
    <row r="4219" spans="1:9" ht="15">
      <c r="A4219" s="21">
        <f t="shared" si="77"/>
        <v>40</v>
      </c>
      <c r="B4219" s="14" t="s">
        <v>5589</v>
      </c>
      <c r="C4219" s="85" t="str">
        <f ca="1">IFERROR(__xludf.DUMMYFUNCTION("GOOGLETRANSLATE(B4219:B4234,""RU"",""UK"")"),"Шайба плоска 22 / 24")</f>
        <v>Шайба плоска 22 / 24</v>
      </c>
      <c r="D4219" s="15" t="s">
        <v>130</v>
      </c>
      <c r="E4219" s="15" t="s">
        <v>5590</v>
      </c>
      <c r="F4219" s="91" t="s">
        <v>495</v>
      </c>
      <c r="G4219" s="4"/>
      <c r="H4219" s="4"/>
      <c r="I4219" s="4"/>
    </row>
    <row r="4220" spans="1:9" ht="15">
      <c r="A4220" s="21">
        <f t="shared" si="77"/>
        <v>41</v>
      </c>
      <c r="B4220" s="14" t="s">
        <v>5591</v>
      </c>
      <c r="C4220" s="85" t="str">
        <f ca="1">IFERROR(__xludf.DUMMYFUNCTION("GOOGLETRANSLATE(B4220:B4235,""RU"",""UK"")"),"Шайба плоска 30")</f>
        <v>Шайба плоска 30</v>
      </c>
      <c r="D4220" s="15" t="s">
        <v>130</v>
      </c>
      <c r="E4220" s="15" t="s">
        <v>5592</v>
      </c>
      <c r="F4220" s="91" t="s">
        <v>495</v>
      </c>
      <c r="G4220" s="4"/>
      <c r="H4220" s="4"/>
      <c r="I4220" s="4"/>
    </row>
    <row r="4221" spans="1:9" ht="15">
      <c r="A4221" s="21">
        <f t="shared" si="77"/>
        <v>42</v>
      </c>
      <c r="B4221" s="14" t="s">
        <v>5593</v>
      </c>
      <c r="C4221" s="85" t="str">
        <f ca="1">IFERROR(__xludf.DUMMYFUNCTION("GOOGLETRANSLATE(B4221:B4236,""RU"",""UK"")"),"Шайба плоска 30оц / 36оц")</f>
        <v>Шайба плоска 30оц / 36оц</v>
      </c>
      <c r="D4221" s="15" t="s">
        <v>130</v>
      </c>
      <c r="E4221" s="15" t="s">
        <v>5594</v>
      </c>
      <c r="F4221" s="91" t="s">
        <v>212</v>
      </c>
      <c r="G4221" s="4"/>
      <c r="H4221" s="4"/>
      <c r="I4221" s="4"/>
    </row>
    <row r="4222" spans="1:9" ht="15">
      <c r="A4222" s="21">
        <f t="shared" si="77"/>
        <v>43</v>
      </c>
      <c r="B4222" s="14" t="s">
        <v>5595</v>
      </c>
      <c r="C4222" s="85" t="str">
        <f ca="1">IFERROR(__xludf.DUMMYFUNCTION("GOOGLETRANSLATE(B4222:B4237,""RU"",""UK"")"),"Шайба стопорна багатолапчаста 12, 16, 24, 30, 42мм")</f>
        <v>Шайба стопорна багатолапчаста 12, 16, 24, 30, 42мм</v>
      </c>
      <c r="D4222" s="15" t="s">
        <v>130</v>
      </c>
      <c r="E4222" s="15">
        <v>13</v>
      </c>
      <c r="F4222" s="91" t="s">
        <v>185</v>
      </c>
      <c r="G4222" s="4"/>
      <c r="H4222" s="4"/>
      <c r="I4222" s="4"/>
    </row>
    <row r="4223" spans="1:9" ht="15">
      <c r="A4223" s="21">
        <f t="shared" si="77"/>
        <v>44</v>
      </c>
      <c r="B4223" s="14" t="s">
        <v>5596</v>
      </c>
      <c r="C4223" s="85" t="str">
        <f ca="1">IFERROR(__xludf.DUMMYFUNCTION("GOOGLETRANSLATE(B4223:B4238,""RU"",""UK"")"),"Болт 5х35/6х25")</f>
        <v>Болт 5х35/6х25</v>
      </c>
      <c r="D4223" s="15" t="s">
        <v>130</v>
      </c>
      <c r="E4223" s="15" t="s">
        <v>5597</v>
      </c>
      <c r="F4223" s="91" t="s">
        <v>338</v>
      </c>
      <c r="G4223" s="4"/>
      <c r="H4223" s="4"/>
      <c r="I4223" s="4"/>
    </row>
    <row r="4224" spans="1:9" ht="15">
      <c r="A4224" s="21">
        <f t="shared" si="77"/>
        <v>45</v>
      </c>
      <c r="B4224" s="14" t="s">
        <v>5598</v>
      </c>
      <c r="C4224" s="85" t="str">
        <f ca="1">IFERROR(__xludf.DUMMYFUNCTION("GOOGLETRANSLATE(B4224:B4239,""RU"",""UK"")"),"Болт 6х35 (20)")</f>
        <v>Болт 6х35 (20)</v>
      </c>
      <c r="D4224" s="15" t="s">
        <v>130</v>
      </c>
      <c r="E4224" s="15" t="s">
        <v>5592</v>
      </c>
      <c r="F4224" s="91" t="s">
        <v>338</v>
      </c>
      <c r="G4224" s="4"/>
      <c r="H4224" s="4"/>
      <c r="I4224" s="4"/>
    </row>
    <row r="4225" spans="1:9" ht="15">
      <c r="A4225" s="21">
        <f t="shared" si="77"/>
        <v>46</v>
      </c>
      <c r="B4225" s="14" t="s">
        <v>5599</v>
      </c>
      <c r="C4225" s="85" t="str">
        <f ca="1">IFERROR(__xludf.DUMMYFUNCTION("GOOGLETRANSLATE(B4225:B4240,""RU"",""UK"")"),"Болт 6х35 (20) оцін. / 6х40оц")</f>
        <v>Болт 6х35 (20) оцін. / 6х40оц</v>
      </c>
      <c r="D4225" s="15" t="s">
        <v>130</v>
      </c>
      <c r="E4225" s="15" t="s">
        <v>5600</v>
      </c>
      <c r="F4225" s="91" t="s">
        <v>212</v>
      </c>
      <c r="G4225" s="4"/>
      <c r="H4225" s="4"/>
      <c r="I4225" s="4"/>
    </row>
    <row r="4226" spans="1:9" ht="15">
      <c r="A4226" s="21">
        <f t="shared" si="77"/>
        <v>47</v>
      </c>
      <c r="B4226" s="14" t="s">
        <v>5601</v>
      </c>
      <c r="C4226" s="85" t="str">
        <f ca="1">IFERROR(__xludf.DUMMYFUNCTION("GOOGLETRANSLATE(B4226:B4241,""RU"",""UK"")"),"Болт 6х45 (20)")</f>
        <v>Болт 6х45 (20)</v>
      </c>
      <c r="D4226" s="15" t="s">
        <v>130</v>
      </c>
      <c r="E4226" s="15" t="s">
        <v>5602</v>
      </c>
      <c r="F4226" s="91" t="s">
        <v>338</v>
      </c>
      <c r="G4226" s="4"/>
      <c r="H4226" s="4"/>
      <c r="I4226" s="4"/>
    </row>
    <row r="4227" spans="1:9" ht="15">
      <c r="A4227" s="21">
        <f t="shared" si="77"/>
        <v>48</v>
      </c>
      <c r="B4227" s="14" t="s">
        <v>5603</v>
      </c>
      <c r="C4227" s="85" t="str">
        <f ca="1">IFERROR(__xludf.DUMMYFUNCTION("GOOGLETRANSLATE(B4227:B4242,""RU"",""UK"")"),"Болт 8х16/8х45")</f>
        <v>Болт 8х16/8х45</v>
      </c>
      <c r="D4227" s="15" t="s">
        <v>130</v>
      </c>
      <c r="E4227" s="15" t="s">
        <v>5604</v>
      </c>
      <c r="F4227" s="91" t="s">
        <v>338</v>
      </c>
      <c r="G4227" s="4"/>
      <c r="H4227" s="4"/>
      <c r="I4227" s="4"/>
    </row>
    <row r="4228" spans="1:9" ht="15">
      <c r="A4228" s="21">
        <f t="shared" si="77"/>
        <v>49</v>
      </c>
      <c r="B4228" s="14" t="s">
        <v>5605</v>
      </c>
      <c r="C4228" s="85" t="str">
        <f ca="1">IFERROR(__xludf.DUMMYFUNCTION("GOOGLETRANSLATE(B4228:B4243,""RU"",""UK"")"),"Болт 8х16 оцін. (5,8)")</f>
        <v>Болт 8х16 оцін. (5,8)</v>
      </c>
      <c r="D4228" s="15" t="s">
        <v>130</v>
      </c>
      <c r="E4228" s="15">
        <v>16</v>
      </c>
      <c r="F4228" s="91" t="s">
        <v>212</v>
      </c>
      <c r="G4228" s="4"/>
      <c r="H4228" s="4"/>
      <c r="I4228" s="4"/>
    </row>
    <row r="4229" spans="1:9" ht="15">
      <c r="A4229" s="21">
        <f t="shared" si="77"/>
        <v>50</v>
      </c>
      <c r="B4229" s="14" t="s">
        <v>5606</v>
      </c>
      <c r="C4229" s="85" t="str">
        <f ca="1">IFERROR(__xludf.DUMMYFUNCTION("GOOGLETRANSLATE(B4229:B4244,""RU"",""UK"")"),"Болт 8х50 (25) оцін.")</f>
        <v>Болт 8х50 (25) оцін.</v>
      </c>
      <c r="D4229" s="15" t="s">
        <v>130</v>
      </c>
      <c r="E4229" s="15">
        <v>16</v>
      </c>
      <c r="F4229" s="91" t="s">
        <v>212</v>
      </c>
      <c r="G4229" s="4"/>
      <c r="H4229" s="4"/>
      <c r="I4229" s="4"/>
    </row>
    <row r="4230" spans="1:9" ht="15">
      <c r="A4230" s="21">
        <f t="shared" si="77"/>
        <v>51</v>
      </c>
      <c r="B4230" s="14" t="s">
        <v>5607</v>
      </c>
      <c r="C4230" s="85" t="str">
        <f ca="1">IFERROR(__xludf.DUMMYFUNCTION("GOOGLETRANSLATE(B4230:B4245,""RU"",""UK"")"),"Болт 8х60 (30)")</f>
        <v>Болт 8х60 (30)</v>
      </c>
      <c r="D4230" s="15" t="s">
        <v>130</v>
      </c>
      <c r="E4230" s="15">
        <v>34</v>
      </c>
      <c r="F4230" s="91" t="s">
        <v>338</v>
      </c>
      <c r="G4230" s="4"/>
      <c r="H4230" s="4"/>
      <c r="I4230" s="4"/>
    </row>
    <row r="4231" spans="1:9" ht="15">
      <c r="A4231" s="21">
        <f t="shared" si="77"/>
        <v>52</v>
      </c>
      <c r="B4231" s="14" t="s">
        <v>5608</v>
      </c>
      <c r="C4231" s="85" t="str">
        <f ca="1">IFERROR(__xludf.DUMMYFUNCTION("GOOGLETRANSLATE(B4231:B4246,""RU"",""UK"")"),"Болт 8х120 (20)")</f>
        <v>Болт 8х120 (20)</v>
      </c>
      <c r="D4231" s="15" t="s">
        <v>130</v>
      </c>
      <c r="E4231" s="15" t="s">
        <v>5609</v>
      </c>
      <c r="F4231" s="91" t="s">
        <v>338</v>
      </c>
      <c r="G4231" s="4"/>
      <c r="H4231" s="4"/>
      <c r="I4231" s="4"/>
    </row>
    <row r="4232" spans="1:9" ht="15">
      <c r="A4232" s="21">
        <f t="shared" si="77"/>
        <v>53</v>
      </c>
      <c r="B4232" s="14" t="s">
        <v>5610</v>
      </c>
      <c r="C4232" s="85" t="str">
        <f ca="1">IFERROR(__xludf.DUMMYFUNCTION("GOOGLETRANSLATE(B4232:B4247,""RU"",""UK"")"),"Болт 10х20")</f>
        <v>Болт 10х20</v>
      </c>
      <c r="D4232" s="15" t="s">
        <v>130</v>
      </c>
      <c r="E4232" s="15">
        <v>217</v>
      </c>
      <c r="F4232" s="91" t="s">
        <v>338</v>
      </c>
      <c r="G4232" s="4"/>
      <c r="H4232" s="4"/>
      <c r="I4232" s="4"/>
    </row>
    <row r="4233" spans="1:9" ht="15">
      <c r="A4233" s="21">
        <f t="shared" si="77"/>
        <v>54</v>
      </c>
      <c r="B4233" s="14" t="s">
        <v>5611</v>
      </c>
      <c r="C4233" s="85" t="str">
        <f ca="1">IFERROR(__xludf.DUMMYFUNCTION("GOOGLETRANSLATE(B4233:B4248,""RU"",""UK"")"),"Болт 10х20оц (5,8)")</f>
        <v>Болт 10х20оц (5,8)</v>
      </c>
      <c r="D4233" s="15" t="s">
        <v>130</v>
      </c>
      <c r="E4233" s="15" t="s">
        <v>5120</v>
      </c>
      <c r="F4233" s="91" t="s">
        <v>212</v>
      </c>
      <c r="G4233" s="4"/>
      <c r="H4233" s="4"/>
      <c r="I4233" s="4"/>
    </row>
    <row r="4234" spans="1:9" ht="15">
      <c r="A4234" s="21">
        <f t="shared" si="77"/>
        <v>55</v>
      </c>
      <c r="B4234" s="14" t="s">
        <v>5612</v>
      </c>
      <c r="C4234" s="85" t="str">
        <f ca="1">IFERROR(__xludf.DUMMYFUNCTION("GOOGLETRANSLATE(B4234:B4249,""RU"",""UK"")"),"Болт 10х25")</f>
        <v>Болт 10х25</v>
      </c>
      <c r="D4234" s="15" t="s">
        <v>130</v>
      </c>
      <c r="E4234" s="15">
        <v>104</v>
      </c>
      <c r="F4234" s="91" t="s">
        <v>338</v>
      </c>
      <c r="G4234" s="4"/>
      <c r="H4234" s="4"/>
      <c r="I4234" s="4"/>
    </row>
    <row r="4235" spans="1:9" ht="15">
      <c r="A4235" s="21">
        <f t="shared" si="77"/>
        <v>56</v>
      </c>
      <c r="B4235" s="14" t="s">
        <v>5613</v>
      </c>
      <c r="C4235" s="85" t="str">
        <f ca="1">IFERROR(__xludf.DUMMYFUNCTION("GOOGLETRANSLATE(B4235:B4250,""RU"",""UK"")"),"Болт 10х30")</f>
        <v>Болт 10х30</v>
      </c>
      <c r="D4235" s="15" t="s">
        <v>130</v>
      </c>
      <c r="E4235" s="15">
        <v>319</v>
      </c>
      <c r="F4235" s="91" t="s">
        <v>338</v>
      </c>
      <c r="G4235" s="4"/>
      <c r="H4235" s="4"/>
      <c r="I4235" s="4"/>
    </row>
    <row r="4236" spans="1:9" ht="15">
      <c r="A4236" s="21">
        <f t="shared" si="77"/>
        <v>57</v>
      </c>
      <c r="B4236" s="14" t="s">
        <v>5614</v>
      </c>
      <c r="C4236" s="85" t="str">
        <f ca="1">IFERROR(__xludf.DUMMYFUNCTION("GOOGLETRANSLATE(B4236:B4251,""RU"",""UK"")"),"Болт 10х30 оцін.")</f>
        <v>Болт 10х30 оцін.</v>
      </c>
      <c r="D4236" s="15" t="s">
        <v>130</v>
      </c>
      <c r="E4236" s="15">
        <v>170</v>
      </c>
      <c r="F4236" s="91" t="s">
        <v>212</v>
      </c>
      <c r="G4236" s="4"/>
      <c r="H4236" s="4"/>
      <c r="I4236" s="4"/>
    </row>
    <row r="4237" spans="1:9" ht="15">
      <c r="A4237" s="21">
        <f t="shared" si="77"/>
        <v>58</v>
      </c>
      <c r="B4237" s="14" t="s">
        <v>5615</v>
      </c>
      <c r="C4237" s="85" t="str">
        <f ca="1">IFERROR(__xludf.DUMMYFUNCTION("GOOGLETRANSLATE(B4237:B4252,""RU"",""UK"")"),"Болт 10х35")</f>
        <v>Болт 10х35</v>
      </c>
      <c r="D4237" s="15" t="s">
        <v>130</v>
      </c>
      <c r="E4237" s="15">
        <v>174</v>
      </c>
      <c r="F4237" s="91" t="s">
        <v>338</v>
      </c>
      <c r="G4237" s="4"/>
      <c r="H4237" s="4"/>
      <c r="I4237" s="4"/>
    </row>
    <row r="4238" spans="1:9" ht="15">
      <c r="A4238" s="21">
        <f t="shared" si="77"/>
        <v>59</v>
      </c>
      <c r="B4238" s="14" t="s">
        <v>5616</v>
      </c>
      <c r="C4238" s="85" t="str">
        <f ca="1">IFERROR(__xludf.DUMMYFUNCTION("GOOGLETRANSLATE(B4238:B4253,""RU"",""UK"")"),"Болт 10х40оц.")</f>
        <v>Болт 10х40оц.</v>
      </c>
      <c r="D4238" s="15" t="s">
        <v>130</v>
      </c>
      <c r="E4238" s="15" t="s">
        <v>5617</v>
      </c>
      <c r="F4238" s="91" t="s">
        <v>564</v>
      </c>
      <c r="G4238" s="4"/>
      <c r="H4238" s="4"/>
      <c r="I4238" s="4"/>
    </row>
    <row r="4239" spans="1:9" ht="15">
      <c r="A4239" s="21">
        <f t="shared" si="77"/>
        <v>60</v>
      </c>
      <c r="B4239" s="14" t="s">
        <v>5618</v>
      </c>
      <c r="C4239" s="85" t="str">
        <f ca="1">IFERROR(__xludf.DUMMYFUNCTION("GOOGLETRANSLATE(B4239:B4254,""RU"",""UK"")"),"Болт 10х35 нарійний (квадрат)")</f>
        <v>Болт 10х35 нарійний (квадрат)</v>
      </c>
      <c r="D4239" s="15" t="s">
        <v>130</v>
      </c>
      <c r="E4239" s="15">
        <v>15</v>
      </c>
      <c r="F4239" s="91" t="s">
        <v>338</v>
      </c>
      <c r="G4239" s="4"/>
      <c r="H4239" s="4"/>
      <c r="I4239" s="4"/>
    </row>
    <row r="4240" spans="1:9" ht="15">
      <c r="A4240" s="21">
        <f t="shared" si="77"/>
        <v>61</v>
      </c>
      <c r="B4240" s="14" t="s">
        <v>5619</v>
      </c>
      <c r="C4240" s="85" t="str">
        <f ca="1">IFERROR(__xludf.DUMMYFUNCTION("GOOGLETRANSLATE(B4240:B4255,""RU"",""UK"")"),"Болт 10х40 (25)")</f>
        <v>Болт 10х40 (25)</v>
      </c>
      <c r="D4240" s="15" t="s">
        <v>130</v>
      </c>
      <c r="E4240" s="15">
        <v>130</v>
      </c>
      <c r="F4240" s="91" t="s">
        <v>338</v>
      </c>
      <c r="G4240" s="4"/>
      <c r="H4240" s="4"/>
      <c r="I4240" s="4"/>
    </row>
    <row r="4241" spans="1:9" ht="15">
      <c r="A4241" s="21">
        <f t="shared" si="77"/>
        <v>62</v>
      </c>
      <c r="B4241" s="16" t="s">
        <v>5620</v>
      </c>
      <c r="C4241" s="85" t="str">
        <f ca="1">IFERROR(__xludf.DUMMYFUNCTION("GOOGLETRANSLATE(B4241:B4256,""RU"",""UK"")"),"Болт 10х45 (30)")</f>
        <v>Болт 10х45 (30)</v>
      </c>
      <c r="D4241" s="15" t="s">
        <v>130</v>
      </c>
      <c r="E4241" s="15">
        <v>364</v>
      </c>
      <c r="F4241" s="91" t="s">
        <v>564</v>
      </c>
      <c r="G4241" s="4"/>
      <c r="H4241" s="4"/>
      <c r="I4241" s="4"/>
    </row>
    <row r="4242" spans="1:9" ht="15">
      <c r="A4242" s="21">
        <f t="shared" si="77"/>
        <v>63</v>
      </c>
      <c r="B4242" s="14" t="s">
        <v>5621</v>
      </c>
      <c r="C4242" s="85" t="str">
        <f ca="1">IFERROR(__xludf.DUMMYFUNCTION("GOOGLETRANSLATE(B4242:B4257,""RU"",""UK"")"),"Болт 10х50(25)/10х55(45)")</f>
        <v>Болт 10х50(25)/10х55(45)</v>
      </c>
      <c r="D4242" s="15" t="s">
        <v>130</v>
      </c>
      <c r="E4242" s="15" t="s">
        <v>5622</v>
      </c>
      <c r="F4242" s="91" t="s">
        <v>338</v>
      </c>
      <c r="G4242" s="4"/>
      <c r="H4242" s="4"/>
      <c r="I4242" s="4"/>
    </row>
    <row r="4243" spans="1:9" ht="15">
      <c r="A4243" s="21">
        <f t="shared" si="77"/>
        <v>64</v>
      </c>
      <c r="B4243" s="14" t="s">
        <v>5623</v>
      </c>
      <c r="C4243" s="85" t="str">
        <f ca="1">IFERROR(__xludf.DUMMYFUNCTION("GOOGLETRANSLATE(B4243:B4258,""RU"",""UK"")"),"Болт 10х45оц. / 10х50 (30) оцін (5,8) / 10х60 (30) оцін.")</f>
        <v>Болт 10х45оц. / 10х50 (30) оцін (5,8) / 10х60 (30) оцін.</v>
      </c>
      <c r="D4243" s="15" t="s">
        <v>130</v>
      </c>
      <c r="E4243" s="15" t="s">
        <v>5624</v>
      </c>
      <c r="F4243" s="91" t="s">
        <v>564</v>
      </c>
      <c r="G4243" s="4"/>
      <c r="H4243" s="4"/>
      <c r="I4243" s="4"/>
    </row>
    <row r="4244" spans="1:9" ht="15">
      <c r="A4244" s="21">
        <f t="shared" si="77"/>
        <v>65</v>
      </c>
      <c r="B4244" s="14" t="s">
        <v>5625</v>
      </c>
      <c r="C4244" s="85" t="str">
        <f ca="1">IFERROR(__xludf.DUMMYFUNCTION("GOOGLETRANSLATE(B4244:B4259,""RU"",""UK"")"),"Болт 10х60(30)/10х70(35)")</f>
        <v>Болт 10х60(30)/10х70(35)</v>
      </c>
      <c r="D4244" s="15" t="s">
        <v>130</v>
      </c>
      <c r="E4244" s="15" t="s">
        <v>5626</v>
      </c>
      <c r="F4244" s="91" t="s">
        <v>338</v>
      </c>
      <c r="G4244" s="4"/>
      <c r="H4244" s="4"/>
      <c r="I4244" s="4"/>
    </row>
    <row r="4245" spans="1:9" ht="15">
      <c r="A4245" s="21">
        <f t="shared" si="77"/>
        <v>66</v>
      </c>
      <c r="B4245" s="14" t="s">
        <v>5627</v>
      </c>
      <c r="C4245" s="85" t="str">
        <f ca="1">IFERROR(__xludf.DUMMYFUNCTION("GOOGLETRANSLATE(B4245:B4260,""RU"",""UK"")"),"Болт 10х80 (30) / 10х90 (30)")</f>
        <v>Болт 10х80 (30) / 10х90 (30)</v>
      </c>
      <c r="D4245" s="15" t="s">
        <v>130</v>
      </c>
      <c r="E4245" s="15" t="s">
        <v>5628</v>
      </c>
      <c r="F4245" s="91" t="s">
        <v>338</v>
      </c>
      <c r="G4245" s="4"/>
      <c r="H4245" s="4"/>
      <c r="I4245" s="4"/>
    </row>
    <row r="4246" spans="1:9" ht="15">
      <c r="A4246" s="21">
        <f t="shared" ref="A4246:A4309" si="78">A4245+1</f>
        <v>67</v>
      </c>
      <c r="B4246" s="14" t="s">
        <v>5629</v>
      </c>
      <c r="C4246" s="85" t="str">
        <f ca="1">IFERROR(__xludf.DUMMYFUNCTION("GOOGLETRANSLATE(B4246:B4261,""RU"",""UK"")"),"Болт 10х80(30)оц")</f>
        <v>Болт 10х80(30)оц</v>
      </c>
      <c r="D4246" s="15" t="s">
        <v>130</v>
      </c>
      <c r="E4246" s="15" t="s">
        <v>5287</v>
      </c>
      <c r="F4246" s="91" t="s">
        <v>564</v>
      </c>
      <c r="G4246" s="4"/>
      <c r="H4246" s="4"/>
      <c r="I4246" s="4"/>
    </row>
    <row r="4247" spans="1:9" ht="15">
      <c r="A4247" s="21">
        <f t="shared" si="78"/>
        <v>68</v>
      </c>
      <c r="B4247" s="14" t="s">
        <v>5630</v>
      </c>
      <c r="C4247" s="85" t="str">
        <f ca="1">IFERROR(__xludf.DUMMYFUNCTION("GOOGLETRANSLATE(B4247:B4262,""RU"",""UK"")"),"Болт 10х100 (30)")</f>
        <v>Болт 10х100 (30)</v>
      </c>
      <c r="D4247" s="15" t="s">
        <v>130</v>
      </c>
      <c r="E4247" s="15">
        <v>17</v>
      </c>
      <c r="F4247" s="91" t="s">
        <v>338</v>
      </c>
      <c r="G4247" s="4"/>
      <c r="H4247" s="4"/>
      <c r="I4247" s="4"/>
    </row>
    <row r="4248" spans="1:9" ht="15">
      <c r="A4248" s="21">
        <f t="shared" si="78"/>
        <v>69</v>
      </c>
      <c r="B4248" s="14" t="s">
        <v>5631</v>
      </c>
      <c r="C4248" s="85" t="str">
        <f ca="1">IFERROR(__xludf.DUMMYFUNCTION("GOOGLETRANSLATE(B4248:B4263,""RU"",""UK"")"),"Болт 12х25оц.")</f>
        <v>Болт 12х25оц.</v>
      </c>
      <c r="D4248" s="15" t="s">
        <v>130</v>
      </c>
      <c r="E4248" s="15" t="s">
        <v>5632</v>
      </c>
      <c r="F4248" s="91" t="s">
        <v>564</v>
      </c>
      <c r="G4248" s="4"/>
      <c r="H4248" s="4"/>
      <c r="I4248" s="4"/>
    </row>
    <row r="4249" spans="1:9" ht="15">
      <c r="A4249" s="21">
        <f t="shared" si="78"/>
        <v>70</v>
      </c>
      <c r="B4249" s="14" t="s">
        <v>5633</v>
      </c>
      <c r="C4249" s="85" t="str">
        <f ca="1">IFERROR(__xludf.DUMMYFUNCTION("GOOGLETRANSLATE(B4249:B4264,""RU"",""UK"")"),"Болт 12х25")</f>
        <v>Болт 12х25</v>
      </c>
      <c r="D4249" s="15" t="s">
        <v>130</v>
      </c>
      <c r="E4249" s="15">
        <v>142</v>
      </c>
      <c r="F4249" s="91" t="s">
        <v>338</v>
      </c>
      <c r="G4249" s="4"/>
      <c r="H4249" s="4"/>
      <c r="I4249" s="4"/>
    </row>
    <row r="4250" spans="1:9" ht="15">
      <c r="A4250" s="21">
        <f t="shared" si="78"/>
        <v>71</v>
      </c>
      <c r="B4250" s="14" t="s">
        <v>5634</v>
      </c>
      <c r="C4250" s="85" t="str">
        <f ca="1">IFERROR(__xludf.DUMMYFUNCTION("GOOGLETRANSLATE(B4250:B4265,""RU"",""UK"")"),"Болт 12х30")</f>
        <v>Болт 12х30</v>
      </c>
      <c r="D4250" s="15" t="s">
        <v>130</v>
      </c>
      <c r="E4250" s="15">
        <v>26</v>
      </c>
      <c r="F4250" s="91" t="s">
        <v>338</v>
      </c>
      <c r="G4250" s="4"/>
      <c r="H4250" s="4"/>
      <c r="I4250" s="4"/>
    </row>
    <row r="4251" spans="1:9" ht="15">
      <c r="A4251" s="21">
        <f t="shared" si="78"/>
        <v>72</v>
      </c>
      <c r="B4251" s="14" t="s">
        <v>5635</v>
      </c>
      <c r="C4251" s="85" t="str">
        <f ca="1">IFERROR(__xludf.DUMMYFUNCTION("GOOGLETRANSLATE(B4251:B4266,""RU"",""UK"")"),"Болт 12х30 оц (т5,8)")</f>
        <v>Болт 12х30 оц (т5,8)</v>
      </c>
      <c r="D4251" s="15" t="s">
        <v>130</v>
      </c>
      <c r="E4251" s="15">
        <v>48</v>
      </c>
      <c r="F4251" s="91" t="s">
        <v>564</v>
      </c>
      <c r="G4251" s="4"/>
      <c r="H4251" s="4"/>
      <c r="I4251" s="4"/>
    </row>
    <row r="4252" spans="1:9" ht="15">
      <c r="A4252" s="21">
        <f t="shared" si="78"/>
        <v>73</v>
      </c>
      <c r="B4252" s="14" t="s">
        <v>5636</v>
      </c>
      <c r="C4252" s="85" t="str">
        <f ca="1">IFERROR(__xludf.DUMMYFUNCTION("GOOGLETRANSLATE(B4252:B4267,""RU"",""UK"")"),"Болт 12х35")</f>
        <v>Болт 12х35</v>
      </c>
      <c r="D4252" s="15" t="s">
        <v>130</v>
      </c>
      <c r="E4252" s="15">
        <v>333</v>
      </c>
      <c r="F4252" s="91" t="s">
        <v>338</v>
      </c>
      <c r="G4252" s="4"/>
      <c r="H4252" s="4"/>
      <c r="I4252" s="4"/>
    </row>
    <row r="4253" spans="1:9" ht="15">
      <c r="A4253" s="21">
        <f t="shared" si="78"/>
        <v>74</v>
      </c>
      <c r="B4253" s="14" t="s">
        <v>5637</v>
      </c>
      <c r="C4253" s="85" t="str">
        <f ca="1">IFERROR(__xludf.DUMMYFUNCTION("GOOGLETRANSLATE(B4253:B4268,""RU"",""UK"")"),"Болт 12х40")</f>
        <v>Болт 12х40</v>
      </c>
      <c r="D4253" s="15" t="s">
        <v>130</v>
      </c>
      <c r="E4253" s="15">
        <v>282</v>
      </c>
      <c r="F4253" s="91" t="s">
        <v>338</v>
      </c>
      <c r="G4253" s="4"/>
      <c r="H4253" s="4"/>
      <c r="I4253" s="4"/>
    </row>
    <row r="4254" spans="1:9" ht="15">
      <c r="A4254" s="21">
        <f t="shared" si="78"/>
        <v>75</v>
      </c>
      <c r="B4254" s="14" t="s">
        <v>5638</v>
      </c>
      <c r="C4254" s="85" t="str">
        <f ca="1">IFERROR(__xludf.DUMMYFUNCTION("GOOGLETRANSLATE(B4254:B4269,""RU"",""UK"")"),"Болт 12х45/12х45 (30)")</f>
        <v>Болт 12х45/12х45 (30)</v>
      </c>
      <c r="D4254" s="15" t="s">
        <v>130</v>
      </c>
      <c r="E4254" s="15" t="s">
        <v>5639</v>
      </c>
      <c r="F4254" s="91" t="s">
        <v>338</v>
      </c>
      <c r="G4254" s="4"/>
      <c r="H4254" s="4"/>
      <c r="I4254" s="4"/>
    </row>
    <row r="4255" spans="1:9" ht="15">
      <c r="A4255" s="21">
        <f t="shared" si="78"/>
        <v>76</v>
      </c>
      <c r="B4255" s="14" t="s">
        <v>5640</v>
      </c>
      <c r="C4255" s="85" t="str">
        <f ca="1">IFERROR(__xludf.DUMMYFUNCTION("GOOGLETRANSLATE(B4255:B4270,""RU"",""UK"")"),"Болт 12х40оц (т5,8) / 12х45 (25) оцін. (Т5,8)")</f>
        <v>Болт 12х40оц (т5,8) / 12х45 (25) оцін. (Т5,8)</v>
      </c>
      <c r="D4255" s="15" t="s">
        <v>130</v>
      </c>
      <c r="E4255" s="15" t="s">
        <v>5641</v>
      </c>
      <c r="F4255" s="91" t="s">
        <v>564</v>
      </c>
      <c r="G4255" s="4"/>
      <c r="H4255" s="4"/>
      <c r="I4255" s="4"/>
    </row>
    <row r="4256" spans="1:9" ht="15">
      <c r="A4256" s="21">
        <f t="shared" si="78"/>
        <v>77</v>
      </c>
      <c r="B4256" s="14" t="s">
        <v>5642</v>
      </c>
      <c r="C4256" s="85" t="str">
        <f ca="1">IFERROR(__xludf.DUMMYFUNCTION("GOOGLETRANSLATE(B4256:B4271,""RU"",""UK"")"),"Болт 12х50(30)/12х50 з гайкою")</f>
        <v>Болт 12х50(30)/12х50 з гайкою</v>
      </c>
      <c r="D4256" s="15" t="s">
        <v>130</v>
      </c>
      <c r="E4256" s="15" t="s">
        <v>5643</v>
      </c>
      <c r="F4256" s="91" t="s">
        <v>338</v>
      </c>
      <c r="G4256" s="4"/>
      <c r="H4256" s="4"/>
      <c r="I4256" s="4"/>
    </row>
    <row r="4257" spans="1:9" ht="15">
      <c r="A4257" s="21">
        <f t="shared" si="78"/>
        <v>78</v>
      </c>
      <c r="B4257" s="14" t="s">
        <v>5644</v>
      </c>
      <c r="C4257" s="85" t="str">
        <f ca="1">IFERROR(__xludf.DUMMYFUNCTION("GOOGLETRANSLATE(B4257:B4272,""RU"",""UK"")"),"Болт 12х50 (35) оцін. / 12х50 (25) оцін. / 12х55 (25) оцін.")</f>
        <v>Болт 12х50 (35) оцін. / 12х50 (25) оцін. / 12х55 (25) оцін.</v>
      </c>
      <c r="D4257" s="15" t="s">
        <v>130</v>
      </c>
      <c r="E4257" s="15" t="s">
        <v>5645</v>
      </c>
      <c r="F4257" s="91" t="s">
        <v>212</v>
      </c>
      <c r="G4257" s="4"/>
      <c r="H4257" s="4"/>
      <c r="I4257" s="4"/>
    </row>
    <row r="4258" spans="1:9" ht="15">
      <c r="A4258" s="21">
        <f t="shared" si="78"/>
        <v>79</v>
      </c>
      <c r="B4258" s="14" t="s">
        <v>5646</v>
      </c>
      <c r="C4258" s="85" t="str">
        <f ca="1">IFERROR(__xludf.DUMMYFUNCTION("GOOGLETRANSLATE(B4258:B4273,""RU"",""UK"")"),"Болт 12х55")</f>
        <v>Болт 12х55</v>
      </c>
      <c r="D4258" s="15" t="s">
        <v>130</v>
      </c>
      <c r="E4258" s="15">
        <v>73</v>
      </c>
      <c r="F4258" s="91" t="s">
        <v>338</v>
      </c>
      <c r="G4258" s="4"/>
      <c r="H4258" s="4"/>
      <c r="I4258" s="4"/>
    </row>
    <row r="4259" spans="1:9" ht="15">
      <c r="A4259" s="21">
        <f t="shared" si="78"/>
        <v>80</v>
      </c>
      <c r="B4259" s="14" t="s">
        <v>5647</v>
      </c>
      <c r="C4259" s="85" t="str">
        <f ca="1">IFERROR(__xludf.DUMMYFUNCTION("GOOGLETRANSLATE(B4259:B4274,""RU"",""UK"")"),"Болт 12х55 (30)")</f>
        <v>Болт 12х55 (30)</v>
      </c>
      <c r="D4259" s="15" t="s">
        <v>130</v>
      </c>
      <c r="E4259" s="15">
        <v>80</v>
      </c>
      <c r="F4259" s="91" t="s">
        <v>338</v>
      </c>
      <c r="G4259" s="4"/>
      <c r="H4259" s="4"/>
      <c r="I4259" s="4"/>
    </row>
    <row r="4260" spans="1:9" ht="15">
      <c r="A4260" s="21">
        <f t="shared" si="78"/>
        <v>81</v>
      </c>
      <c r="B4260" s="14" t="s">
        <v>5648</v>
      </c>
      <c r="C4260" s="85" t="str">
        <f ca="1">IFERROR(__xludf.DUMMYFUNCTION("GOOGLETRANSLATE(B4260:B4275,""RU"",""UK"")"),"Болт 12х60")</f>
        <v>Болт 12х60</v>
      </c>
      <c r="D4260" s="15" t="s">
        <v>130</v>
      </c>
      <c r="E4260" s="15" t="s">
        <v>5649</v>
      </c>
      <c r="F4260" s="91" t="s">
        <v>338</v>
      </c>
      <c r="G4260" s="4"/>
      <c r="H4260" s="4"/>
      <c r="I4260" s="4"/>
    </row>
    <row r="4261" spans="1:9" ht="15">
      <c r="A4261" s="21">
        <f t="shared" si="78"/>
        <v>82</v>
      </c>
      <c r="B4261" s="14" t="s">
        <v>5650</v>
      </c>
      <c r="C4261" s="85" t="str">
        <f ca="1">IFERROR(__xludf.DUMMYFUNCTION("GOOGLETRANSLATE(B4261:B4276,""RU"",""UK"")"),"Болт 12х60(30)оц (т5,8)")</f>
        <v>Болт 12х60(30)оц (т5,8)</v>
      </c>
      <c r="D4261" s="15" t="s">
        <v>130</v>
      </c>
      <c r="E4261" s="15">
        <v>15</v>
      </c>
      <c r="F4261" s="91" t="s">
        <v>564</v>
      </c>
      <c r="G4261" s="4"/>
      <c r="H4261" s="4"/>
      <c r="I4261" s="4"/>
    </row>
    <row r="4262" spans="1:9" ht="15">
      <c r="A4262" s="21">
        <f t="shared" si="78"/>
        <v>83</v>
      </c>
      <c r="B4262" s="14" t="s">
        <v>5651</v>
      </c>
      <c r="C4262" s="85" t="str">
        <f ca="1">IFERROR(__xludf.DUMMYFUNCTION("GOOGLETRANSLATE(B4262:B4277,""RU"",""UK"")"),"Болт 12х80 (30)")</f>
        <v>Болт 12х80 (30)</v>
      </c>
      <c r="D4262" s="15" t="s">
        <v>130</v>
      </c>
      <c r="E4262" s="15">
        <v>27</v>
      </c>
      <c r="F4262" s="91" t="s">
        <v>338</v>
      </c>
      <c r="G4262" s="4"/>
      <c r="H4262" s="4"/>
      <c r="I4262" s="4"/>
    </row>
    <row r="4263" spans="1:9" ht="15">
      <c r="A4263" s="21">
        <f t="shared" si="78"/>
        <v>84</v>
      </c>
      <c r="B4263" s="14" t="s">
        <v>5652</v>
      </c>
      <c r="C4263" s="85" t="str">
        <f ca="1">IFERROR(__xludf.DUMMYFUNCTION("GOOGLETRANSLATE(B4263:B4278,""RU"",""UK"")"),"Болт 12х80(35)оц (т5,8) / 12х90(30)оц (т5,8)")</f>
        <v>Болт 12х80(35)оц (т5,8) / 12х90(30)оц (т5,8)</v>
      </c>
      <c r="D4263" s="15" t="s">
        <v>130</v>
      </c>
      <c r="E4263" s="15" t="s">
        <v>5653</v>
      </c>
      <c r="F4263" s="91" t="s">
        <v>564</v>
      </c>
      <c r="G4263" s="4"/>
      <c r="H4263" s="4"/>
      <c r="I4263" s="4"/>
    </row>
    <row r="4264" spans="1:9" ht="15">
      <c r="A4264" s="21">
        <f t="shared" si="78"/>
        <v>85</v>
      </c>
      <c r="B4264" s="14" t="s">
        <v>5654</v>
      </c>
      <c r="C4264" s="85" t="str">
        <f ca="1">IFERROR(__xludf.DUMMYFUNCTION("GOOGLETRANSLATE(B4264:B4279,""RU"",""UK"")"),"Болт 12х90 (35) / 12х110")</f>
        <v>Болт 12х90 (35) / 12х110</v>
      </c>
      <c r="D4264" s="15" t="s">
        <v>130</v>
      </c>
      <c r="E4264" s="15" t="s">
        <v>5655</v>
      </c>
      <c r="F4264" s="91" t="s">
        <v>338</v>
      </c>
      <c r="G4264" s="4"/>
      <c r="H4264" s="4"/>
      <c r="I4264" s="4"/>
    </row>
    <row r="4265" spans="1:9" ht="15">
      <c r="A4265" s="21">
        <f t="shared" si="78"/>
        <v>86</v>
      </c>
      <c r="B4265" s="14" t="s">
        <v>5656</v>
      </c>
      <c r="C4265" s="85" t="str">
        <f ca="1">IFERROR(__xludf.DUMMYFUNCTION("GOOGLETRANSLATE(B4265:B4280,""RU"",""UK"")"),"Болт 14х45 (35)")</f>
        <v>Болт 14х45 (35)</v>
      </c>
      <c r="D4265" s="15" t="s">
        <v>130</v>
      </c>
      <c r="E4265" s="15" t="s">
        <v>5657</v>
      </c>
      <c r="F4265" s="91" t="s">
        <v>338</v>
      </c>
      <c r="G4265" s="4"/>
      <c r="H4265" s="4"/>
      <c r="I4265" s="4"/>
    </row>
    <row r="4266" spans="1:9" ht="15">
      <c r="A4266" s="21">
        <f t="shared" si="78"/>
        <v>87</v>
      </c>
      <c r="B4266" s="14" t="s">
        <v>5658</v>
      </c>
      <c r="C4266" s="85" t="str">
        <f ca="1">IFERROR(__xludf.DUMMYFUNCTION("GOOGLETRANSLATE(B4266:B4281,""RU"",""UK"")"),"Болт 14х50 (35)")</f>
        <v>Болт 14х50 (35)</v>
      </c>
      <c r="D4266" s="15" t="s">
        <v>130</v>
      </c>
      <c r="E4266" s="15">
        <v>158</v>
      </c>
      <c r="F4266" s="91" t="s">
        <v>338</v>
      </c>
      <c r="G4266" s="4"/>
      <c r="H4266" s="4"/>
      <c r="I4266" s="4"/>
    </row>
    <row r="4267" spans="1:9" ht="15">
      <c r="A4267" s="21">
        <f t="shared" si="78"/>
        <v>88</v>
      </c>
      <c r="B4267" s="14" t="s">
        <v>5659</v>
      </c>
      <c r="C4267" s="85" t="str">
        <f ca="1">IFERROR(__xludf.DUMMYFUNCTION("GOOGLETRANSLATE(B4267:B4282,""RU"",""UK"")"),"Болт 14х50оц.")</f>
        <v>Болт 14х50оц.</v>
      </c>
      <c r="D4267" s="15" t="s">
        <v>130</v>
      </c>
      <c r="E4267" s="15">
        <v>381</v>
      </c>
      <c r="F4267" s="91" t="s">
        <v>564</v>
      </c>
      <c r="G4267" s="4"/>
      <c r="H4267" s="4"/>
      <c r="I4267" s="4"/>
    </row>
    <row r="4268" spans="1:9" ht="15">
      <c r="A4268" s="21">
        <f t="shared" si="78"/>
        <v>89</v>
      </c>
      <c r="B4268" s="14" t="s">
        <v>5660</v>
      </c>
      <c r="C4268" s="85" t="str">
        <f ca="1">IFERROR(__xludf.DUMMYFUNCTION("GOOGLETRANSLATE(B4268:B4283,""RU"",""UK"")"),"Болт 14х55")</f>
        <v>Болт 14х55</v>
      </c>
      <c r="D4268" s="15" t="s">
        <v>130</v>
      </c>
      <c r="E4268" s="15">
        <v>34</v>
      </c>
      <c r="F4268" s="91" t="s">
        <v>338</v>
      </c>
      <c r="G4268" s="4"/>
      <c r="H4268" s="4"/>
      <c r="I4268" s="4"/>
    </row>
    <row r="4269" spans="1:9" ht="15">
      <c r="A4269" s="21">
        <f t="shared" si="78"/>
        <v>90</v>
      </c>
      <c r="B4269" s="14" t="s">
        <v>5661</v>
      </c>
      <c r="C4269" s="85" t="str">
        <f ca="1">IFERROR(__xludf.DUMMYFUNCTION("GOOGLETRANSLATE(B4269:B4284,""RU"",""UK"")"),"Болт 14х70(40) / 14х75")</f>
        <v>Болт 14х70(40) / 14х75</v>
      </c>
      <c r="D4269" s="15" t="s">
        <v>130</v>
      </c>
      <c r="E4269" s="15" t="s">
        <v>5662</v>
      </c>
      <c r="F4269" s="91" t="s">
        <v>338</v>
      </c>
      <c r="G4269" s="4"/>
      <c r="H4269" s="4"/>
      <c r="I4269" s="4"/>
    </row>
    <row r="4270" spans="1:9" ht="15">
      <c r="A4270" s="21">
        <f t="shared" si="78"/>
        <v>91</v>
      </c>
      <c r="B4270" s="14" t="s">
        <v>5663</v>
      </c>
      <c r="C4270" s="85" t="str">
        <f ca="1">IFERROR(__xludf.DUMMYFUNCTION("GOOGLETRANSLATE(B4270:B4285,""RU"",""UK"")"),"Болт 14х90(50)")</f>
        <v>Болт 14х90(50)</v>
      </c>
      <c r="D4270" s="15" t="s">
        <v>130</v>
      </c>
      <c r="E4270" s="15">
        <v>21</v>
      </c>
      <c r="F4270" s="91" t="s">
        <v>338</v>
      </c>
      <c r="G4270" s="4"/>
      <c r="H4270" s="4"/>
      <c r="I4270" s="4"/>
    </row>
    <row r="4271" spans="1:9" ht="15">
      <c r="A4271" s="21">
        <f t="shared" si="78"/>
        <v>92</v>
      </c>
      <c r="B4271" s="14" t="s">
        <v>5664</v>
      </c>
      <c r="C4271" s="85" t="str">
        <f ca="1">IFERROR(__xludf.DUMMYFUNCTION("GOOGLETRANSLATE(B4271:B4286,""RU"",""UK"")"),"Болт 16х35")</f>
        <v>Болт 16х35</v>
      </c>
      <c r="D4271" s="15" t="s">
        <v>130</v>
      </c>
      <c r="E4271" s="15">
        <v>12</v>
      </c>
      <c r="F4271" s="91" t="s">
        <v>338</v>
      </c>
      <c r="G4271" s="4"/>
      <c r="H4271" s="4"/>
      <c r="I4271" s="4"/>
    </row>
    <row r="4272" spans="1:9" ht="15">
      <c r="A4272" s="21">
        <f t="shared" si="78"/>
        <v>93</v>
      </c>
      <c r="B4272" s="14" t="s">
        <v>5665</v>
      </c>
      <c r="C4272" s="85" t="str">
        <f ca="1">IFERROR(__xludf.DUMMYFUNCTION("GOOGLETRANSLATE(B4272:B4287,""RU"",""UK"")"),"Болт 16х40/16х45")</f>
        <v>Болт 16х40/16х45</v>
      </c>
      <c r="D4272" s="15" t="s">
        <v>130</v>
      </c>
      <c r="E4272" s="15" t="s">
        <v>5666</v>
      </c>
      <c r="F4272" s="91" t="s">
        <v>338</v>
      </c>
      <c r="G4272" s="4"/>
      <c r="H4272" s="4"/>
      <c r="I4272" s="4"/>
    </row>
    <row r="4273" spans="1:9" ht="15">
      <c r="A4273" s="21">
        <f t="shared" si="78"/>
        <v>94</v>
      </c>
      <c r="B4273" s="14" t="s">
        <v>5667</v>
      </c>
      <c r="C4273" s="85" t="str">
        <f ca="1">IFERROR(__xludf.DUMMYFUNCTION("GOOGLETRANSLATE(B4273:B4288,""RU"",""UK"")"),"Болт 16х40оц. / 16х50оц. (Т5,8)")</f>
        <v>Болт 16х40оц. / 16х50оц. (Т5,8)</v>
      </c>
      <c r="D4273" s="15" t="s">
        <v>130</v>
      </c>
      <c r="E4273" s="15" t="s">
        <v>5668</v>
      </c>
      <c r="F4273" s="91" t="s">
        <v>564</v>
      </c>
      <c r="G4273" s="4"/>
      <c r="H4273" s="4"/>
      <c r="I4273" s="4"/>
    </row>
    <row r="4274" spans="1:9" ht="15">
      <c r="A4274" s="21">
        <f t="shared" si="78"/>
        <v>95</v>
      </c>
      <c r="B4274" s="14" t="s">
        <v>5669</v>
      </c>
      <c r="C4274" s="85" t="str">
        <f ca="1">IFERROR(__xludf.DUMMYFUNCTION("GOOGLETRANSLATE(B4274:B4289,""RU"",""UK"")"),"Болт 16х50 (40) оцін.")</f>
        <v>Болт 16х50 (40) оцін.</v>
      </c>
      <c r="D4274" s="15" t="s">
        <v>130</v>
      </c>
      <c r="E4274" s="15">
        <v>7</v>
      </c>
      <c r="F4274" s="91" t="s">
        <v>564</v>
      </c>
      <c r="G4274" s="4"/>
      <c r="H4274" s="4"/>
      <c r="I4274" s="4"/>
    </row>
    <row r="4275" spans="1:9" ht="15">
      <c r="A4275" s="21">
        <f t="shared" si="78"/>
        <v>96</v>
      </c>
      <c r="B4275" s="14" t="s">
        <v>5670</v>
      </c>
      <c r="C4275" s="85" t="str">
        <f ca="1">IFERROR(__xludf.DUMMYFUNCTION("GOOGLETRANSLATE(B4275:B4290,""RU"",""UK"")"),"Болт 16х60 (40мм)")</f>
        <v>Болт 16х60 (40мм)</v>
      </c>
      <c r="D4275" s="15" t="s">
        <v>130</v>
      </c>
      <c r="E4275" s="15">
        <v>32</v>
      </c>
      <c r="F4275" s="91" t="s">
        <v>338</v>
      </c>
      <c r="G4275" s="4"/>
      <c r="H4275" s="4"/>
      <c r="I4275" s="4"/>
    </row>
    <row r="4276" spans="1:9" ht="15">
      <c r="A4276" s="21">
        <f t="shared" si="78"/>
        <v>97</v>
      </c>
      <c r="B4276" s="14" t="s">
        <v>5671</v>
      </c>
      <c r="C4276" s="85" t="str">
        <f ca="1">IFERROR(__xludf.DUMMYFUNCTION("GOOGLETRANSLATE(B4276:B4291,""RU"",""UK"")"),"Болт 16х60оц. / 16х70 (40) оцін.")</f>
        <v>Болт 16х60оц. / 16х70 (40) оцін.</v>
      </c>
      <c r="D4276" s="15" t="s">
        <v>130</v>
      </c>
      <c r="E4276" s="15" t="s">
        <v>5672</v>
      </c>
      <c r="F4276" s="91" t="s">
        <v>564</v>
      </c>
      <c r="G4276" s="4"/>
      <c r="H4276" s="4"/>
      <c r="I4276" s="4"/>
    </row>
    <row r="4277" spans="1:9" ht="15">
      <c r="A4277" s="21">
        <f t="shared" si="78"/>
        <v>98</v>
      </c>
      <c r="B4277" s="14" t="s">
        <v>5673</v>
      </c>
      <c r="C4277" s="85" t="str">
        <f ca="1">IFERROR(__xludf.DUMMYFUNCTION("GOOGLETRANSLATE(B4277:B4292,""RU"",""UK"")"),"Болт 16х65 (35)")</f>
        <v>Болт 16х65 (35)</v>
      </c>
      <c r="D4277" s="15" t="s">
        <v>130</v>
      </c>
      <c r="E4277" s="15">
        <v>112</v>
      </c>
      <c r="F4277" s="91" t="s">
        <v>338</v>
      </c>
      <c r="G4277" s="4"/>
      <c r="H4277" s="4"/>
      <c r="I4277" s="4"/>
    </row>
    <row r="4278" spans="1:9" ht="15">
      <c r="A4278" s="21">
        <f t="shared" si="78"/>
        <v>99</v>
      </c>
      <c r="B4278" s="56" t="s">
        <v>5674</v>
      </c>
      <c r="C4278" s="85" t="str">
        <f ca="1">IFERROR(__xludf.DUMMYFUNCTION("GOOGLETRANSLATE(B4278:B4293,""RU"",""UK"")"),"Болт 16х70 (35) (т8,8) / 16х70 оц 8,8 / 16х80 оц. (т8,8)")</f>
        <v>Болт 16х70 (35) (т8,8) / 16х70 оц 8,8 / 16х80 оц. (т8,8)</v>
      </c>
      <c r="D4278" s="15" t="s">
        <v>130</v>
      </c>
      <c r="E4278" s="15" t="s">
        <v>5675</v>
      </c>
      <c r="F4278" s="91" t="s">
        <v>564</v>
      </c>
      <c r="G4278" s="4"/>
      <c r="H4278" s="4"/>
      <c r="I4278" s="4"/>
    </row>
    <row r="4279" spans="1:9" ht="15">
      <c r="A4279" s="21">
        <f t="shared" si="78"/>
        <v>100</v>
      </c>
      <c r="B4279" s="14" t="s">
        <v>5676</v>
      </c>
      <c r="C4279" s="85" t="str">
        <f ca="1">IFERROR(__xludf.DUMMYFUNCTION("GOOGLETRANSLATE(B4279:B4294,""RU"",""UK"")"),"Болт 16х70 (35)оц / 16х70 (45)оц (т5,8)")</f>
        <v>Болт 16х70 (35)оц / 16х70 (45)оц (т5,8)</v>
      </c>
      <c r="D4279" s="15" t="s">
        <v>130</v>
      </c>
      <c r="E4279" s="15" t="s">
        <v>5677</v>
      </c>
      <c r="F4279" s="91" t="s">
        <v>564</v>
      </c>
      <c r="G4279" s="4"/>
      <c r="H4279" s="4"/>
      <c r="I4279" s="4"/>
    </row>
    <row r="4280" spans="1:9" ht="15">
      <c r="A4280" s="21">
        <f t="shared" si="78"/>
        <v>101</v>
      </c>
      <c r="B4280" s="16" t="s">
        <v>5678</v>
      </c>
      <c r="C4280" s="85" t="str">
        <f ca="1">IFERROR(__xludf.DUMMYFUNCTION("GOOGLETRANSLATE(B4280:B4295,""RU"",""UK"")"),"Болт 16х80 (40) оцін. (Т5,8)")</f>
        <v>Болт 16х80 (40) оцін. (Т5,8)</v>
      </c>
      <c r="D4280" s="15" t="s">
        <v>130</v>
      </c>
      <c r="E4280" s="15">
        <v>14</v>
      </c>
      <c r="F4280" s="91" t="s">
        <v>564</v>
      </c>
      <c r="G4280" s="4"/>
      <c r="H4280" s="4"/>
      <c r="I4280" s="4"/>
    </row>
    <row r="4281" spans="1:9" ht="15">
      <c r="A4281" s="21">
        <f t="shared" si="78"/>
        <v>102</v>
      </c>
      <c r="B4281" s="14" t="s">
        <v>5679</v>
      </c>
      <c r="C4281" s="85" t="str">
        <f ca="1">IFERROR(__xludf.DUMMYFUNCTION("GOOGLETRANSLATE(B4281:B4296,""RU"",""UK"")"),"Болт 16х85 (40) оцін. / 16х90 (45) оцін.")</f>
        <v>Болт 16х85 (40) оцін. / 16х90 (45) оцін.</v>
      </c>
      <c r="D4281" s="15" t="s">
        <v>130</v>
      </c>
      <c r="E4281" s="15" t="s">
        <v>5680</v>
      </c>
      <c r="F4281" s="91" t="s">
        <v>564</v>
      </c>
      <c r="G4281" s="4"/>
      <c r="H4281" s="4"/>
      <c r="I4281" s="4"/>
    </row>
    <row r="4282" spans="1:9" ht="15">
      <c r="A4282" s="21">
        <f t="shared" si="78"/>
        <v>103</v>
      </c>
      <c r="B4282" s="56" t="s">
        <v>5681</v>
      </c>
      <c r="C4282" s="85" t="str">
        <f ca="1">IFERROR(__xludf.DUMMYFUNCTION("GOOGLETRANSLATE(B4282:B4297,""RU"",""UK"")"),"Болт 16х120 (40) оцін. (т8,8) / 16х130 (45) оцін. (т8,8)")</f>
        <v>Болт 16х120 (40) оцін. (т8,8) / 16х130 (45) оцін. (т8,8)</v>
      </c>
      <c r="D4282" s="15" t="s">
        <v>130</v>
      </c>
      <c r="E4282" s="15" t="s">
        <v>5682</v>
      </c>
      <c r="F4282" s="91" t="s">
        <v>564</v>
      </c>
      <c r="G4282" s="4"/>
      <c r="H4282" s="4"/>
      <c r="I4282" s="4"/>
    </row>
    <row r="4283" spans="1:9" ht="15">
      <c r="A4283" s="21">
        <f t="shared" si="78"/>
        <v>104</v>
      </c>
      <c r="B4283" s="14" t="s">
        <v>5683</v>
      </c>
      <c r="C4283" s="85" t="str">
        <f ca="1">IFERROR(__xludf.DUMMYFUNCTION("GOOGLETRANSLATE(B4283:B4298,""RU"",""UK"")"),"Болт 18х60")</f>
        <v>Болт 18х60</v>
      </c>
      <c r="D4283" s="15" t="s">
        <v>130</v>
      </c>
      <c r="E4283" s="15">
        <v>6</v>
      </c>
      <c r="F4283" s="91" t="s">
        <v>338</v>
      </c>
      <c r="G4283" s="4"/>
      <c r="H4283" s="4"/>
      <c r="I4283" s="4"/>
    </row>
    <row r="4284" spans="1:9" ht="15">
      <c r="A4284" s="21">
        <f t="shared" si="78"/>
        <v>105</v>
      </c>
      <c r="B4284" s="56" t="s">
        <v>5684</v>
      </c>
      <c r="C4284" s="85" t="str">
        <f ca="1">IFERROR(__xludf.DUMMYFUNCTION("GOOGLETRANSLATE(B4284:B4299,""RU"",""UK"")"),"Болт 18х60 оц (т8,8)")</f>
        <v>Болт 18х60 оц (т8,8)</v>
      </c>
      <c r="D4284" s="15" t="s">
        <v>130</v>
      </c>
      <c r="E4284" s="15">
        <v>43</v>
      </c>
      <c r="F4284" s="91" t="s">
        <v>564</v>
      </c>
      <c r="G4284" s="4"/>
      <c r="H4284" s="4"/>
      <c r="I4284" s="4"/>
    </row>
    <row r="4285" spans="1:9" ht="15">
      <c r="A4285" s="21">
        <f t="shared" si="78"/>
        <v>106</v>
      </c>
      <c r="B4285" s="14" t="s">
        <v>5685</v>
      </c>
      <c r="C4285" s="85" t="str">
        <f ca="1">IFERROR(__xludf.DUMMYFUNCTION("GOOGLETRANSLATE(B4285:B4300,""RU"",""UK"")"),"Болт 20х45оц / 20х60 (40) оцін.")</f>
        <v>Болт 20х45оц / 20х60 (40) оцін.</v>
      </c>
      <c r="D4285" s="15" t="s">
        <v>130</v>
      </c>
      <c r="E4285" s="15" t="s">
        <v>5686</v>
      </c>
      <c r="F4285" s="91" t="s">
        <v>564</v>
      </c>
      <c r="G4285" s="4"/>
      <c r="H4285" s="4"/>
      <c r="I4285" s="4"/>
    </row>
    <row r="4286" spans="1:9" ht="15">
      <c r="A4286" s="21">
        <f t="shared" si="78"/>
        <v>107</v>
      </c>
      <c r="B4286" s="56" t="s">
        <v>5687</v>
      </c>
      <c r="C4286" s="85" t="str">
        <f ca="1">IFERROR(__xludf.DUMMYFUNCTION("GOOGLETRANSLATE(B4286:B4301,""RU"",""UK"")"),"Болт 20х70 оц (т8,8)")</f>
        <v>Болт 20х70 оц (т8,8)</v>
      </c>
      <c r="D4286" s="15" t="s">
        <v>130</v>
      </c>
      <c r="E4286" s="15" t="s">
        <v>5688</v>
      </c>
      <c r="F4286" s="91" t="s">
        <v>564</v>
      </c>
      <c r="G4286" s="4"/>
      <c r="H4286" s="4"/>
      <c r="I4286" s="4"/>
    </row>
    <row r="4287" spans="1:9" ht="15">
      <c r="A4287" s="21">
        <f t="shared" si="78"/>
        <v>108</v>
      </c>
      <c r="B4287" s="14" t="s">
        <v>5689</v>
      </c>
      <c r="C4287" s="85" t="str">
        <f ca="1">IFERROR(__xludf.DUMMYFUNCTION("GOOGLETRANSLATE(B4287:B4302,""RU"",""UK"")"),"Болт 20х70 (45) оцін.")</f>
        <v>Болт 20х70 (45) оцін.</v>
      </c>
      <c r="D4287" s="15" t="s">
        <v>130</v>
      </c>
      <c r="E4287" s="15">
        <v>55</v>
      </c>
      <c r="F4287" s="91" t="s">
        <v>564</v>
      </c>
      <c r="G4287" s="4"/>
      <c r="H4287" s="4"/>
      <c r="I4287" s="4"/>
    </row>
    <row r="4288" spans="1:9" ht="15">
      <c r="A4288" s="21">
        <f t="shared" si="78"/>
        <v>109</v>
      </c>
      <c r="B4288" s="19" t="s">
        <v>5690</v>
      </c>
      <c r="C4288" s="85" t="str">
        <f ca="1">IFERROR(__xludf.DUMMYFUNCTION("GOOGLETRANSLATE(B4288:B4303,""RU"",""UK"")"),"Болт 20х90(45-70)")</f>
        <v>Болт 20х90(45-70)</v>
      </c>
      <c r="D4288" s="15" t="s">
        <v>130</v>
      </c>
      <c r="E4288" s="15">
        <v>0</v>
      </c>
      <c r="F4288" s="91" t="s">
        <v>338</v>
      </c>
      <c r="G4288" s="4"/>
      <c r="H4288" s="4"/>
      <c r="I4288" s="4"/>
    </row>
    <row r="4289" spans="1:9" ht="15">
      <c r="A4289" s="21">
        <f t="shared" si="78"/>
        <v>110</v>
      </c>
      <c r="B4289" s="14" t="s">
        <v>5691</v>
      </c>
      <c r="C4289" s="85" t="str">
        <f ca="1">IFERROR(__xludf.DUMMYFUNCTION("GOOGLETRANSLATE(B4289:B4304,""RU"",""UK"")"),"Болт 20х75(40) оц / 20х90(45)оц")</f>
        <v>Болт 20х75(40) оц / 20х90(45)оц</v>
      </c>
      <c r="D4289" s="15" t="s">
        <v>130</v>
      </c>
      <c r="E4289" s="15" t="s">
        <v>5692</v>
      </c>
      <c r="F4289" s="91" t="s">
        <v>564</v>
      </c>
      <c r="G4289" s="4"/>
      <c r="H4289" s="4"/>
      <c r="I4289" s="4"/>
    </row>
    <row r="4290" spans="1:9" ht="15">
      <c r="A4290" s="21">
        <f t="shared" si="78"/>
        <v>111</v>
      </c>
      <c r="B4290" s="14" t="s">
        <v>5693</v>
      </c>
      <c r="C4290" s="85" t="str">
        <f ca="1">IFERROR(__xludf.DUMMYFUNCTION("GOOGLETRANSLATE(B4290:B4305,""RU"",""UK"")"),"Болт 20х100 (50)")</f>
        <v>Болт 20х100 (50)</v>
      </c>
      <c r="D4290" s="15" t="s">
        <v>130</v>
      </c>
      <c r="E4290" s="15">
        <v>103</v>
      </c>
      <c r="F4290" s="91" t="s">
        <v>338</v>
      </c>
      <c r="G4290" s="4"/>
      <c r="H4290" s="4"/>
      <c r="I4290" s="4"/>
    </row>
    <row r="4291" spans="1:9" ht="15">
      <c r="A4291" s="21">
        <f t="shared" si="78"/>
        <v>112</v>
      </c>
      <c r="B4291" s="14" t="s">
        <v>5694</v>
      </c>
      <c r="C4291" s="85" t="str">
        <f ca="1">IFERROR(__xludf.DUMMYFUNCTION("GOOGLETRANSLATE(B4291:B4306,""RU"",""UK"")"),"Болт 20х100оц")</f>
        <v>Болт 20х100оц</v>
      </c>
      <c r="D4291" s="15" t="s">
        <v>130</v>
      </c>
      <c r="E4291" s="15" t="s">
        <v>5155</v>
      </c>
      <c r="F4291" s="91" t="s">
        <v>564</v>
      </c>
      <c r="G4291" s="4"/>
      <c r="H4291" s="4"/>
      <c r="I4291" s="4"/>
    </row>
    <row r="4292" spans="1:9" ht="15">
      <c r="A4292" s="21">
        <f t="shared" si="78"/>
        <v>113</v>
      </c>
      <c r="B4292" s="56" t="s">
        <v>5695</v>
      </c>
      <c r="C4292" s="85" t="str">
        <f ca="1">IFERROR(__xludf.DUMMYFUNCTION("GOOGLETRANSLATE(B4292:B4307,""RU"",""UK"")"),"Болт 20х100(50)оц (т8,8)")</f>
        <v>Болт 20х100(50)оц (т8,8)</v>
      </c>
      <c r="D4292" s="15" t="s">
        <v>130</v>
      </c>
      <c r="E4292" s="15" t="s">
        <v>5544</v>
      </c>
      <c r="F4292" s="91" t="s">
        <v>564</v>
      </c>
      <c r="G4292" s="4"/>
      <c r="H4292" s="4"/>
      <c r="I4292" s="4"/>
    </row>
    <row r="4293" spans="1:9" ht="15">
      <c r="A4293" s="21">
        <f t="shared" si="78"/>
        <v>114</v>
      </c>
      <c r="B4293" s="14" t="s">
        <v>5696</v>
      </c>
      <c r="C4293" s="85" t="str">
        <f ca="1">IFERROR(__xludf.DUMMYFUNCTION("GOOGLETRANSLATE(B4293:B4308,""RU"",""UK"")"),"Болт 20х110(70)оц / 20х120(55)оц")</f>
        <v>Болт 20х110(70)оц / 20х120(55)оц</v>
      </c>
      <c r="D4293" s="15" t="s">
        <v>130</v>
      </c>
      <c r="E4293" s="15" t="s">
        <v>5697</v>
      </c>
      <c r="F4293" s="91" t="s">
        <v>564</v>
      </c>
      <c r="G4293" s="4"/>
      <c r="H4293" s="4"/>
      <c r="I4293" s="4"/>
    </row>
    <row r="4294" spans="1:9" ht="15">
      <c r="A4294" s="21">
        <f t="shared" si="78"/>
        <v>115</v>
      </c>
      <c r="B4294" s="14" t="s">
        <v>5698</v>
      </c>
      <c r="C4294" s="85" t="str">
        <f ca="1">IFERROR(__xludf.DUMMYFUNCTION("GOOGLETRANSLATE(B4294:B4309,""RU"",""UK"")"),"Болт 20х150 (60)оц")</f>
        <v>Болт 20х150 (60)оц</v>
      </c>
      <c r="D4294" s="15" t="s">
        <v>130</v>
      </c>
      <c r="E4294" s="15">
        <v>10</v>
      </c>
      <c r="F4294" s="91" t="s">
        <v>564</v>
      </c>
      <c r="G4294" s="4"/>
      <c r="H4294" s="4"/>
      <c r="I4294" s="4"/>
    </row>
    <row r="4295" spans="1:9" ht="15">
      <c r="A4295" s="21">
        <f t="shared" si="78"/>
        <v>116</v>
      </c>
      <c r="B4295" s="14" t="s">
        <v>5699</v>
      </c>
      <c r="C4295" s="85" t="str">
        <f ca="1">IFERROR(__xludf.DUMMYFUNCTION("GOOGLETRANSLATE(B4295:B4310,""RU"",""UK"")"),"Болт 20х160 (60)")</f>
        <v>Болт 20х160 (60)</v>
      </c>
      <c r="D4295" s="15" t="s">
        <v>130</v>
      </c>
      <c r="E4295" s="15">
        <v>39</v>
      </c>
      <c r="F4295" s="91" t="s">
        <v>338</v>
      </c>
      <c r="G4295" s="4"/>
      <c r="H4295" s="4"/>
      <c r="I4295" s="4"/>
    </row>
    <row r="4296" spans="1:9" ht="15">
      <c r="A4296" s="21">
        <f t="shared" si="78"/>
        <v>117</v>
      </c>
      <c r="B4296" s="56" t="s">
        <v>5700</v>
      </c>
      <c r="C4296" s="85" t="str">
        <f ca="1">IFERROR(__xludf.DUMMYFUNCTION("GOOGLETRANSLATE(B4296:B4311,""RU"",""UK"")"),"Болт 20х210 (70)оц (т8,8)")</f>
        <v>Болт 20х210 (70)оц (т8,8)</v>
      </c>
      <c r="D4296" s="15" t="s">
        <v>130</v>
      </c>
      <c r="E4296" s="15">
        <v>80</v>
      </c>
      <c r="F4296" s="91" t="s">
        <v>564</v>
      </c>
      <c r="G4296" s="4"/>
      <c r="H4296" s="4"/>
      <c r="I4296" s="4"/>
    </row>
    <row r="4297" spans="1:9" ht="15">
      <c r="A4297" s="21">
        <f t="shared" si="78"/>
        <v>118</v>
      </c>
      <c r="B4297" s="14" t="s">
        <v>5701</v>
      </c>
      <c r="C4297" s="85" t="str">
        <f ca="1">IFERROR(__xludf.DUMMYFUNCTION("GOOGLETRANSLATE(B4297:B4312,""RU"",""UK"")"),"Болт 22х70")</f>
        <v>Болт 22х70</v>
      </c>
      <c r="D4297" s="15" t="s">
        <v>130</v>
      </c>
      <c r="E4297" s="15">
        <v>5</v>
      </c>
      <c r="F4297" s="91" t="s">
        <v>338</v>
      </c>
      <c r="G4297" s="4"/>
      <c r="H4297" s="4"/>
      <c r="I4297" s="4"/>
    </row>
    <row r="4298" spans="1:9" ht="15">
      <c r="A4298" s="21">
        <f t="shared" si="78"/>
        <v>119</v>
      </c>
      <c r="B4298" s="14" t="s">
        <v>5702</v>
      </c>
      <c r="C4298" s="85" t="str">
        <f ca="1">IFERROR(__xludf.DUMMYFUNCTION("GOOGLETRANSLATE(B4298:B4313,""RU"",""UK"")"),"Болт 22х90 (55) / 22х100 (50)")</f>
        <v>Болт 22х90 (55) / 22х100 (50)</v>
      </c>
      <c r="D4298" s="15" t="s">
        <v>130</v>
      </c>
      <c r="E4298" s="15" t="s">
        <v>5703</v>
      </c>
      <c r="F4298" s="91" t="s">
        <v>338</v>
      </c>
      <c r="G4298" s="4"/>
      <c r="H4298" s="4"/>
      <c r="I4298" s="4"/>
    </row>
    <row r="4299" spans="1:9" ht="15">
      <c r="A4299" s="21">
        <f t="shared" si="78"/>
        <v>120</v>
      </c>
      <c r="B4299" s="14" t="s">
        <v>5704</v>
      </c>
      <c r="C4299" s="85" t="str">
        <f ca="1">IFERROR(__xludf.DUMMYFUNCTION("GOOGLETRANSLATE(B4299:B4314,""RU"",""UK"")"),"Болт 22х140 (60)")</f>
        <v>Болт 22х140 (60)</v>
      </c>
      <c r="D4299" s="15" t="s">
        <v>130</v>
      </c>
      <c r="E4299" s="15">
        <v>131</v>
      </c>
      <c r="F4299" s="91" t="s">
        <v>338</v>
      </c>
      <c r="G4299" s="4"/>
      <c r="H4299" s="4"/>
      <c r="I4299" s="4"/>
    </row>
    <row r="4300" spans="1:9" ht="15">
      <c r="A4300" s="21">
        <f t="shared" si="78"/>
        <v>121</v>
      </c>
      <c r="B4300" s="56" t="s">
        <v>5705</v>
      </c>
      <c r="C4300" s="85" t="str">
        <f ca="1">IFERROR(__xludf.DUMMYFUNCTION("GOOGLETRANSLATE(B4300:B4315,""RU"",""UK"")"),"Болт 22х160 (60)оц (т8,8)")</f>
        <v>Болт 22х160 (60)оц (т8,8)</v>
      </c>
      <c r="D4300" s="15" t="s">
        <v>130</v>
      </c>
      <c r="E4300" s="15" t="s">
        <v>5706</v>
      </c>
      <c r="F4300" s="91" t="s">
        <v>564</v>
      </c>
      <c r="G4300" s="4"/>
      <c r="H4300" s="4"/>
      <c r="I4300" s="4"/>
    </row>
    <row r="4301" spans="1:9" ht="15">
      <c r="A4301" s="21">
        <f t="shared" si="78"/>
        <v>122</v>
      </c>
      <c r="B4301" s="14" t="s">
        <v>5707</v>
      </c>
      <c r="C4301" s="85" t="str">
        <f ca="1">IFERROR(__xludf.DUMMYFUNCTION("GOOGLETRANSLATE(B4301:B4316,""RU"",""UK"")"),"Болт 24х60(60) / 24х65(45)")</f>
        <v>Болт 24х60(60) / 24х65(45)</v>
      </c>
      <c r="D4301" s="15" t="s">
        <v>130</v>
      </c>
      <c r="E4301" s="15" t="s">
        <v>4985</v>
      </c>
      <c r="F4301" s="91" t="s">
        <v>338</v>
      </c>
      <c r="G4301" s="4"/>
      <c r="H4301" s="4"/>
      <c r="I4301" s="4"/>
    </row>
    <row r="4302" spans="1:9" ht="15">
      <c r="A4302" s="21">
        <f t="shared" si="78"/>
        <v>123</v>
      </c>
      <c r="B4302" s="14" t="s">
        <v>5708</v>
      </c>
      <c r="C4302" s="85" t="str">
        <f ca="1">IFERROR(__xludf.DUMMYFUNCTION("GOOGLETRANSLATE(B4302:B4317,""RU"",""UK"")"),"Болт 24х65 оц")</f>
        <v>Болт 24х65 оц</v>
      </c>
      <c r="D4302" s="15" t="s">
        <v>130</v>
      </c>
      <c r="E4302" s="15" t="s">
        <v>5709</v>
      </c>
      <c r="F4302" s="91" t="s">
        <v>564</v>
      </c>
      <c r="G4302" s="4"/>
      <c r="H4302" s="4"/>
      <c r="I4302" s="4"/>
    </row>
    <row r="4303" spans="1:9" ht="15">
      <c r="A4303" s="21">
        <f t="shared" si="78"/>
        <v>124</v>
      </c>
      <c r="B4303" s="14" t="s">
        <v>5710</v>
      </c>
      <c r="C4303" s="85" t="str">
        <f ca="1">IFERROR(__xludf.DUMMYFUNCTION("GOOGLETRANSLATE(B4303:B4318,""RU"",""UK"")"),"Болт 24х75 (гайка+шайби)оц / 24х85 (гайка+шайби)оц")</f>
        <v>Болт 24х75 (гайка+шайби)оц / 24х85 (гайка+шайби)оц</v>
      </c>
      <c r="D4303" s="15" t="s">
        <v>130</v>
      </c>
      <c r="E4303" s="15" t="s">
        <v>2023</v>
      </c>
      <c r="F4303" s="91" t="s">
        <v>564</v>
      </c>
      <c r="G4303" s="4"/>
      <c r="H4303" s="4"/>
      <c r="I4303" s="4"/>
    </row>
    <row r="4304" spans="1:9" ht="15">
      <c r="A4304" s="21">
        <f t="shared" si="78"/>
        <v>125</v>
      </c>
      <c r="B4304" s="14" t="s">
        <v>5711</v>
      </c>
      <c r="C4304" s="85" t="str">
        <f ca="1">IFERROR(__xludf.DUMMYFUNCTION("GOOGLETRANSLATE(B4304:B4319,""RU"",""UK"")"),"Болт 24х80 (60)")</f>
        <v>Болт 24х80 (60)</v>
      </c>
      <c r="D4304" s="15" t="s">
        <v>130</v>
      </c>
      <c r="E4304" s="15">
        <v>230</v>
      </c>
      <c r="F4304" s="91" t="s">
        <v>338</v>
      </c>
      <c r="G4304" s="4"/>
      <c r="H4304" s="4"/>
      <c r="I4304" s="4"/>
    </row>
    <row r="4305" spans="1:9" ht="15">
      <c r="A4305" s="21">
        <f t="shared" si="78"/>
        <v>126</v>
      </c>
      <c r="B4305" s="56" t="s">
        <v>5712</v>
      </c>
      <c r="C4305" s="85" t="str">
        <f ca="1">IFERROR(__xludf.DUMMYFUNCTION("GOOGLETRANSLATE(B4305:B4320,""RU"",""UK"")"),"Болт 24х100оц (т8,8)")</f>
        <v>Болт 24х100оц (т8,8)</v>
      </c>
      <c r="D4305" s="15" t="s">
        <v>130</v>
      </c>
      <c r="E4305" s="15">
        <v>12</v>
      </c>
      <c r="F4305" s="91" t="s">
        <v>564</v>
      </c>
      <c r="G4305" s="4"/>
      <c r="H4305" s="4"/>
      <c r="I4305" s="4"/>
    </row>
    <row r="4306" spans="1:9" ht="15">
      <c r="A4306" s="21">
        <f t="shared" si="78"/>
        <v>127</v>
      </c>
      <c r="B4306" s="14" t="s">
        <v>5713</v>
      </c>
      <c r="C4306" s="85" t="str">
        <f ca="1">IFERROR(__xludf.DUMMYFUNCTION("GOOGLETRANSLATE(B4306:B4321,""RU"",""UK"")"),"Болт 24х120 (50)")</f>
        <v>Болт 24х120 (50)</v>
      </c>
      <c r="D4306" s="15" t="s">
        <v>130</v>
      </c>
      <c r="E4306" s="15">
        <v>132</v>
      </c>
      <c r="F4306" s="91" t="s">
        <v>338</v>
      </c>
      <c r="G4306" s="4"/>
      <c r="H4306" s="4"/>
      <c r="I4306" s="4"/>
    </row>
    <row r="4307" spans="1:9" ht="15">
      <c r="A4307" s="21">
        <f t="shared" si="78"/>
        <v>128</v>
      </c>
      <c r="B4307" s="14" t="s">
        <v>5714</v>
      </c>
      <c r="C4307" s="85" t="str">
        <f ca="1">IFERROR(__xludf.DUMMYFUNCTION("GOOGLETRANSLATE(B4307:B4322,""RU"",""UK"")"),"Болт 24х130 (65) / 24х150 (60)")</f>
        <v>Болт 24х130 (65) / 24х150 (60)</v>
      </c>
      <c r="D4307" s="15" t="s">
        <v>130</v>
      </c>
      <c r="E4307" s="15" t="s">
        <v>5715</v>
      </c>
      <c r="F4307" s="91" t="s">
        <v>338</v>
      </c>
      <c r="G4307" s="4"/>
      <c r="H4307" s="4"/>
      <c r="I4307" s="4"/>
    </row>
    <row r="4308" spans="1:9" ht="15">
      <c r="A4308" s="21">
        <f t="shared" si="78"/>
        <v>129</v>
      </c>
      <c r="B4308" s="14" t="s">
        <v>5716</v>
      </c>
      <c r="C4308" s="85" t="str">
        <f ca="1">IFERROR(__xludf.DUMMYFUNCTION("GOOGLETRANSLATE(B4308:B4323,""RU"",""UK"")"),"Болт 24х160 (60) / 24х180 (60)")</f>
        <v>Болт 24х160 (60) / 24х180 (60)</v>
      </c>
      <c r="D4308" s="15" t="s">
        <v>130</v>
      </c>
      <c r="E4308" s="15" t="s">
        <v>5717</v>
      </c>
      <c r="F4308" s="91" t="s">
        <v>338</v>
      </c>
      <c r="G4308" s="4"/>
      <c r="H4308" s="4"/>
      <c r="I4308" s="4"/>
    </row>
    <row r="4309" spans="1:9" ht="15">
      <c r="A4309" s="21">
        <f t="shared" si="78"/>
        <v>130</v>
      </c>
      <c r="B4309" s="14" t="s">
        <v>5718</v>
      </c>
      <c r="C4309" s="85" t="str">
        <f ca="1">IFERROR(__xludf.DUMMYFUNCTION("GOOGLETRANSLATE(B4309:B4324,""RU"",""UK"")"),"Болт 27х60")</f>
        <v>Болт 27х60</v>
      </c>
      <c r="D4309" s="15" t="s">
        <v>130</v>
      </c>
      <c r="E4309" s="15">
        <v>11</v>
      </c>
      <c r="F4309" s="91" t="s">
        <v>338</v>
      </c>
      <c r="G4309" s="4"/>
      <c r="H4309" s="4"/>
      <c r="I4309" s="4"/>
    </row>
    <row r="4310" spans="1:9" ht="15">
      <c r="A4310" s="21">
        <f t="shared" ref="A4310:A4373" si="79">A4309+1</f>
        <v>131</v>
      </c>
      <c r="B4310" s="14" t="s">
        <v>5719</v>
      </c>
      <c r="C4310" s="85" t="str">
        <f ca="1">IFERROR(__xludf.DUMMYFUNCTION("GOOGLETRANSLATE(B4310:B4325,""RU"",""UK"")"),"Болт 27х70")</f>
        <v>Болт 27х70</v>
      </c>
      <c r="D4310" s="15" t="s">
        <v>130</v>
      </c>
      <c r="E4310" s="15">
        <v>25</v>
      </c>
      <c r="F4310" s="91" t="s">
        <v>338</v>
      </c>
      <c r="G4310" s="4"/>
      <c r="H4310" s="4"/>
      <c r="I4310" s="4"/>
    </row>
    <row r="4311" spans="1:9" ht="15">
      <c r="A4311" s="21">
        <f t="shared" si="79"/>
        <v>132</v>
      </c>
      <c r="B4311" s="14" t="s">
        <v>5720</v>
      </c>
      <c r="C4311" s="85" t="str">
        <f ca="1">IFERROR(__xludf.DUMMYFUNCTION("GOOGLETRANSLATE(B4311:B4326,""RU"",""UK"")"),"Болт 30х80 (гайка+шайби)оц / 30х90(гайка+шайби)оц")</f>
        <v>Болт 30х80 (гайка+шайби)оц / 30х90(гайка+шайби)оц</v>
      </c>
      <c r="D4311" s="15" t="s">
        <v>130</v>
      </c>
      <c r="E4311" s="15" t="s">
        <v>1420</v>
      </c>
      <c r="F4311" s="91" t="s">
        <v>338</v>
      </c>
      <c r="G4311" s="4"/>
      <c r="H4311" s="4"/>
      <c r="I4311" s="4"/>
    </row>
    <row r="4312" spans="1:9" ht="15">
      <c r="A4312" s="21">
        <f t="shared" si="79"/>
        <v>133</v>
      </c>
      <c r="B4312" s="14" t="s">
        <v>5721</v>
      </c>
      <c r="C4312" s="85" t="str">
        <f ca="1">IFERROR(__xludf.DUMMYFUNCTION("GOOGLETRANSLATE(B4312:B4327,""RU"",""UK"")"),"Болт 30х90 (60) = 80шт")</f>
        <v>Болт 30х90 (60) = 80шт</v>
      </c>
      <c r="D4312" s="15" t="s">
        <v>130</v>
      </c>
      <c r="E4312" s="15">
        <v>50</v>
      </c>
      <c r="F4312" s="91" t="s">
        <v>338</v>
      </c>
      <c r="G4312" s="4"/>
      <c r="H4312" s="4"/>
      <c r="I4312" s="4"/>
    </row>
    <row r="4313" spans="1:9" ht="15">
      <c r="A4313" s="21">
        <f t="shared" si="79"/>
        <v>134</v>
      </c>
      <c r="B4313" s="14" t="s">
        <v>5722</v>
      </c>
      <c r="C4313" s="85" t="str">
        <f ca="1">IFERROR(__xludf.DUMMYFUNCTION("GOOGLETRANSLATE(B4313:B4328,""RU"",""UK"")"),"Гвинт внутр. шестигранник 6х16мм/6х50мм")</f>
        <v>Гвинт внутр. шестигранник 6х16мм/6х50мм</v>
      </c>
      <c r="D4313" s="15" t="s">
        <v>130</v>
      </c>
      <c r="E4313" s="15" t="s">
        <v>5723</v>
      </c>
      <c r="F4313" s="91" t="s">
        <v>136</v>
      </c>
      <c r="G4313" s="4"/>
      <c r="H4313" s="4"/>
      <c r="I4313" s="4"/>
    </row>
    <row r="4314" spans="1:9" ht="15">
      <c r="A4314" s="21">
        <f t="shared" si="79"/>
        <v>135</v>
      </c>
      <c r="B4314" s="14" t="s">
        <v>5724</v>
      </c>
      <c r="C4314" s="85" t="str">
        <f ca="1">IFERROR(__xludf.DUMMYFUNCTION("GOOGLETRANSLATE(B4314:B4329,""RU"",""UK"")"),"Гвинт внутр. шестигранник 8х30мм")</f>
        <v>Гвинт внутр. шестигранник 8х30мм</v>
      </c>
      <c r="D4314" s="15" t="s">
        <v>130</v>
      </c>
      <c r="E4314" s="15">
        <v>17</v>
      </c>
      <c r="F4314" s="91" t="s">
        <v>136</v>
      </c>
      <c r="G4314" s="4"/>
      <c r="H4314" s="4"/>
      <c r="I4314" s="4"/>
    </row>
    <row r="4315" spans="1:9" ht="15">
      <c r="A4315" s="21">
        <f t="shared" si="79"/>
        <v>136</v>
      </c>
      <c r="B4315" s="14" t="s">
        <v>5725</v>
      </c>
      <c r="C4315" s="85" t="str">
        <f ca="1">IFERROR(__xludf.DUMMYFUNCTION("GOOGLETRANSLATE(B4315:B4330,""RU"",""UK"")"),"Гвинт внутр. шестигранник 8х35мм")</f>
        <v>Гвинт внутр. шестигранник 8х35мм</v>
      </c>
      <c r="D4315" s="15" t="s">
        <v>130</v>
      </c>
      <c r="E4315" s="15" t="s">
        <v>5131</v>
      </c>
      <c r="F4315" s="91" t="s">
        <v>136</v>
      </c>
      <c r="G4315" s="4"/>
      <c r="H4315" s="4"/>
      <c r="I4315" s="4"/>
    </row>
    <row r="4316" spans="1:9" ht="15">
      <c r="A4316" s="21">
        <f t="shared" si="79"/>
        <v>137</v>
      </c>
      <c r="B4316" s="14" t="s">
        <v>5726</v>
      </c>
      <c r="C4316" s="85" t="str">
        <f ca="1">IFERROR(__xludf.DUMMYFUNCTION("GOOGLETRANSLATE(B4316:B4331,""RU"",""UK"")"),"Гвинт внутр. шестигранник 8х35мм оц")</f>
        <v>Гвинт внутр. шестигранник 8х35мм оц</v>
      </c>
      <c r="D4316" s="15" t="s">
        <v>130</v>
      </c>
      <c r="E4316" s="15" t="s">
        <v>5727</v>
      </c>
      <c r="F4316" s="91" t="s">
        <v>136</v>
      </c>
      <c r="G4316" s="4"/>
      <c r="H4316" s="4"/>
      <c r="I4316" s="4"/>
    </row>
    <row r="4317" spans="1:9" ht="15">
      <c r="A4317" s="21">
        <f t="shared" si="79"/>
        <v>138</v>
      </c>
      <c r="B4317" s="14" t="s">
        <v>5728</v>
      </c>
      <c r="C4317" s="85" t="str">
        <f ca="1">IFERROR(__xludf.DUMMYFUNCTION("GOOGLETRANSLATE(B4317:B4332,""RU"",""UK"")"),"Гвинт внутр. шестигранник 8х45мм")</f>
        <v>Гвинт внутр. шестигранник 8х45мм</v>
      </c>
      <c r="D4317" s="15" t="s">
        <v>130</v>
      </c>
      <c r="E4317" s="15">
        <v>20</v>
      </c>
      <c r="F4317" s="91" t="s">
        <v>136</v>
      </c>
      <c r="G4317" s="4"/>
      <c r="H4317" s="4"/>
      <c r="I4317" s="4"/>
    </row>
    <row r="4318" spans="1:9" ht="15">
      <c r="A4318" s="21">
        <f t="shared" si="79"/>
        <v>139</v>
      </c>
      <c r="B4318" s="14" t="s">
        <v>5729</v>
      </c>
      <c r="C4318" s="85" t="str">
        <f ca="1">IFERROR(__xludf.DUMMYFUNCTION("GOOGLETRANSLATE(B4318:B4333,""RU"",""UK"")"),"Гвинт внутр. шестигранник 8х50мм (30) / 8х70мм (25)")</f>
        <v>Гвинт внутр. шестигранник 8х50мм (30) / 8х70мм (25)</v>
      </c>
      <c r="D4318" s="15" t="s">
        <v>130</v>
      </c>
      <c r="E4318" s="15" t="s">
        <v>5730</v>
      </c>
      <c r="F4318" s="91" t="s">
        <v>136</v>
      </c>
      <c r="G4318" s="4"/>
      <c r="H4318" s="4"/>
      <c r="I4318" s="4"/>
    </row>
    <row r="4319" spans="1:9" ht="15">
      <c r="A4319" s="21">
        <f t="shared" si="79"/>
        <v>140</v>
      </c>
      <c r="B4319" s="14" t="s">
        <v>5731</v>
      </c>
      <c r="C4319" s="85" t="str">
        <f ca="1">IFERROR(__xludf.DUMMYFUNCTION("GOOGLETRANSLATE(B4319:B4334,""RU"",""UK"")"),"Гвинт внутр. шестигранник 8х80мм/8х90мм")</f>
        <v>Гвинт внутр. шестигранник 8х80мм/8х90мм</v>
      </c>
      <c r="D4319" s="15" t="s">
        <v>130</v>
      </c>
      <c r="E4319" s="15" t="s">
        <v>5732</v>
      </c>
      <c r="F4319" s="91" t="s">
        <v>136</v>
      </c>
      <c r="G4319" s="4"/>
      <c r="H4319" s="4"/>
      <c r="I4319" s="4"/>
    </row>
    <row r="4320" spans="1:9" ht="15">
      <c r="A4320" s="21">
        <f t="shared" si="79"/>
        <v>141</v>
      </c>
      <c r="B4320" s="14" t="s">
        <v>5733</v>
      </c>
      <c r="C4320" s="85" t="str">
        <f ca="1">IFERROR(__xludf.DUMMYFUNCTION("GOOGLETRANSLATE(B4320:B4335,""RU"",""UK"")"),"Гвинт внутр. шестигранник 10х16мм")</f>
        <v>Гвинт внутр. шестигранник 10х16мм</v>
      </c>
      <c r="D4320" s="15" t="s">
        <v>130</v>
      </c>
      <c r="E4320" s="15">
        <v>16</v>
      </c>
      <c r="F4320" s="91" t="s">
        <v>136</v>
      </c>
      <c r="G4320" s="4"/>
      <c r="H4320" s="4"/>
      <c r="I4320" s="4"/>
    </row>
    <row r="4321" spans="1:9" ht="15">
      <c r="A4321" s="21">
        <f t="shared" si="79"/>
        <v>142</v>
      </c>
      <c r="B4321" s="14" t="s">
        <v>5734</v>
      </c>
      <c r="C4321" s="85" t="str">
        <f ca="1">IFERROR(__xludf.DUMMYFUNCTION("GOOGLETRANSLATE(B4321:B4336,""RU"",""UK"")"),"Гвинт внутр. шестигранник 10х20мм / 10х35оц")</f>
        <v>Гвинт внутр. шестигранник 10х20мм / 10х35оц</v>
      </c>
      <c r="D4321" s="15" t="s">
        <v>130</v>
      </c>
      <c r="E4321" s="15" t="s">
        <v>5735</v>
      </c>
      <c r="F4321" s="91" t="s">
        <v>212</v>
      </c>
      <c r="G4321" s="4"/>
      <c r="H4321" s="4"/>
      <c r="I4321" s="4"/>
    </row>
    <row r="4322" spans="1:9" ht="15">
      <c r="A4322" s="21">
        <f t="shared" si="79"/>
        <v>143</v>
      </c>
      <c r="B4322" s="14" t="s">
        <v>5736</v>
      </c>
      <c r="C4322" s="85" t="str">
        <f ca="1">IFERROR(__xludf.DUMMYFUNCTION("GOOGLETRANSLATE(B4322:B4337,""RU"",""UK"")"),"Гвинт внутр. шестигранник 10х45мм (35)")</f>
        <v>Гвинт внутр. шестигранник 10х45мм (35)</v>
      </c>
      <c r="D4322" s="15" t="s">
        <v>130</v>
      </c>
      <c r="E4322" s="15" t="s">
        <v>5411</v>
      </c>
      <c r="F4322" s="91" t="s">
        <v>212</v>
      </c>
      <c r="G4322" s="4"/>
      <c r="H4322" s="4"/>
      <c r="I4322" s="4"/>
    </row>
    <row r="4323" spans="1:9" ht="15">
      <c r="A4323" s="21">
        <f t="shared" si="79"/>
        <v>144</v>
      </c>
      <c r="B4323" s="14" t="s">
        <v>5737</v>
      </c>
      <c r="C4323" s="85" t="str">
        <f ca="1">IFERROR(__xludf.DUMMYFUNCTION("GOOGLETRANSLATE(B4323:B4338,""RU"",""UK"")"),"Гвинт внутр. шестигранник 10х60мм (30)")</f>
        <v>Гвинт внутр. шестигранник 10х60мм (30)</v>
      </c>
      <c r="D4323" s="15" t="s">
        <v>130</v>
      </c>
      <c r="E4323" s="15">
        <v>53</v>
      </c>
      <c r="F4323" s="91" t="s">
        <v>212</v>
      </c>
      <c r="G4323" s="4"/>
      <c r="H4323" s="4"/>
      <c r="I4323" s="4"/>
    </row>
    <row r="4324" spans="1:9" ht="15">
      <c r="A4324" s="21">
        <f t="shared" si="79"/>
        <v>145</v>
      </c>
      <c r="B4324" s="14" t="s">
        <v>5738</v>
      </c>
      <c r="C4324" s="85" t="str">
        <f ca="1">IFERROR(__xludf.DUMMYFUNCTION("GOOGLETRANSLATE(B4324:B4339,""RU"",""UK"")"),"Гвинт внутр. шестигранник 10х80мм")</f>
        <v>Гвинт внутр. шестигранник 10х80мм</v>
      </c>
      <c r="D4324" s="15" t="s">
        <v>130</v>
      </c>
      <c r="E4324" s="15" t="s">
        <v>5739</v>
      </c>
      <c r="F4324" s="91" t="s">
        <v>212</v>
      </c>
      <c r="G4324" s="4"/>
      <c r="H4324" s="4"/>
      <c r="I4324" s="4"/>
    </row>
    <row r="4325" spans="1:9" ht="15">
      <c r="A4325" s="21">
        <f t="shared" si="79"/>
        <v>146</v>
      </c>
      <c r="B4325" s="14" t="s">
        <v>5740</v>
      </c>
      <c r="C4325" s="85" t="str">
        <f ca="1">IFERROR(__xludf.DUMMYFUNCTION("GOOGLETRANSLATE(B4325:B4340,""RU"",""UK"")"),"Гвинт внутр. шестигранник 12х20мм/12х25мм")</f>
        <v>Гвинт внутр. шестигранник 12х20мм/12х25мм</v>
      </c>
      <c r="D4325" s="15" t="s">
        <v>130</v>
      </c>
      <c r="E4325" s="15" t="s">
        <v>5741</v>
      </c>
      <c r="F4325" s="91" t="s">
        <v>212</v>
      </c>
      <c r="G4325" s="4"/>
      <c r="H4325" s="4"/>
      <c r="I4325" s="4"/>
    </row>
    <row r="4326" spans="1:9" ht="15">
      <c r="A4326" s="21">
        <f t="shared" si="79"/>
        <v>147</v>
      </c>
      <c r="B4326" s="14" t="s">
        <v>5742</v>
      </c>
      <c r="C4326" s="85" t="str">
        <f ca="1">IFERROR(__xludf.DUMMYFUNCTION("GOOGLETRANSLATE(B4326:B4341,""RU"",""UK"")"),"Гвинт внутр. шестигранник 12х30мм/12х40мм")</f>
        <v>Гвинт внутр. шестигранник 12х30мм/12х40мм</v>
      </c>
      <c r="D4326" s="15" t="s">
        <v>130</v>
      </c>
      <c r="E4326" s="15" t="s">
        <v>5743</v>
      </c>
      <c r="F4326" s="91" t="s">
        <v>212</v>
      </c>
      <c r="G4326" s="4"/>
      <c r="H4326" s="4"/>
      <c r="I4326" s="4"/>
    </row>
    <row r="4327" spans="1:9" ht="15">
      <c r="A4327" s="21">
        <f t="shared" si="79"/>
        <v>148</v>
      </c>
      <c r="B4327" s="14" t="s">
        <v>5744</v>
      </c>
      <c r="C4327" s="85" t="str">
        <f ca="1">IFERROR(__xludf.DUMMYFUNCTION("GOOGLETRANSLATE(B4327:B4342,""RU"",""UK"")"),"Гвинт внутр. шестигранник 12х50мм/12х55мм")</f>
        <v>Гвинт внутр. шестигранник 12х50мм/12х55мм</v>
      </c>
      <c r="D4327" s="15" t="s">
        <v>130</v>
      </c>
      <c r="E4327" s="15" t="s">
        <v>5745</v>
      </c>
      <c r="F4327" s="91" t="s">
        <v>212</v>
      </c>
      <c r="G4327" s="4"/>
      <c r="H4327" s="4"/>
      <c r="I4327" s="4"/>
    </row>
    <row r="4328" spans="1:9" ht="15">
      <c r="A4328" s="21">
        <f t="shared" si="79"/>
        <v>149</v>
      </c>
      <c r="B4328" s="14" t="s">
        <v>5746</v>
      </c>
      <c r="C4328" s="85" t="str">
        <f ca="1">IFERROR(__xludf.DUMMYFUNCTION("GOOGLETRANSLATE(B4328:B4343,""RU"",""UK"")"),"Гвинт внутр. шестигранник 12х60мм/12х65мм")</f>
        <v>Гвинт внутр. шестигранник 12х60мм/12х65мм</v>
      </c>
      <c r="D4328" s="15" t="s">
        <v>130</v>
      </c>
      <c r="E4328" s="15" t="s">
        <v>5747</v>
      </c>
      <c r="F4328" s="91" t="s">
        <v>212</v>
      </c>
      <c r="G4328" s="4"/>
      <c r="H4328" s="4"/>
      <c r="I4328" s="4"/>
    </row>
    <row r="4329" spans="1:9" ht="15">
      <c r="A4329" s="21">
        <f t="shared" si="79"/>
        <v>150</v>
      </c>
      <c r="B4329" s="14" t="s">
        <v>5748</v>
      </c>
      <c r="C4329" s="85" t="str">
        <f ca="1">IFERROR(__xludf.DUMMYFUNCTION("GOOGLETRANSLATE(B4329:B4344,""RU"",""UK"")"),"Гвинт внутр. шестигранник 12х80мм")</f>
        <v>Гвинт внутр. шестигранник 12х80мм</v>
      </c>
      <c r="D4329" s="15" t="s">
        <v>130</v>
      </c>
      <c r="E4329" s="15">
        <v>20</v>
      </c>
      <c r="F4329" s="91" t="s">
        <v>212</v>
      </c>
      <c r="G4329" s="4"/>
      <c r="H4329" s="4"/>
      <c r="I4329" s="4"/>
    </row>
    <row r="4330" spans="1:9" ht="15">
      <c r="A4330" s="21">
        <f t="shared" si="79"/>
        <v>151</v>
      </c>
      <c r="B4330" s="14" t="s">
        <v>5749</v>
      </c>
      <c r="C4330" s="85" t="str">
        <f ca="1">IFERROR(__xludf.DUMMYFUNCTION("GOOGLETRANSLATE(B4330:B4345,""RU"",""UK"")"),"Гвинт внутр. шестигранник 16х35мм/16х40мм")</f>
        <v>Гвинт внутр. шестигранник 16х35мм/16х40мм</v>
      </c>
      <c r="D4330" s="15" t="s">
        <v>130</v>
      </c>
      <c r="E4330" s="15" t="s">
        <v>4240</v>
      </c>
      <c r="F4330" s="91" t="s">
        <v>212</v>
      </c>
      <c r="G4330" s="4"/>
      <c r="H4330" s="4"/>
      <c r="I4330" s="4"/>
    </row>
    <row r="4331" spans="1:9" ht="15">
      <c r="A4331" s="21">
        <f t="shared" si="79"/>
        <v>152</v>
      </c>
      <c r="B4331" s="14" t="s">
        <v>5750</v>
      </c>
      <c r="C4331" s="85" t="str">
        <f ca="1">IFERROR(__xludf.DUMMYFUNCTION("GOOGLETRANSLATE(B4331:B4346,""RU"",""UK"")"),"Гвинт внутр. шестигранник 16х45мм/16х50мм")</f>
        <v>Гвинт внутр. шестигранник 16х45мм/16х50мм</v>
      </c>
      <c r="D4331" s="15" t="s">
        <v>130</v>
      </c>
      <c r="E4331" s="15" t="s">
        <v>5751</v>
      </c>
      <c r="F4331" s="91" t="s">
        <v>212</v>
      </c>
      <c r="G4331" s="4"/>
      <c r="H4331" s="4"/>
      <c r="I4331" s="4"/>
    </row>
    <row r="4332" spans="1:9" ht="15">
      <c r="A4332" s="21">
        <f t="shared" si="79"/>
        <v>153</v>
      </c>
      <c r="B4332" s="14" t="s">
        <v>5752</v>
      </c>
      <c r="C4332" s="85" t="str">
        <f ca="1">IFERROR(__xludf.DUMMYFUNCTION("GOOGLETRANSLATE(B4332:B4347,""RU"",""UK"")"),"Гвинт внутр. шестигранник 16х60мм/16х70мм")</f>
        <v>Гвинт внутр. шестигранник 16х60мм/16х70мм</v>
      </c>
      <c r="D4332" s="15" t="s">
        <v>130</v>
      </c>
      <c r="E4332" s="15" t="s">
        <v>5753</v>
      </c>
      <c r="F4332" s="91" t="s">
        <v>212</v>
      </c>
      <c r="G4332" s="4"/>
      <c r="H4332" s="4"/>
      <c r="I4332" s="4"/>
    </row>
    <row r="4333" spans="1:9" ht="15">
      <c r="A4333" s="21">
        <f t="shared" si="79"/>
        <v>154</v>
      </c>
      <c r="B4333" s="14" t="s">
        <v>5754</v>
      </c>
      <c r="C4333" s="85" t="str">
        <f ca="1">IFERROR(__xludf.DUMMYFUNCTION("GOOGLETRANSLATE(B4333:B4348,""RU"",""UK"")"),"Гвинт внутр. шестигранник 16х80мм/16х90мм")</f>
        <v>Гвинт внутр. шестигранник 16х80мм/16х90мм</v>
      </c>
      <c r="D4333" s="15" t="s">
        <v>130</v>
      </c>
      <c r="E4333" s="15" t="s">
        <v>5755</v>
      </c>
      <c r="F4333" s="91" t="s">
        <v>212</v>
      </c>
      <c r="G4333" s="4"/>
      <c r="H4333" s="4"/>
      <c r="I4333" s="4"/>
    </row>
    <row r="4334" spans="1:9" ht="15">
      <c r="A4334" s="21">
        <f t="shared" si="79"/>
        <v>155</v>
      </c>
      <c r="B4334" s="14" t="s">
        <v>5756</v>
      </c>
      <c r="C4334" s="85" t="str">
        <f ca="1">IFERROR(__xludf.DUMMYFUNCTION("GOOGLETRANSLATE(B4334:B4349,""RU"",""UK"")"),"Гвинт внутр. шестигранник 16х100мм/16х110 (з гол.120)мм")</f>
        <v>Гвинт внутр. шестигранник 16х100мм/16х110 (з гол.120)мм</v>
      </c>
      <c r="D4334" s="15" t="s">
        <v>130</v>
      </c>
      <c r="E4334" s="15" t="s">
        <v>5757</v>
      </c>
      <c r="F4334" s="91" t="s">
        <v>212</v>
      </c>
      <c r="G4334" s="4"/>
      <c r="H4334" s="4"/>
      <c r="I4334" s="4"/>
    </row>
    <row r="4335" spans="1:9" ht="15">
      <c r="A4335" s="21">
        <f t="shared" si="79"/>
        <v>156</v>
      </c>
      <c r="B4335" s="14" t="s">
        <v>5758</v>
      </c>
      <c r="C4335" s="85" t="str">
        <f ca="1">IFERROR(__xludf.DUMMYFUNCTION("GOOGLETRANSLATE(B4335:B4350,""RU"",""UK"")"),"Гвинт внутр. шестигранник 20х50мм/20х60мм")</f>
        <v>Гвинт внутр. шестигранник 20х50мм/20х60мм</v>
      </c>
      <c r="D4335" s="15" t="s">
        <v>130</v>
      </c>
      <c r="E4335" s="15" t="s">
        <v>5759</v>
      </c>
      <c r="F4335" s="91" t="s">
        <v>212</v>
      </c>
      <c r="G4335" s="4"/>
      <c r="H4335" s="4"/>
      <c r="I4335" s="4"/>
    </row>
    <row r="4336" spans="1:9" ht="15">
      <c r="A4336" s="21">
        <f t="shared" si="79"/>
        <v>157</v>
      </c>
      <c r="B4336" s="14" t="s">
        <v>5760</v>
      </c>
      <c r="C4336" s="85" t="str">
        <f ca="1">IFERROR(__xludf.DUMMYFUNCTION("GOOGLETRANSLATE(B4336:B4351,""RU"",""UK"")"),"Гвинт внутр. шестигранник 20х70мм/20х85мм")</f>
        <v>Гвинт внутр. шестигранник 20х70мм/20х85мм</v>
      </c>
      <c r="D4336" s="15" t="s">
        <v>130</v>
      </c>
      <c r="E4336" s="15" t="s">
        <v>743</v>
      </c>
      <c r="F4336" s="91" t="s">
        <v>212</v>
      </c>
      <c r="G4336" s="4"/>
      <c r="H4336" s="4"/>
      <c r="I4336" s="4"/>
    </row>
    <row r="4337" spans="1:9" ht="15">
      <c r="A4337" s="21">
        <f t="shared" si="79"/>
        <v>158</v>
      </c>
      <c r="B4337" s="14" t="s">
        <v>5761</v>
      </c>
      <c r="C4337" s="85" t="str">
        <f ca="1">IFERROR(__xludf.DUMMYFUNCTION("GOOGLETRANSLATE(B4337:B4352,""RU"",""UK"")"),"Гвинт внутр. шестигранник 20х90мм/20х130мм")</f>
        <v>Гвинт внутр. шестигранник 20х90мм/20х130мм</v>
      </c>
      <c r="D4337" s="15" t="s">
        <v>130</v>
      </c>
      <c r="E4337" s="15" t="s">
        <v>5762</v>
      </c>
      <c r="F4337" s="91" t="s">
        <v>212</v>
      </c>
      <c r="G4337" s="4"/>
      <c r="H4337" s="4"/>
      <c r="I4337" s="4"/>
    </row>
    <row r="4338" spans="1:9" ht="15">
      <c r="A4338" s="21">
        <f t="shared" si="79"/>
        <v>159</v>
      </c>
      <c r="B4338" s="14" t="s">
        <v>5763</v>
      </c>
      <c r="C4338" s="85" t="str">
        <f ca="1">IFERROR(__xludf.DUMMYFUNCTION("GOOGLETRANSLATE(B4338:B4353,""RU"",""UK"")"),"Гвинт внутр. шестигранник 20х140мм")</f>
        <v>Гвинт внутр. шестигранник 20х140мм</v>
      </c>
      <c r="D4338" s="15" t="s">
        <v>130</v>
      </c>
      <c r="E4338" s="15">
        <v>27</v>
      </c>
      <c r="F4338" s="91" t="s">
        <v>212</v>
      </c>
      <c r="G4338" s="4"/>
      <c r="H4338" s="4"/>
      <c r="I4338" s="4"/>
    </row>
    <row r="4339" spans="1:9" ht="15">
      <c r="A4339" s="21">
        <f t="shared" si="79"/>
        <v>160</v>
      </c>
      <c r="B4339" s="14" t="s">
        <v>5764</v>
      </c>
      <c r="C4339" s="85" t="str">
        <f ca="1">IFERROR(__xludf.DUMMYFUNCTION("GOOGLETRANSLATE(B4339:B4354,""RU"",""UK"")"),"Гвинт внутр. шестигранник 24х50мм/24х70мм")</f>
        <v>Гвинт внутр. шестигранник 24х50мм/24х70мм</v>
      </c>
      <c r="D4339" s="15" t="s">
        <v>130</v>
      </c>
      <c r="E4339" s="15" t="s">
        <v>5765</v>
      </c>
      <c r="F4339" s="91" t="s">
        <v>212</v>
      </c>
      <c r="G4339" s="4"/>
      <c r="H4339" s="4"/>
      <c r="I4339" s="4"/>
    </row>
    <row r="4340" spans="1:9" ht="15">
      <c r="A4340" s="21">
        <f t="shared" si="79"/>
        <v>161</v>
      </c>
      <c r="B4340" s="14" t="s">
        <v>5766</v>
      </c>
      <c r="C4340" s="85" t="str">
        <f ca="1">IFERROR(__xludf.DUMMYFUNCTION("GOOGLETRANSLATE(B4340:B4355,""RU"",""UK"")"),"Гвинт внутр. шестигранник 24х100мм/24х130мм")</f>
        <v>Гвинт внутр. шестигранник 24х100мм/24х130мм</v>
      </c>
      <c r="D4340" s="15" t="s">
        <v>130</v>
      </c>
      <c r="E4340" s="15" t="s">
        <v>1929</v>
      </c>
      <c r="F4340" s="91" t="s">
        <v>212</v>
      </c>
      <c r="G4340" s="4"/>
      <c r="H4340" s="4"/>
      <c r="I4340" s="4"/>
    </row>
    <row r="4341" spans="1:9" ht="15">
      <c r="A4341" s="21">
        <f t="shared" si="79"/>
        <v>162</v>
      </c>
      <c r="B4341" s="14" t="s">
        <v>5767</v>
      </c>
      <c r="C4341" s="85" t="str">
        <f ca="1">IFERROR(__xludf.DUMMYFUNCTION("GOOGLETRANSLATE(B4341:B4356,""RU"",""UK"")"),"Гвинт 3х8оц. гол.п/кругла")</f>
        <v>Гвинт 3х8оц. гол.п/кругла</v>
      </c>
      <c r="D4341" s="15" t="s">
        <v>130</v>
      </c>
      <c r="E4341" s="15" t="s">
        <v>5768</v>
      </c>
      <c r="F4341" s="91" t="s">
        <v>212</v>
      </c>
      <c r="G4341" s="4"/>
      <c r="H4341" s="4"/>
      <c r="I4341" s="4"/>
    </row>
    <row r="4342" spans="1:9" ht="15">
      <c r="A4342" s="21">
        <f t="shared" si="79"/>
        <v>163</v>
      </c>
      <c r="B4342" s="14" t="s">
        <v>5769</v>
      </c>
      <c r="C4342" s="85" t="str">
        <f ca="1">IFERROR(__xludf.DUMMYFUNCTION("GOOGLETRANSLATE(B4342:B4357,""RU"",""UK"")"),"Гвинт 4х20 (гол.потай)")</f>
        <v>Гвинт 4х20 (гол.потай)</v>
      </c>
      <c r="D4342" s="15" t="s">
        <v>130</v>
      </c>
      <c r="E4342" s="15" t="s">
        <v>5770</v>
      </c>
      <c r="F4342" s="91" t="s">
        <v>212</v>
      </c>
      <c r="G4342" s="4"/>
      <c r="H4342" s="4"/>
      <c r="I4342" s="4"/>
    </row>
    <row r="4343" spans="1:9" ht="15">
      <c r="A4343" s="21">
        <f t="shared" si="79"/>
        <v>164</v>
      </c>
      <c r="B4343" s="14" t="s">
        <v>5771</v>
      </c>
      <c r="C4343" s="85" t="str">
        <f ca="1">IFERROR(__xludf.DUMMYFUNCTION("GOOGLETRANSLATE(B4343:B4358,""RU"",""UK"")"),"Гвинт 4х8оц. / 4х12оц. (гол.п/кругла)")</f>
        <v>Гвинт 4х8оц. / 4х12оц. (гол.п/кругла)</v>
      </c>
      <c r="D4343" s="15" t="s">
        <v>130</v>
      </c>
      <c r="E4343" s="15" t="s">
        <v>5772</v>
      </c>
      <c r="F4343" s="91" t="s">
        <v>212</v>
      </c>
      <c r="G4343" s="4"/>
      <c r="H4343" s="4"/>
      <c r="I4343" s="4"/>
    </row>
    <row r="4344" spans="1:9" ht="15">
      <c r="A4344" s="21">
        <f t="shared" si="79"/>
        <v>165</v>
      </c>
      <c r="B4344" s="14" t="s">
        <v>5773</v>
      </c>
      <c r="C4344" s="85" t="str">
        <f ca="1">IFERROR(__xludf.DUMMYFUNCTION("GOOGLETRANSLATE(B4344:B4359,""RU"",""UK"")"),"Гвинт 4х10/4х12 (гол.п/кругла)")</f>
        <v>Гвинт 4х10/4х12 (гол.п/кругла)</v>
      </c>
      <c r="D4344" s="15" t="s">
        <v>130</v>
      </c>
      <c r="E4344" s="15" t="s">
        <v>5774</v>
      </c>
      <c r="F4344" s="91" t="s">
        <v>212</v>
      </c>
      <c r="G4344" s="4"/>
      <c r="H4344" s="4"/>
      <c r="I4344" s="4"/>
    </row>
    <row r="4345" spans="1:9" ht="15">
      <c r="A4345" s="21">
        <f t="shared" si="79"/>
        <v>166</v>
      </c>
      <c r="B4345" s="14" t="s">
        <v>5775</v>
      </c>
      <c r="C4345" s="85" t="str">
        <f ca="1">IFERROR(__xludf.DUMMYFUNCTION("GOOGLETRANSLATE(B4345:B4360,""RU"",""UK"")"),"Гвинт 4х25 (гол.п/кругла)")</f>
        <v>Гвинт 4х25 (гол.п/кругла)</v>
      </c>
      <c r="D4345" s="15" t="s">
        <v>130</v>
      </c>
      <c r="E4345" s="15" t="s">
        <v>5709</v>
      </c>
      <c r="F4345" s="91" t="s">
        <v>212</v>
      </c>
      <c r="G4345" s="4"/>
      <c r="H4345" s="4"/>
      <c r="I4345" s="4"/>
    </row>
    <row r="4346" spans="1:9" ht="15">
      <c r="A4346" s="21">
        <f t="shared" si="79"/>
        <v>167</v>
      </c>
      <c r="B4346" s="14" t="s">
        <v>5776</v>
      </c>
      <c r="C4346" s="85" t="str">
        <f ca="1">IFERROR(__xludf.DUMMYFUNCTION("GOOGLETRANSLATE(B4346:B4361,""RU"",""UK"")"),"Гвинт 5х12оц. (потай)")</f>
        <v>Гвинт 5х12оц. (потай)</v>
      </c>
      <c r="D4346" s="15" t="s">
        <v>130</v>
      </c>
      <c r="E4346" s="15" t="s">
        <v>5777</v>
      </c>
      <c r="F4346" s="91" t="s">
        <v>27</v>
      </c>
      <c r="G4346" s="4"/>
      <c r="H4346" s="4"/>
      <c r="I4346" s="4"/>
    </row>
    <row r="4347" spans="1:9" ht="15">
      <c r="A4347" s="21">
        <f t="shared" si="79"/>
        <v>168</v>
      </c>
      <c r="B4347" s="14" t="s">
        <v>5778</v>
      </c>
      <c r="C4347" s="85" t="str">
        <f ca="1">IFERROR(__xludf.DUMMYFUNCTION("GOOGLETRANSLATE(B4347:B4362,""RU"",""UK"")"),"Гвинт 5х8/5х10 (гол.п/кругла)")</f>
        <v>Гвинт 5х8/5х10 (гол.п/кругла)</v>
      </c>
      <c r="D4347" s="15" t="s">
        <v>130</v>
      </c>
      <c r="E4347" s="15" t="s">
        <v>5779</v>
      </c>
      <c r="F4347" s="91" t="s">
        <v>212</v>
      </c>
      <c r="G4347" s="4"/>
      <c r="H4347" s="4"/>
      <c r="I4347" s="4"/>
    </row>
    <row r="4348" spans="1:9" ht="15">
      <c r="A4348" s="21">
        <f t="shared" si="79"/>
        <v>169</v>
      </c>
      <c r="B4348" s="14" t="s">
        <v>5780</v>
      </c>
      <c r="C4348" s="85" t="str">
        <f ca="1">IFERROR(__xludf.DUMMYFUNCTION("GOOGLETRANSLATE(B4348:B4363,""RU"",""UK"")"),"Гвинт 5х30(15) оцін.(гол.п/кругла)")</f>
        <v>Гвинт 5х30(15) оцін.(гол.п/кругла)</v>
      </c>
      <c r="D4348" s="15" t="s">
        <v>130</v>
      </c>
      <c r="E4348" s="15" t="s">
        <v>5709</v>
      </c>
      <c r="F4348" s="91" t="s">
        <v>212</v>
      </c>
      <c r="G4348" s="4"/>
      <c r="H4348" s="4"/>
      <c r="I4348" s="4"/>
    </row>
    <row r="4349" spans="1:9" ht="15">
      <c r="A4349" s="21">
        <f t="shared" si="79"/>
        <v>170</v>
      </c>
      <c r="B4349" s="14" t="s">
        <v>5781</v>
      </c>
      <c r="C4349" s="85" t="str">
        <f ca="1">IFERROR(__xludf.DUMMYFUNCTION("GOOGLETRANSLATE(B4349:B4364,""RU"",""UK"")"),"Гвинт 5х30 (15) / 5х35 / 5х40 (гол.п/кругла)")</f>
        <v>Гвинт 5х30 (15) / 5х35 / 5х40 (гол.п/кругла)</v>
      </c>
      <c r="D4349" s="15" t="s">
        <v>130</v>
      </c>
      <c r="E4349" s="15" t="s">
        <v>5782</v>
      </c>
      <c r="F4349" s="91" t="s">
        <v>212</v>
      </c>
      <c r="G4349" s="4"/>
      <c r="H4349" s="4"/>
      <c r="I4349" s="4"/>
    </row>
    <row r="4350" spans="1:9" ht="15">
      <c r="A4350" s="21">
        <f t="shared" si="79"/>
        <v>171</v>
      </c>
      <c r="B4350" s="14" t="s">
        <v>5783</v>
      </c>
      <c r="C4350" s="85" t="str">
        <f ca="1">IFERROR(__xludf.DUMMYFUNCTION("GOOGLETRANSLATE(B4350:B4365,""RU"",""UK"")"),"Гвинт 6х10/6х16оц (гол.п/кругла)")</f>
        <v>Гвинт 6х10/6х16оц (гол.п/кругла)</v>
      </c>
      <c r="D4350" s="15" t="s">
        <v>130</v>
      </c>
      <c r="E4350" s="15" t="s">
        <v>5784</v>
      </c>
      <c r="F4350" s="91" t="s">
        <v>212</v>
      </c>
      <c r="G4350" s="4"/>
      <c r="H4350" s="4"/>
      <c r="I4350" s="4"/>
    </row>
    <row r="4351" spans="1:9" ht="15">
      <c r="A4351" s="21">
        <f t="shared" si="79"/>
        <v>172</v>
      </c>
      <c r="B4351" s="14" t="s">
        <v>5785</v>
      </c>
      <c r="C4351" s="85" t="str">
        <f ca="1">IFERROR(__xludf.DUMMYFUNCTION("GOOGLETRANSLATE(B4351:B4366,""RU"",""UK"")"),"Гвинт 6х20/6х30 (20) (гол.п/кругла)")</f>
        <v>Гвинт 6х20/6х30 (20) (гол.п/кругла)</v>
      </c>
      <c r="D4351" s="15" t="s">
        <v>130</v>
      </c>
      <c r="E4351" s="15" t="s">
        <v>5786</v>
      </c>
      <c r="F4351" s="91" t="s">
        <v>212</v>
      </c>
      <c r="G4351" s="4"/>
      <c r="H4351" s="4"/>
      <c r="I4351" s="4"/>
    </row>
    <row r="4352" spans="1:9" ht="15">
      <c r="A4352" s="21">
        <f t="shared" si="79"/>
        <v>173</v>
      </c>
      <c r="B4352" s="14" t="s">
        <v>5787</v>
      </c>
      <c r="C4352" s="85" t="str">
        <f ca="1">IFERROR(__xludf.DUMMYFUNCTION("GOOGLETRANSLATE(B4352:B4367,""RU"",""UK"")"),"Гвинт 6х16/6х35/6х45 (гол.потай)")</f>
        <v>Гвинт 6х16/6х35/6х45 (гол.потай)</v>
      </c>
      <c r="D4352" s="15" t="s">
        <v>130</v>
      </c>
      <c r="E4352" s="15" t="s">
        <v>5788</v>
      </c>
      <c r="F4352" s="91" t="s">
        <v>212</v>
      </c>
      <c r="G4352" s="4"/>
      <c r="H4352" s="4"/>
      <c r="I4352" s="4"/>
    </row>
    <row r="4353" spans="1:9" ht="15">
      <c r="A4353" s="21">
        <f t="shared" si="79"/>
        <v>174</v>
      </c>
      <c r="B4353" s="14" t="s">
        <v>5789</v>
      </c>
      <c r="C4353" s="85" t="str">
        <f ca="1">IFERROR(__xludf.DUMMYFUNCTION("GOOGLETRANSLATE(B4353:B4368,""RU"",""UK"")"),"Гвинт 8х40 (гол.п/кругла)")</f>
        <v>Гвинт 8х40 (гол.п/кругла)</v>
      </c>
      <c r="D4353" s="15" t="s">
        <v>130</v>
      </c>
      <c r="E4353" s="15">
        <v>12</v>
      </c>
      <c r="F4353" s="91" t="s">
        <v>212</v>
      </c>
      <c r="G4353" s="4"/>
      <c r="H4353" s="4"/>
      <c r="I4353" s="4"/>
    </row>
    <row r="4354" spans="1:9" ht="15">
      <c r="A4354" s="21">
        <f t="shared" si="79"/>
        <v>175</v>
      </c>
      <c r="B4354" s="14" t="s">
        <v>5790</v>
      </c>
      <c r="C4354" s="85" t="str">
        <f ca="1">IFERROR(__xludf.DUMMYFUNCTION("GOOGLETRANSLATE(B4354:B4369,""RU"",""UK"")"),"Гвинт 8х25/8х30/10х25 (потай)")</f>
        <v>Гвинт 8х25/8х30/10х25 (потай)</v>
      </c>
      <c r="D4354" s="15" t="s">
        <v>130</v>
      </c>
      <c r="E4354" s="15" t="s">
        <v>5791</v>
      </c>
      <c r="F4354" s="91" t="s">
        <v>212</v>
      </c>
      <c r="G4354" s="4"/>
      <c r="H4354" s="4"/>
      <c r="I4354" s="4"/>
    </row>
    <row r="4355" spans="1:9" ht="15">
      <c r="A4355" s="21">
        <f t="shared" si="79"/>
        <v>176</v>
      </c>
      <c r="B4355" s="14" t="s">
        <v>5792</v>
      </c>
      <c r="C4355" s="85" t="str">
        <f ca="1">IFERROR(__xludf.DUMMYFUNCTION("GOOGLETRANSLATE(B4355:B4370,""RU"",""UK"")"),"РИМ болт оцін. М10/М12/М16")</f>
        <v>РИМ болт оцін. М10/М12/М16</v>
      </c>
      <c r="D4355" s="15" t="s">
        <v>6</v>
      </c>
      <c r="E4355" s="15" t="s">
        <v>3210</v>
      </c>
      <c r="F4355" s="91" t="s">
        <v>212</v>
      </c>
      <c r="G4355" s="4"/>
      <c r="H4355" s="4"/>
      <c r="I4355" s="4"/>
    </row>
    <row r="4356" spans="1:9" ht="15">
      <c r="A4356" s="21">
        <f t="shared" si="79"/>
        <v>177</v>
      </c>
      <c r="B4356" s="19" t="s">
        <v>5793</v>
      </c>
      <c r="C4356" s="85" t="str">
        <f ca="1">IFERROR(__xludf.DUMMYFUNCTION("GOOGLETRANSLATE(B4356:B4371,""RU"",""UK"")"),"Шпилька оцін. (стрижень метричний) 6х1000")</f>
        <v>Шпилька оцін. (стрижень метричний) 6х1000</v>
      </c>
      <c r="D4356" s="15" t="s">
        <v>6</v>
      </c>
      <c r="E4356" s="15">
        <v>0</v>
      </c>
      <c r="F4356" s="91" t="s">
        <v>290</v>
      </c>
      <c r="G4356" s="4"/>
      <c r="H4356" s="4"/>
      <c r="I4356" s="4"/>
    </row>
    <row r="4357" spans="1:9" ht="15">
      <c r="A4357" s="21">
        <f t="shared" si="79"/>
        <v>178</v>
      </c>
      <c r="B4357" s="19" t="s">
        <v>5794</v>
      </c>
      <c r="C4357" s="85" t="str">
        <f ca="1">IFERROR(__xludf.DUMMYFUNCTION("GOOGLETRANSLATE(B4357:B4372,""RU"",""UK"")"),"Шпилька оцін. (стрижень метричний) 8х1000")</f>
        <v>Шпилька оцін. (стрижень метричний) 8х1000</v>
      </c>
      <c r="D4357" s="15" t="s">
        <v>6</v>
      </c>
      <c r="E4357" s="59"/>
      <c r="F4357" s="91" t="s">
        <v>366</v>
      </c>
      <c r="G4357" s="4"/>
      <c r="H4357" s="4"/>
      <c r="I4357" s="4"/>
    </row>
    <row r="4358" spans="1:9" ht="15">
      <c r="A4358" s="21">
        <f t="shared" si="79"/>
        <v>179</v>
      </c>
      <c r="B4358" s="19" t="s">
        <v>5795</v>
      </c>
      <c r="C4358" s="85" t="str">
        <f ca="1">IFERROR(__xludf.DUMMYFUNCTION("GOOGLETRANSLATE(B4358:B4373,""RU"",""UK"")"),"Шпилька оцін. (стрижень метричний) 10х1000")</f>
        <v>Шпилька оцін. (стрижень метричний) 10х1000</v>
      </c>
      <c r="D4358" s="15" t="s">
        <v>6</v>
      </c>
      <c r="E4358" s="59"/>
      <c r="F4358" s="91" t="s">
        <v>169</v>
      </c>
      <c r="G4358" s="4"/>
      <c r="H4358" s="4"/>
      <c r="I4358" s="4"/>
    </row>
    <row r="4359" spans="1:9" ht="15">
      <c r="A4359" s="21">
        <f t="shared" si="79"/>
        <v>180</v>
      </c>
      <c r="B4359" s="14" t="s">
        <v>5796</v>
      </c>
      <c r="C4359" s="85" t="str">
        <f ca="1">IFERROR(__xludf.DUMMYFUNCTION("GOOGLETRANSLATE(B4359:B4374,""RU"",""UK"")"),"Шпилька оцін. 10х90")</f>
        <v>Шпилька оцін. 10х90</v>
      </c>
      <c r="D4359" s="15" t="s">
        <v>130</v>
      </c>
      <c r="E4359" s="15">
        <v>20</v>
      </c>
      <c r="F4359" s="91" t="s">
        <v>255</v>
      </c>
      <c r="G4359" s="4"/>
      <c r="H4359" s="4"/>
      <c r="I4359" s="4"/>
    </row>
    <row r="4360" spans="1:9" ht="15">
      <c r="A4360" s="21">
        <f t="shared" si="79"/>
        <v>181</v>
      </c>
      <c r="B4360" s="19" t="s">
        <v>5797</v>
      </c>
      <c r="C4360" s="85" t="str">
        <f ca="1">IFERROR(__xludf.DUMMYFUNCTION("GOOGLETRANSLATE(B4360:B4375,""RU"",""UK"")"),"Шпилька оцін. (стрижень метричний) 12х1000")</f>
        <v>Шпилька оцін. (стрижень метричний) 12х1000</v>
      </c>
      <c r="D4360" s="15" t="s">
        <v>6</v>
      </c>
      <c r="E4360" s="15">
        <v>0</v>
      </c>
      <c r="F4360" s="91" t="s">
        <v>209</v>
      </c>
      <c r="G4360" s="4"/>
      <c r="H4360" s="4"/>
      <c r="I4360" s="4"/>
    </row>
    <row r="4361" spans="1:9" ht="15">
      <c r="A4361" s="21">
        <f t="shared" si="79"/>
        <v>182</v>
      </c>
      <c r="B4361" s="14" t="s">
        <v>5798</v>
      </c>
      <c r="C4361" s="85" t="str">
        <f ca="1">IFERROR(__xludf.DUMMYFUNCTION("GOOGLETRANSLATE(B4361:B4376,""RU"",""UK"")"),"Шпилька бронзова 12х100")</f>
        <v>Шпилька бронзова 12х100</v>
      </c>
      <c r="D4361" s="15" t="s">
        <v>130</v>
      </c>
      <c r="E4361" s="15" t="s">
        <v>5295</v>
      </c>
      <c r="F4361" s="91" t="s">
        <v>24</v>
      </c>
      <c r="G4361" s="4"/>
      <c r="H4361" s="4"/>
      <c r="I4361" s="4"/>
    </row>
    <row r="4362" spans="1:9" ht="15">
      <c r="A4362" s="21">
        <f t="shared" si="79"/>
        <v>183</v>
      </c>
      <c r="B4362" s="14" t="s">
        <v>5799</v>
      </c>
      <c r="C4362" s="85" t="str">
        <f ca="1">IFERROR(__xludf.DUMMYFUNCTION("GOOGLETRANSLATE(B4362:B4377,""RU"",""UK"")"),"Шпилька оцін. (стрижень метричний) 22х1000")</f>
        <v>Шпилька оцін. (стрижень метричний) 22х1000</v>
      </c>
      <c r="D4362" s="15" t="s">
        <v>6</v>
      </c>
      <c r="E4362" s="15">
        <v>4</v>
      </c>
      <c r="F4362" s="91" t="s">
        <v>140</v>
      </c>
      <c r="G4362" s="4"/>
      <c r="H4362" s="4"/>
      <c r="I4362" s="4"/>
    </row>
    <row r="4363" spans="1:9" ht="15">
      <c r="A4363" s="21">
        <f t="shared" si="79"/>
        <v>184</v>
      </c>
      <c r="B4363" s="14" t="s">
        <v>5800</v>
      </c>
      <c r="C4363" s="85" t="str">
        <f ca="1">IFERROR(__xludf.DUMMYFUNCTION("GOOGLETRANSLATE(B4363:B4378,""RU"",""UK"")"),"Шпилька чорна. 24х110 / 36х200 = 7шт")</f>
        <v>Шпилька чорна. 24х110 / 36х200 = 7шт</v>
      </c>
      <c r="D4363" s="15" t="s">
        <v>130</v>
      </c>
      <c r="E4363" s="15" t="s">
        <v>5801</v>
      </c>
      <c r="F4363" s="91" t="s">
        <v>104</v>
      </c>
      <c r="G4363" s="4"/>
      <c r="H4363" s="4"/>
      <c r="I4363" s="4"/>
    </row>
    <row r="4364" spans="1:9" ht="15">
      <c r="A4364" s="21">
        <f t="shared" si="79"/>
        <v>185</v>
      </c>
      <c r="B4364" s="14" t="s">
        <v>5802</v>
      </c>
      <c r="C4364" s="85" t="str">
        <f ca="1">IFERROR(__xludf.DUMMYFUNCTION("GOOGLETRANSLATE(B4364:B4379,""RU"",""UK"")"),"Шплінт 1,6х16")</f>
        <v>Шплінт 1,6х16</v>
      </c>
      <c r="D4364" s="15" t="s">
        <v>130</v>
      </c>
      <c r="E4364" s="15" t="s">
        <v>5287</v>
      </c>
      <c r="F4364" s="91" t="s">
        <v>136</v>
      </c>
      <c r="G4364" s="4"/>
      <c r="H4364" s="4"/>
      <c r="I4364" s="4"/>
    </row>
    <row r="4365" spans="1:9" ht="15">
      <c r="A4365" s="21">
        <f t="shared" si="79"/>
        <v>186</v>
      </c>
      <c r="B4365" s="14" t="s">
        <v>5803</v>
      </c>
      <c r="C4365" s="85" t="str">
        <f ca="1">IFERROR(__xludf.DUMMYFUNCTION("GOOGLETRANSLATE(B4365:B4380,""RU"",""UK"")"),"Шплінт 2х20оц")</f>
        <v>Шплінт 2х20оц</v>
      </c>
      <c r="D4365" s="15" t="s">
        <v>6</v>
      </c>
      <c r="E4365" s="15">
        <v>1000</v>
      </c>
      <c r="F4365" s="91" t="s">
        <v>5804</v>
      </c>
      <c r="G4365" s="4"/>
      <c r="H4365" s="4"/>
      <c r="I4365" s="4"/>
    </row>
    <row r="4366" spans="1:9" ht="15">
      <c r="A4366" s="21">
        <f t="shared" si="79"/>
        <v>187</v>
      </c>
      <c r="B4366" s="14" t="s">
        <v>5805</v>
      </c>
      <c r="C4366" s="85" t="str">
        <f ca="1">IFERROR(__xludf.DUMMYFUNCTION("GOOGLETRANSLATE(B4366:B4381,""RU"",""UK"")"),"Шплінт 3х25")</f>
        <v>Шплінт 3х25</v>
      </c>
      <c r="D4366" s="15" t="s">
        <v>6</v>
      </c>
      <c r="E4366" s="15" t="s">
        <v>5806</v>
      </c>
      <c r="F4366" s="91" t="s">
        <v>212</v>
      </c>
      <c r="G4366" s="4"/>
      <c r="H4366" s="4"/>
      <c r="I4366" s="4"/>
    </row>
    <row r="4367" spans="1:9" ht="15">
      <c r="A4367" s="21">
        <f t="shared" si="79"/>
        <v>188</v>
      </c>
      <c r="B4367" s="14" t="s">
        <v>5807</v>
      </c>
      <c r="C4367" s="85" t="str">
        <f ca="1">IFERROR(__xludf.DUMMYFUNCTION("GOOGLETRANSLATE(B4367:B4382,""RU"",""UK"")"),"Шплінти в асортименті")</f>
        <v>Шплінти в асортименті</v>
      </c>
      <c r="D4367" s="15" t="s">
        <v>130</v>
      </c>
      <c r="E4367" s="15">
        <v>14</v>
      </c>
      <c r="F4367" s="91" t="s">
        <v>212</v>
      </c>
      <c r="G4367" s="4"/>
      <c r="H4367" s="4"/>
      <c r="I4367" s="4"/>
    </row>
    <row r="4368" spans="1:9" ht="15">
      <c r="A4368" s="21">
        <f t="shared" si="79"/>
        <v>189</v>
      </c>
      <c r="B4368" s="14" t="s">
        <v>5808</v>
      </c>
      <c r="C4368" s="85" t="str">
        <f ca="1">IFERROR(__xludf.DUMMYFUNCTION("GOOGLETRANSLATE(B4368:B4383,""RU"",""UK"")"),"Шпонковий квадрат 4х4мм")</f>
        <v>Шпонковий квадрат 4х4мм</v>
      </c>
      <c r="D4368" s="15" t="s">
        <v>130</v>
      </c>
      <c r="E4368" s="15">
        <v>12</v>
      </c>
      <c r="F4368" s="91" t="s">
        <v>220</v>
      </c>
      <c r="G4368" s="4"/>
      <c r="H4368" s="4"/>
      <c r="I4368" s="4"/>
    </row>
    <row r="4369" spans="1:9" ht="15">
      <c r="A4369" s="21">
        <f t="shared" si="79"/>
        <v>190</v>
      </c>
      <c r="B4369" s="14" t="s">
        <v>5809</v>
      </c>
      <c r="C4369" s="85" t="str">
        <f ca="1">IFERROR(__xludf.DUMMYFUNCTION("GOOGLETRANSLATE(B4369:B4384,""RU"",""UK"")"),"Шпонковий квадрат 5х5мм")</f>
        <v>Шпонковий квадрат 5х5мм</v>
      </c>
      <c r="D4369" s="15" t="s">
        <v>130</v>
      </c>
      <c r="E4369" s="15">
        <v>21</v>
      </c>
      <c r="F4369" s="91" t="s">
        <v>220</v>
      </c>
      <c r="G4369" s="4"/>
      <c r="H4369" s="4"/>
      <c r="I4369" s="4"/>
    </row>
    <row r="4370" spans="1:9" ht="15">
      <c r="A4370" s="21">
        <f t="shared" si="79"/>
        <v>191</v>
      </c>
      <c r="B4370" s="14" t="s">
        <v>5810</v>
      </c>
      <c r="C4370" s="85" t="str">
        <f ca="1">IFERROR(__xludf.DUMMYFUNCTION("GOOGLETRANSLATE(B4370:B4385,""RU"",""UK"")"),"Шпонковий квадрат 6х6мм")</f>
        <v>Шпонковий квадрат 6х6мм</v>
      </c>
      <c r="D4370" s="15" t="s">
        <v>130</v>
      </c>
      <c r="E4370" s="15" t="s">
        <v>5811</v>
      </c>
      <c r="F4370" s="91" t="s">
        <v>220</v>
      </c>
      <c r="G4370" s="4"/>
      <c r="H4370" s="4"/>
      <c r="I4370" s="4"/>
    </row>
    <row r="4371" spans="1:9" ht="15">
      <c r="A4371" s="21">
        <f t="shared" si="79"/>
        <v>192</v>
      </c>
      <c r="B4371" s="14" t="s">
        <v>5812</v>
      </c>
      <c r="C4371" s="85" t="str">
        <f ca="1">IFERROR(__xludf.DUMMYFUNCTION("GOOGLETRANSLATE(B4371:B4386,""RU"",""UK"")"),"Шпонковий квадрат 8х8мм")</f>
        <v>Шпонковий квадрат 8х8мм</v>
      </c>
      <c r="D4371" s="15" t="s">
        <v>130</v>
      </c>
      <c r="E4371" s="15" t="s">
        <v>5813</v>
      </c>
      <c r="F4371" s="91" t="s">
        <v>220</v>
      </c>
      <c r="G4371" s="4"/>
      <c r="H4371" s="4"/>
      <c r="I4371" s="4"/>
    </row>
    <row r="4372" spans="1:9" ht="15">
      <c r="A4372" s="21">
        <f t="shared" si="79"/>
        <v>193</v>
      </c>
      <c r="B4372" s="14" t="s">
        <v>5814</v>
      </c>
      <c r="C4372" s="85" t="str">
        <f ca="1">IFERROR(__xludf.DUMMYFUNCTION("GOOGLETRANSLATE(B4372:B4387,""RU"",""UK"")"),"Шпонковий маткріал 10х8, ст. 45")</f>
        <v>Шпонковий маткріал 10х8, ст. 45</v>
      </c>
      <c r="D4372" s="15" t="s">
        <v>634</v>
      </c>
      <c r="E4372" s="15">
        <v>2</v>
      </c>
      <c r="F4372" s="91" t="s">
        <v>2437</v>
      </c>
      <c r="G4372" s="4"/>
      <c r="H4372" s="4"/>
      <c r="I4372" s="4"/>
    </row>
    <row r="4373" spans="1:9" ht="15">
      <c r="A4373" s="21">
        <f t="shared" si="79"/>
        <v>194</v>
      </c>
      <c r="B4373" s="14" t="s">
        <v>5815</v>
      </c>
      <c r="C4373" s="85" t="str">
        <f ca="1">IFERROR(__xludf.DUMMYFUNCTION("GOOGLETRANSLATE(B4373:B4388,""RU"",""UK"")"),"Шпонковий маткріал 12х10, ст. 45")</f>
        <v>Шпонковий маткріал 12х10, ст. 45</v>
      </c>
      <c r="D4373" s="15" t="s">
        <v>634</v>
      </c>
      <c r="E4373" s="15">
        <v>2</v>
      </c>
      <c r="F4373" s="91" t="s">
        <v>5816</v>
      </c>
      <c r="G4373" s="4"/>
      <c r="H4373" s="4"/>
      <c r="I4373" s="4"/>
    </row>
    <row r="4374" spans="1:9" ht="15">
      <c r="A4374" s="21">
        <f t="shared" ref="A4374:A4387" si="80">A4373+1</f>
        <v>195</v>
      </c>
      <c r="B4374" s="14" t="s">
        <v>5817</v>
      </c>
      <c r="C4374" s="85" t="str">
        <f ca="1">IFERROR(__xludf.DUMMYFUNCTION("GOOGLETRANSLATE(B4374:B4389,""RU"",""UK"")"),"Шпонковий маткріал 14х9, ст. 45")</f>
        <v>Шпонковий маткріал 14х9, ст. 45</v>
      </c>
      <c r="D4374" s="15" t="s">
        <v>634</v>
      </c>
      <c r="E4374" s="15" t="s">
        <v>5818</v>
      </c>
      <c r="F4374" s="91" t="s">
        <v>140</v>
      </c>
      <c r="G4374" s="4"/>
      <c r="H4374" s="4"/>
      <c r="I4374" s="4"/>
    </row>
    <row r="4375" spans="1:9" ht="15">
      <c r="A4375" s="21">
        <f t="shared" si="80"/>
        <v>196</v>
      </c>
      <c r="B4375" s="14" t="s">
        <v>5819</v>
      </c>
      <c r="C4375" s="85" t="str">
        <f ca="1">IFERROR(__xludf.DUMMYFUNCTION("GOOGLETRANSLATE(B4375:B4390,""RU"",""UK"")"),"Заклепка алюм. потай 4х15мм")</f>
        <v>Заклепка алюм. потай 4х15мм</v>
      </c>
      <c r="D4375" s="15" t="s">
        <v>130</v>
      </c>
      <c r="E4375" s="15" t="s">
        <v>5820</v>
      </c>
      <c r="F4375" s="91" t="s">
        <v>106</v>
      </c>
      <c r="G4375" s="4"/>
      <c r="H4375" s="4"/>
      <c r="I4375" s="4"/>
    </row>
    <row r="4376" spans="1:9" ht="15">
      <c r="A4376" s="21">
        <f t="shared" si="80"/>
        <v>197</v>
      </c>
      <c r="B4376" s="14" t="s">
        <v>5821</v>
      </c>
      <c r="C4376" s="85" t="str">
        <f ca="1">IFERROR(__xludf.DUMMYFUNCTION("GOOGLETRANSLATE(B4376:B4391,""RU"",""UK"")"),"Заклепування оцін. 5х45мм")</f>
        <v>Заклепування оцін. 5х45мм</v>
      </c>
      <c r="D4376" s="15" t="s">
        <v>130</v>
      </c>
      <c r="E4376" s="15">
        <v>3</v>
      </c>
      <c r="F4376" s="91" t="s">
        <v>212</v>
      </c>
      <c r="G4376" s="4"/>
      <c r="H4376" s="4"/>
      <c r="I4376" s="4"/>
    </row>
    <row r="4377" spans="1:9" ht="15">
      <c r="A4377" s="21">
        <f t="shared" si="80"/>
        <v>198</v>
      </c>
      <c r="B4377" s="14" t="s">
        <v>5822</v>
      </c>
      <c r="C4377" s="85" t="str">
        <f ca="1">IFERROR(__xludf.DUMMYFUNCTION("GOOGLETRANSLATE(B4377:B4392,""RU"",""UK"")"),"Скоба такелажна 4т (20мм)")</f>
        <v>Скоба такелажна 4т (20мм)</v>
      </c>
      <c r="D4377" s="15" t="s">
        <v>6</v>
      </c>
      <c r="E4377" s="15">
        <v>9</v>
      </c>
      <c r="F4377" s="91" t="s">
        <v>140</v>
      </c>
      <c r="G4377" s="4"/>
      <c r="H4377" s="4"/>
      <c r="I4377" s="4"/>
    </row>
    <row r="4378" spans="1:9" ht="15">
      <c r="A4378" s="21">
        <f t="shared" si="80"/>
        <v>199</v>
      </c>
      <c r="B4378" s="14" t="s">
        <v>5823</v>
      </c>
      <c r="C4378" s="85" t="str">
        <f ca="1">IFERROR(__xludf.DUMMYFUNCTION("GOOGLETRANSLATE(B4378:B4393,""RU"",""UK"")"),"Скоба такелажна 8,5т (25мм)")</f>
        <v>Скоба такелажна 8,5т (25мм)</v>
      </c>
      <c r="D4378" s="15" t="s">
        <v>6</v>
      </c>
      <c r="E4378" s="15">
        <v>1</v>
      </c>
      <c r="F4378" s="91" t="s">
        <v>78</v>
      </c>
      <c r="G4378" s="4"/>
      <c r="H4378" s="4"/>
      <c r="I4378" s="4"/>
    </row>
    <row r="4379" spans="1:9" ht="15">
      <c r="A4379" s="21">
        <f t="shared" si="80"/>
        <v>200</v>
      </c>
      <c r="B4379" s="16" t="s">
        <v>5824</v>
      </c>
      <c r="C4379" s="85" t="str">
        <f ca="1">IFERROR(__xludf.DUMMYFUNCTION("GOOGLETRANSLATE(B4379:B4394,""RU"",""UK"")"),"Затискач троса 14мм")</f>
        <v>Затискач троса 14мм</v>
      </c>
      <c r="D4379" s="15" t="s">
        <v>6</v>
      </c>
      <c r="E4379" s="15">
        <v>10</v>
      </c>
      <c r="F4379" s="91" t="s">
        <v>167</v>
      </c>
      <c r="G4379" s="4"/>
      <c r="H4379" s="4"/>
      <c r="I4379" s="4"/>
    </row>
    <row r="4380" spans="1:9" ht="15">
      <c r="A4380" s="21">
        <f t="shared" si="80"/>
        <v>201</v>
      </c>
      <c r="B4380" s="14" t="s">
        <v>5825</v>
      </c>
      <c r="C4380" s="85" t="str">
        <f ca="1">IFERROR(__xludf.DUMMYFUNCTION("GOOGLETRANSLATE(B4380:B4395,""RU"",""UK"")"),"Наконечник до маслонагнітачника")</f>
        <v>Наконечник до маслонагнітачника</v>
      </c>
      <c r="D4380" s="15" t="s">
        <v>6</v>
      </c>
      <c r="E4380" s="15">
        <v>5</v>
      </c>
      <c r="F4380" s="91" t="s">
        <v>248</v>
      </c>
      <c r="G4380" s="4"/>
      <c r="H4380" s="4"/>
      <c r="I4380" s="4"/>
    </row>
    <row r="4381" spans="1:9" ht="15">
      <c r="A4381" s="21">
        <f t="shared" si="80"/>
        <v>202</v>
      </c>
      <c r="B4381" s="14" t="s">
        <v>5826</v>
      </c>
      <c r="C4381" s="85" t="str">
        <f ca="1">IFERROR(__xludf.DUMMYFUNCTION("GOOGLETRANSLATE(B4381:B4396,""RU"",""UK"")"),"Прес-масляна ковпачкова велика М14х1,5")</f>
        <v>Прес-масляна ковпачкова велика М14х1,5</v>
      </c>
      <c r="D4381" s="15" t="s">
        <v>6</v>
      </c>
      <c r="E4381" s="15">
        <v>30</v>
      </c>
      <c r="F4381" s="91" t="s">
        <v>286</v>
      </c>
      <c r="G4381" s="4"/>
      <c r="H4381" s="4"/>
      <c r="I4381" s="4"/>
    </row>
    <row r="4382" spans="1:9" ht="15">
      <c r="A4382" s="21">
        <f t="shared" si="80"/>
        <v>203</v>
      </c>
      <c r="B4382" s="14" t="s">
        <v>5827</v>
      </c>
      <c r="C4382" s="85" t="str">
        <f ca="1">IFERROR(__xludf.DUMMYFUNCTION("GOOGLETRANSLATE(B4382:B4397,""RU"",""UK"")"),"Прес-масляна ковпачкова середня М14х1,5")</f>
        <v>Прес-масляна ковпачкова середня М14х1,5</v>
      </c>
      <c r="D4382" s="15" t="s">
        <v>6</v>
      </c>
      <c r="E4382" s="15">
        <v>12</v>
      </c>
      <c r="F4382" s="91" t="s">
        <v>361</v>
      </c>
      <c r="G4382" s="4"/>
      <c r="H4382" s="4"/>
      <c r="I4382" s="4"/>
    </row>
    <row r="4383" spans="1:9" ht="15">
      <c r="A4383" s="21">
        <f t="shared" si="80"/>
        <v>204</v>
      </c>
      <c r="B4383" s="14" t="s">
        <v>5828</v>
      </c>
      <c r="C4383" s="85" t="str">
        <f ca="1">IFERROR(__xludf.DUMMYFUNCTION("GOOGLETRANSLATE(B4383:B4398,""RU"",""UK"")"),"Прес-маслянка ковпачкова мала М14х1, 5")</f>
        <v>Прес-маслянка ковпачкова мала М14х1, 5</v>
      </c>
      <c r="D4383" s="15" t="s">
        <v>6</v>
      </c>
      <c r="E4383" s="15">
        <v>30</v>
      </c>
      <c r="F4383" s="91" t="s">
        <v>132</v>
      </c>
      <c r="G4383" s="4"/>
      <c r="H4383" s="4"/>
      <c r="I4383" s="4"/>
    </row>
    <row r="4384" spans="1:9" ht="15">
      <c r="A4384" s="21">
        <f t="shared" si="80"/>
        <v>205</v>
      </c>
      <c r="B4384" s="14" t="s">
        <v>5829</v>
      </c>
      <c r="C4384" s="85" t="str">
        <f ca="1">IFERROR(__xludf.DUMMYFUNCTION("GOOGLETRANSLATE(B4384:B4399,""RU"",""UK"")"),"Прес-маслянка М6х1пряма / М6х1 кутова 45*")</f>
        <v>Прес-маслянка М6х1пряма / М6х1 кутова 45*</v>
      </c>
      <c r="D4384" s="15" t="s">
        <v>6</v>
      </c>
      <c r="E4384" s="15" t="s">
        <v>3137</v>
      </c>
      <c r="F4384" s="91" t="s">
        <v>132</v>
      </c>
      <c r="G4384" s="4"/>
      <c r="H4384" s="4"/>
      <c r="I4384" s="4"/>
    </row>
    <row r="4385" spans="1:9" ht="15">
      <c r="A4385" s="21">
        <f t="shared" si="80"/>
        <v>206</v>
      </c>
      <c r="B4385" s="14" t="s">
        <v>5830</v>
      </c>
      <c r="C4385" s="85" t="str">
        <f ca="1">IFERROR(__xludf.DUMMYFUNCTION("GOOGLETRANSLATE(B4385:B4400,""RU"",""UK"")"),"Прес-маслянка М8х1пряма / М8х1 кутова 90*")</f>
        <v>Прес-маслянка М8х1пряма / М8х1 кутова 90*</v>
      </c>
      <c r="D4385" s="15" t="s">
        <v>6</v>
      </c>
      <c r="E4385" s="15" t="s">
        <v>3137</v>
      </c>
      <c r="F4385" s="91" t="s">
        <v>1294</v>
      </c>
      <c r="G4385" s="4"/>
      <c r="H4385" s="4"/>
      <c r="I4385" s="4"/>
    </row>
    <row r="4386" spans="1:9" ht="15">
      <c r="A4386" s="21">
        <f t="shared" si="80"/>
        <v>207</v>
      </c>
      <c r="B4386" s="14" t="s">
        <v>5831</v>
      </c>
      <c r="C4386" s="85" t="str">
        <f ca="1">IFERROR(__xludf.DUMMYFUNCTION("GOOGLETRANSLATE(B4386:B4401,""RU"",""UK"")"),"Прес-маслянка М10х1пряма")</f>
        <v>Прес-маслянка М10х1пряма</v>
      </c>
      <c r="D4386" s="15" t="s">
        <v>6</v>
      </c>
      <c r="E4386" s="15">
        <v>352</v>
      </c>
      <c r="F4386" s="91" t="s">
        <v>361</v>
      </c>
      <c r="G4386" s="4"/>
      <c r="H4386" s="4"/>
      <c r="I4386" s="4"/>
    </row>
    <row r="4387" spans="1:9" ht="15">
      <c r="A4387" s="21">
        <f t="shared" si="80"/>
        <v>208</v>
      </c>
      <c r="B4387" s="14" t="s">
        <v>5832</v>
      </c>
      <c r="C4387" s="115" t="str">
        <f ca="1">IFERROR(__xludf.DUMMYFUNCTION("GOOGLETRANSLATE(B4387:B4402,""RU"",""UK"")"),"Прес-маслянка М10х1 кутова 90* / М10х1 кутова 45*")</f>
        <v>Прес-маслянка М10х1 кутова 90* / М10х1 кутова 45*</v>
      </c>
      <c r="D4387" s="15" t="s">
        <v>6</v>
      </c>
      <c r="E4387" s="15" t="s">
        <v>5833</v>
      </c>
      <c r="F4387" s="91" t="s">
        <v>1936</v>
      </c>
      <c r="G4387" s="4"/>
      <c r="H4387" s="4"/>
      <c r="I4387" s="4"/>
    </row>
    <row r="4388" spans="1:9" ht="15">
      <c r="A4388" s="68"/>
      <c r="B4388" s="69"/>
      <c r="C4388" s="119" t="s">
        <v>6065</v>
      </c>
      <c r="D4388" s="69"/>
      <c r="E4388" s="69"/>
      <c r="F4388" s="106"/>
      <c r="G4388" s="4"/>
      <c r="H4388" s="4"/>
      <c r="I4388" s="4"/>
    </row>
    <row r="4389" spans="1:9" ht="15">
      <c r="A4389" s="13">
        <v>1</v>
      </c>
      <c r="B4389" s="14" t="s">
        <v>5834</v>
      </c>
      <c r="C4389" s="133" t="str">
        <f ca="1">IFERROR(__xludf.DUMMYFUNCTION("GOOGLETRANSLATE(B4389:B4404,""RU"",""UK"")"),"Автоматичний вик-ль 1 фаз. Аско 32А")</f>
        <v>Автоматичний вик-ль 1 фаз. Аско 32А</v>
      </c>
      <c r="D4389" s="15" t="s">
        <v>6</v>
      </c>
      <c r="E4389" s="15">
        <v>2</v>
      </c>
      <c r="F4389" s="91" t="s">
        <v>598</v>
      </c>
      <c r="G4389" s="4"/>
      <c r="H4389" s="4"/>
      <c r="I4389" s="4"/>
    </row>
    <row r="4390" spans="1:9" ht="15">
      <c r="A4390" s="13">
        <f>A4389+1</f>
        <v>2</v>
      </c>
      <c r="B4390" s="14" t="s">
        <v>5835</v>
      </c>
      <c r="C4390" s="85" t="str">
        <f ca="1">IFERROR(__xludf.DUMMYFUNCTION("GOOGLETRANSLATE(B4390:B4405,""RU"",""UK"")"),"Автоматичний вик-ль 3 фаз. АЕ-2056 1,25А")</f>
        <v>Автоматичний вик-ль 3 фаз. АЕ-2056 1,25А</v>
      </c>
      <c r="D4390" s="15" t="s">
        <v>6</v>
      </c>
      <c r="E4390" s="15">
        <v>1</v>
      </c>
      <c r="F4390" s="91" t="s">
        <v>136</v>
      </c>
      <c r="G4390" s="4"/>
      <c r="H4390" s="4"/>
      <c r="I4390" s="4"/>
    </row>
    <row r="4391" spans="1:9" ht="15">
      <c r="A4391" s="21">
        <f t="shared" ref="A4391:A4454" si="81">A4390+1</f>
        <v>3</v>
      </c>
      <c r="B4391" s="14" t="s">
        <v>5836</v>
      </c>
      <c r="C4391" s="85" t="str">
        <f ca="1">IFERROR(__xludf.DUMMYFUNCTION("GOOGLETRANSLATE(B4391:B4406,""RU"",""UK"")"),"Автоматичний вик-ль 3 фаз. АК63 3,2А")</f>
        <v>Автоматичний вик-ль 3 фаз. АК63 3,2А</v>
      </c>
      <c r="D4391" s="15" t="s">
        <v>6</v>
      </c>
      <c r="E4391" s="15">
        <v>1</v>
      </c>
      <c r="F4391" s="91" t="s">
        <v>136</v>
      </c>
      <c r="G4391" s="4"/>
      <c r="H4391" s="4"/>
      <c r="I4391" s="4"/>
    </row>
    <row r="4392" spans="1:9" ht="15">
      <c r="A4392" s="21">
        <f t="shared" si="81"/>
        <v>4</v>
      </c>
      <c r="B4392" s="14" t="s">
        <v>5837</v>
      </c>
      <c r="C4392" s="85" t="str">
        <f ca="1">IFERROR(__xludf.DUMMYFUNCTION("GOOGLETRANSLATE(B4392:B4407,""RU"",""UK"")"),"Автоматичний вик-ль 3 фаз. АЕ-2046 16А")</f>
        <v>Автоматичний вик-ль 3 фаз. АЕ-2046 16А</v>
      </c>
      <c r="D4392" s="15" t="s">
        <v>6</v>
      </c>
      <c r="E4392" s="15">
        <v>23</v>
      </c>
      <c r="F4392" s="91" t="s">
        <v>4931</v>
      </c>
      <c r="G4392" s="4"/>
      <c r="H4392" s="4"/>
      <c r="I4392" s="4"/>
    </row>
    <row r="4393" spans="1:9" ht="15">
      <c r="A4393" s="21">
        <f t="shared" si="81"/>
        <v>5</v>
      </c>
      <c r="B4393" s="14" t="s">
        <v>5838</v>
      </c>
      <c r="C4393" s="85" t="str">
        <f ca="1">IFERROR(__xludf.DUMMYFUNCTION("GOOGLETRANSLATE(B4393:B4408,""RU"",""UK"")"),"Автоматичний вик-ль 3 фаз. АЕ-2066 16А")</f>
        <v>Автоматичний вик-ль 3 фаз. АЕ-2066 16А</v>
      </c>
      <c r="D4393" s="15" t="s">
        <v>6</v>
      </c>
      <c r="E4393" s="15">
        <v>1</v>
      </c>
      <c r="F4393" s="91" t="s">
        <v>4931</v>
      </c>
      <c r="G4393" s="4"/>
      <c r="H4393" s="4"/>
      <c r="I4393" s="4"/>
    </row>
    <row r="4394" spans="1:9" ht="15">
      <c r="A4394" s="21">
        <f t="shared" si="81"/>
        <v>6</v>
      </c>
      <c r="B4394" s="14" t="s">
        <v>5839</v>
      </c>
      <c r="C4394" s="85" t="str">
        <f ca="1">IFERROR(__xludf.DUMMYFUNCTION("GOOGLETRANSLATE(B4394:B4409,""RU"",""UK"")"),"Автоматичний вик-ль 3 фаз. АЕ-2046 20А")</f>
        <v>Автоматичний вик-ль 3 фаз. АЕ-2046 20А</v>
      </c>
      <c r="D4394" s="15" t="s">
        <v>6</v>
      </c>
      <c r="E4394" s="15">
        <v>4</v>
      </c>
      <c r="F4394" s="91" t="s">
        <v>5840</v>
      </c>
      <c r="G4394" s="4"/>
      <c r="H4394" s="4"/>
      <c r="I4394" s="4"/>
    </row>
    <row r="4395" spans="1:9" ht="15">
      <c r="A4395" s="21">
        <f t="shared" si="81"/>
        <v>7</v>
      </c>
      <c r="B4395" s="14" t="s">
        <v>5841</v>
      </c>
      <c r="C4395" s="85" t="str">
        <f ca="1">IFERROR(__xludf.DUMMYFUNCTION("GOOGLETRANSLATE(B4395:B4410,""RU"",""UK"")"),"Автоматичний вик-ль 3 фаз. АЕ-2056 63А")</f>
        <v>Автоматичний вик-ль 3 фаз. АЕ-2056 63А</v>
      </c>
      <c r="D4395" s="15" t="s">
        <v>6</v>
      </c>
      <c r="E4395" s="15">
        <v>12</v>
      </c>
      <c r="F4395" s="91" t="s">
        <v>842</v>
      </c>
      <c r="G4395" s="4"/>
      <c r="H4395" s="4"/>
      <c r="I4395" s="4"/>
    </row>
    <row r="4396" spans="1:9" ht="15">
      <c r="A4396" s="21">
        <f t="shared" si="81"/>
        <v>8</v>
      </c>
      <c r="B4396" s="14" t="s">
        <v>5842</v>
      </c>
      <c r="C4396" s="85" t="str">
        <f ca="1">IFERROR(__xludf.DUMMYFUNCTION("GOOGLETRANSLATE(B4396:B4411,""RU"",""UK"")"),"Автоматичний вик-ль 3 фаз. А-3716 63А")</f>
        <v>Автоматичний вик-ль 3 фаз. А-3716 63А</v>
      </c>
      <c r="D4396" s="15" t="s">
        <v>6</v>
      </c>
      <c r="E4396" s="15">
        <v>2</v>
      </c>
      <c r="F4396" s="91" t="s">
        <v>5843</v>
      </c>
      <c r="G4396" s="4"/>
      <c r="H4396" s="4"/>
      <c r="I4396" s="4"/>
    </row>
    <row r="4397" spans="1:9" ht="15">
      <c r="A4397" s="21">
        <f t="shared" si="81"/>
        <v>9</v>
      </c>
      <c r="B4397" s="14" t="s">
        <v>5844</v>
      </c>
      <c r="C4397" s="85" t="str">
        <f ca="1">IFERROR(__xludf.DUMMYFUNCTION("GOOGLETRANSLATE(B4397:B4412,""RU"",""UK"")"),"Автоматичний вик-ль 3 фаз. А-3716 80А")</f>
        <v>Автоматичний вик-ль 3 фаз. А-3716 80А</v>
      </c>
      <c r="D4397" s="15" t="s">
        <v>6</v>
      </c>
      <c r="E4397" s="15">
        <v>4</v>
      </c>
      <c r="F4397" s="91" t="s">
        <v>88</v>
      </c>
      <c r="G4397" s="4"/>
      <c r="H4397" s="4"/>
      <c r="I4397" s="4"/>
    </row>
    <row r="4398" spans="1:9" ht="15">
      <c r="A4398" s="21">
        <f t="shared" si="81"/>
        <v>10</v>
      </c>
      <c r="B4398" s="14" t="s">
        <v>5845</v>
      </c>
      <c r="C4398" s="85" t="str">
        <f ca="1">IFERROR(__xludf.DUMMYFUNCTION("GOOGLETRANSLATE(B4398:B4413,""RU"",""UK"")"),"Автоматичний вик-ль 3 фаз. АЕ-2056 100А")</f>
        <v>Автоматичний вик-ль 3 фаз. АЕ-2056 100А</v>
      </c>
      <c r="D4398" s="15" t="s">
        <v>6</v>
      </c>
      <c r="E4398" s="15">
        <v>1</v>
      </c>
      <c r="F4398" s="91" t="s">
        <v>80</v>
      </c>
      <c r="G4398" s="4"/>
      <c r="H4398" s="4"/>
      <c r="I4398" s="4"/>
    </row>
    <row r="4399" spans="1:9" ht="15">
      <c r="A4399" s="21">
        <f t="shared" si="81"/>
        <v>11</v>
      </c>
      <c r="B4399" s="14" t="s">
        <v>5846</v>
      </c>
      <c r="C4399" s="85" t="str">
        <f ca="1">IFERROR(__xludf.DUMMYFUNCTION("GOOGLETRANSLATE(B4399:B4414,""RU"",""UK"")"),"Автоматичний вик-ль 3 фаз. А-3716 125А")</f>
        <v>Автоматичний вик-ль 3 фаз. А-3716 125А</v>
      </c>
      <c r="D4399" s="15" t="s">
        <v>6</v>
      </c>
      <c r="E4399" s="15">
        <v>1</v>
      </c>
      <c r="F4399" s="91" t="s">
        <v>1088</v>
      </c>
      <c r="G4399" s="4"/>
      <c r="H4399" s="4"/>
      <c r="I4399" s="4"/>
    </row>
    <row r="4400" spans="1:9" ht="15">
      <c r="A4400" s="21">
        <f t="shared" si="81"/>
        <v>12</v>
      </c>
      <c r="B4400" s="16" t="s">
        <v>5847</v>
      </c>
      <c r="C4400" s="85" t="str">
        <f ca="1">IFERROR(__xludf.DUMMYFUNCTION("GOOGLETRANSLATE(B4400:B4415,""RU"",""UK"")"),"Автоматичний вик-ль 3 фаз. ВА-51-33 125А")</f>
        <v>Автоматичний вик-ль 3 фаз. ВА-51-33 125А</v>
      </c>
      <c r="D4400" s="15" t="s">
        <v>6</v>
      </c>
      <c r="E4400" s="15">
        <v>2</v>
      </c>
      <c r="F4400" s="91" t="s">
        <v>102</v>
      </c>
      <c r="G4400" s="4"/>
      <c r="H4400" s="4"/>
      <c r="I4400" s="4"/>
    </row>
    <row r="4401" spans="1:9" ht="15">
      <c r="A4401" s="21">
        <f t="shared" si="81"/>
        <v>13</v>
      </c>
      <c r="B4401" s="16" t="s">
        <v>5848</v>
      </c>
      <c r="C4401" s="85" t="str">
        <f ca="1">IFERROR(__xludf.DUMMYFUNCTION("GOOGLETRANSLATE(B4401:B4416,""RU"",""UK"")"),"Автоматичний вик-ль 3 фаз. АВ-3003-200А")</f>
        <v>Автоматичний вик-ль 3 фаз. АВ-3003-200А</v>
      </c>
      <c r="D4401" s="15" t="s">
        <v>6</v>
      </c>
      <c r="E4401" s="15">
        <v>1</v>
      </c>
      <c r="F4401" s="91" t="s">
        <v>80</v>
      </c>
      <c r="G4401" s="4"/>
      <c r="H4401" s="4"/>
      <c r="I4401" s="4"/>
    </row>
    <row r="4402" spans="1:9" ht="15">
      <c r="A4402" s="21">
        <f t="shared" si="81"/>
        <v>14</v>
      </c>
      <c r="B4402" s="14" t="s">
        <v>5849</v>
      </c>
      <c r="C4402" s="85" t="str">
        <f ca="1">IFERROR(__xludf.DUMMYFUNCTION("GOOGLETRANSLATE(B4402:B4417,""RU"",""UK"")"),"Пускач магнітний ПМЕ - 071 (кат.220В)")</f>
        <v>Пускач магнітний ПМЕ - 071 (кат.220В)</v>
      </c>
      <c r="D4402" s="15" t="s">
        <v>6</v>
      </c>
      <c r="E4402" s="15">
        <v>10</v>
      </c>
      <c r="F4402" s="91" t="s">
        <v>760</v>
      </c>
      <c r="G4402" s="4"/>
      <c r="H4402" s="4"/>
      <c r="I4402" s="4"/>
    </row>
    <row r="4403" spans="1:9" ht="15">
      <c r="A4403" s="21">
        <f t="shared" si="81"/>
        <v>15</v>
      </c>
      <c r="B4403" s="14" t="s">
        <v>5850</v>
      </c>
      <c r="C4403" s="85" t="str">
        <f ca="1">IFERROR(__xludf.DUMMYFUNCTION("GOOGLETRANSLATE(B4403:B4418,""RU"",""UK"")"),"Пускач магнітний ПМА-012 (кат.380)")</f>
        <v>Пускач магнітний ПМА-012 (кат.380)</v>
      </c>
      <c r="D4403" s="15" t="s">
        <v>6</v>
      </c>
      <c r="E4403" s="15">
        <v>2</v>
      </c>
      <c r="F4403" s="91" t="s">
        <v>760</v>
      </c>
      <c r="G4403" s="4"/>
      <c r="H4403" s="4"/>
      <c r="I4403" s="4"/>
    </row>
    <row r="4404" spans="1:9" ht="15">
      <c r="A4404" s="21">
        <f t="shared" si="81"/>
        <v>16</v>
      </c>
      <c r="B4404" s="14" t="s">
        <v>5851</v>
      </c>
      <c r="C4404" s="85" t="str">
        <f ca="1">IFERROR(__xludf.DUMMYFUNCTION("GOOGLETRANSLATE(B4404:B4419,""RU"",""UK"")"),"Пускач магнітний ПМЛ - 1100 (кат.110В/220В)")</f>
        <v>Пускач магнітний ПМЛ - 1100 (кат.110В/220В)</v>
      </c>
      <c r="D4404" s="15" t="s">
        <v>6</v>
      </c>
      <c r="E4404" s="15" t="s">
        <v>749</v>
      </c>
      <c r="F4404" s="91" t="s">
        <v>106</v>
      </c>
      <c r="G4404" s="4"/>
      <c r="H4404" s="4"/>
      <c r="I4404" s="4"/>
    </row>
    <row r="4405" spans="1:9" ht="15">
      <c r="A4405" s="21">
        <f t="shared" si="81"/>
        <v>17</v>
      </c>
      <c r="B4405" s="14" t="s">
        <v>5852</v>
      </c>
      <c r="C4405" s="85" t="str">
        <f ca="1">IFERROR(__xludf.DUMMYFUNCTION("GOOGLETRANSLATE(B4405:B4420,""RU"",""UK"")"),"Пускач магнітний ПМЛ – 1100 (кат.220В) з тепл. реле РТЛ")</f>
        <v>Пускач магнітний ПМЛ – 1100 (кат.220В) з тепл. реле РТЛ</v>
      </c>
      <c r="D4405" s="15" t="s">
        <v>6</v>
      </c>
      <c r="E4405" s="15">
        <v>1</v>
      </c>
      <c r="F4405" s="91" t="s">
        <v>106</v>
      </c>
      <c r="G4405" s="4"/>
      <c r="H4405" s="4"/>
      <c r="I4405" s="4"/>
    </row>
    <row r="4406" spans="1:9" ht="15">
      <c r="A4406" s="21">
        <f t="shared" si="81"/>
        <v>18</v>
      </c>
      <c r="B4406" s="14" t="s">
        <v>5853</v>
      </c>
      <c r="C4406" s="85" t="str">
        <f ca="1">IFERROR(__xludf.DUMMYFUNCTION("GOOGLETRANSLATE(B4406:B4421,""RU"",""UK"")"),"Пускач магнітний ПМЕ - 111-10А (кат. 380В)")</f>
        <v>Пускач магнітний ПМЕ - 111-10А (кат. 380В)</v>
      </c>
      <c r="D4406" s="15" t="s">
        <v>6</v>
      </c>
      <c r="E4406" s="15">
        <v>1</v>
      </c>
      <c r="F4406" s="91" t="s">
        <v>106</v>
      </c>
      <c r="G4406" s="4"/>
      <c r="H4406" s="4"/>
      <c r="I4406" s="4"/>
    </row>
    <row r="4407" spans="1:9" ht="15">
      <c r="A4407" s="21">
        <f t="shared" si="81"/>
        <v>19</v>
      </c>
      <c r="B4407" s="14" t="s">
        <v>5854</v>
      </c>
      <c r="C4407" s="85" t="str">
        <f ca="1">IFERROR(__xludf.DUMMYFUNCTION("GOOGLETRANSLATE(B4407:B4422,""RU"",""UK"")"),"Пускач магнітний П 6-111-10А (кат.220В)")</f>
        <v>Пускач магнітний П 6-111-10А (кат.220В)</v>
      </c>
      <c r="D4407" s="15" t="s">
        <v>6</v>
      </c>
      <c r="E4407" s="15">
        <v>9</v>
      </c>
      <c r="F4407" s="91" t="s">
        <v>106</v>
      </c>
      <c r="G4407" s="4"/>
      <c r="H4407" s="4"/>
      <c r="I4407" s="4"/>
    </row>
    <row r="4408" spans="1:9" ht="15">
      <c r="A4408" s="21">
        <f t="shared" si="81"/>
        <v>20</v>
      </c>
      <c r="B4408" s="14" t="s">
        <v>5855</v>
      </c>
      <c r="C4408" s="85" t="str">
        <f ca="1">IFERROR(__xludf.DUMMYFUNCTION("GOOGLETRANSLATE(B4408:B4423,""RU"",""UK"")"),"Пускач магнітний із захисним пристроєм ПМЛ-1631")</f>
        <v>Пускач магнітний із захисним пристроєм ПМЛ-1631</v>
      </c>
      <c r="D4408" s="15" t="s">
        <v>6</v>
      </c>
      <c r="E4408" s="15">
        <v>1</v>
      </c>
      <c r="F4408" s="91" t="s">
        <v>413</v>
      </c>
      <c r="G4408" s="4"/>
      <c r="H4408" s="4"/>
      <c r="I4408" s="4"/>
    </row>
    <row r="4409" spans="1:9" ht="15">
      <c r="A4409" s="21">
        <f t="shared" si="81"/>
        <v>21</v>
      </c>
      <c r="B4409" s="14" t="s">
        <v>5856</v>
      </c>
      <c r="C4409" s="85" t="str">
        <f ca="1">IFERROR(__xludf.DUMMYFUNCTION("GOOGLETRANSLATE(B4409:B4424,""RU"",""UK"")"),"Пускач магнітний П6 - 121-10А (закритий) (кат.220В/кат.380В)")</f>
        <v>Пускач магнітний П6 - 121-10А (закритий) (кат.220В/кат.380В)</v>
      </c>
      <c r="D4409" s="15" t="s">
        <v>6</v>
      </c>
      <c r="E4409" s="15" t="s">
        <v>5857</v>
      </c>
      <c r="F4409" s="91" t="s">
        <v>16</v>
      </c>
      <c r="G4409" s="4"/>
      <c r="H4409" s="4"/>
      <c r="I4409" s="4"/>
    </row>
    <row r="4410" spans="1:9" ht="15">
      <c r="A4410" s="21">
        <f t="shared" si="81"/>
        <v>22</v>
      </c>
      <c r="B4410" s="14" t="s">
        <v>5858</v>
      </c>
      <c r="C4410" s="85" t="str">
        <f ca="1">IFERROR(__xludf.DUMMYFUNCTION("GOOGLETRANSLATE(B4410:B4425,""RU"",""UK"")"),"Пускач магнітний ПМЕ-122-10А в мет. Корпусі (кат.220В/кат.380В)")</f>
        <v>Пускач магнітний ПМЕ-122-10А в мет. Корпусі (кат.220В/кат.380В)</v>
      </c>
      <c r="D4410" s="15" t="s">
        <v>6</v>
      </c>
      <c r="E4410" s="15" t="s">
        <v>1005</v>
      </c>
      <c r="F4410" s="91" t="s">
        <v>16</v>
      </c>
      <c r="G4410" s="4"/>
      <c r="H4410" s="4"/>
      <c r="I4410" s="4"/>
    </row>
    <row r="4411" spans="1:9" ht="15">
      <c r="A4411" s="21">
        <f t="shared" si="81"/>
        <v>23</v>
      </c>
      <c r="B4411" s="14" t="s">
        <v>5859</v>
      </c>
      <c r="C4411" s="85" t="str">
        <f ca="1">IFERROR(__xludf.DUMMYFUNCTION("GOOGLETRANSLATE(B4411:B4426,""RU"",""UK"")"),"Пускач магнітний ПМЕ-112-10А з тепл. реле. (кат. 36В)")</f>
        <v>Пускач магнітний ПМЕ-112-10А з тепл. реле. (кат. 36В)</v>
      </c>
      <c r="D4411" s="15" t="s">
        <v>6</v>
      </c>
      <c r="E4411" s="15">
        <v>4</v>
      </c>
      <c r="F4411" s="91" t="s">
        <v>16</v>
      </c>
      <c r="G4411" s="4"/>
      <c r="H4411" s="4"/>
      <c r="I4411" s="4"/>
    </row>
    <row r="4412" spans="1:9" ht="15">
      <c r="A4412" s="21">
        <f t="shared" si="81"/>
        <v>24</v>
      </c>
      <c r="B4412" s="14" t="s">
        <v>5860</v>
      </c>
      <c r="C4412" s="85" t="str">
        <f ca="1">IFERROR(__xludf.DUMMYFUNCTION("GOOGLETRANSLATE(B4412:B4427,""RU"",""UK"")"),"Пускач магнітний ПМЕ -132 у мет. Корпусі (кат.380В)")</f>
        <v>Пускач магнітний ПМЕ -132 у мет. Корпусі (кат.380В)</v>
      </c>
      <c r="D4412" s="15" t="s">
        <v>6</v>
      </c>
      <c r="E4412" s="15">
        <v>2</v>
      </c>
      <c r="F4412" s="91" t="s">
        <v>16</v>
      </c>
      <c r="G4412" s="4"/>
      <c r="H4412" s="4"/>
      <c r="I4412" s="4"/>
    </row>
    <row r="4413" spans="1:9" ht="15">
      <c r="A4413" s="21">
        <f t="shared" si="81"/>
        <v>25</v>
      </c>
      <c r="B4413" s="16" t="s">
        <v>5861</v>
      </c>
      <c r="C4413" s="85" t="str">
        <f ca="1">IFERROR(__xludf.DUMMYFUNCTION("GOOGLETRANSLATE(B4413:B4428,""RU"",""UK"")"),"Пускач магнітний ПМЕ - 211-25А (кат. 380В)")</f>
        <v>Пускач магнітний ПМЕ - 211-25А (кат. 380В)</v>
      </c>
      <c r="D4413" s="17" t="s">
        <v>6</v>
      </c>
      <c r="E4413" s="17">
        <v>3</v>
      </c>
      <c r="F4413" s="92" t="s">
        <v>272</v>
      </c>
      <c r="G4413" s="4"/>
      <c r="H4413" s="4"/>
      <c r="I4413" s="4"/>
    </row>
    <row r="4414" spans="1:9" ht="15">
      <c r="A4414" s="21">
        <f t="shared" si="81"/>
        <v>26</v>
      </c>
      <c r="B4414" s="14" t="s">
        <v>5862</v>
      </c>
      <c r="C4414" s="85" t="str">
        <f ca="1">IFERROR(__xludf.DUMMYFUNCTION("GOOGLETRANSLATE(B4414:B4429,""RU"",""UK"")"),"Пускач магнітний ПАЛ - 2100")</f>
        <v>Пускач магнітний ПАЛ - 2100</v>
      </c>
      <c r="D4414" s="15" t="s">
        <v>6</v>
      </c>
      <c r="E4414" s="15">
        <v>2</v>
      </c>
      <c r="F4414" s="91" t="s">
        <v>272</v>
      </c>
      <c r="G4414" s="4"/>
      <c r="H4414" s="4"/>
      <c r="I4414" s="4"/>
    </row>
    <row r="4415" spans="1:9" ht="15">
      <c r="A4415" s="21">
        <f t="shared" si="81"/>
        <v>27</v>
      </c>
      <c r="B4415" s="16" t="s">
        <v>5863</v>
      </c>
      <c r="C4415" s="85" t="str">
        <f ca="1">IFERROR(__xludf.DUMMYFUNCTION("GOOGLETRANSLATE(B4415:B4430,""RU"",""UK"")"),"Пускач магнітний ПМЛ - 2100-25А (220В)")</f>
        <v>Пускач магнітний ПМЛ - 2100-25А (220В)</v>
      </c>
      <c r="D4415" s="15" t="s">
        <v>6</v>
      </c>
      <c r="E4415" s="15">
        <v>1</v>
      </c>
      <c r="F4415" s="91" t="s">
        <v>413</v>
      </c>
      <c r="G4415" s="4"/>
      <c r="H4415" s="4"/>
      <c r="I4415" s="4"/>
    </row>
    <row r="4416" spans="1:9" ht="15">
      <c r="A4416" s="21">
        <f t="shared" si="81"/>
        <v>28</v>
      </c>
      <c r="B4416" s="14" t="s">
        <v>5864</v>
      </c>
      <c r="C4416" s="85" t="str">
        <f ca="1">IFERROR(__xludf.DUMMYFUNCTION("GOOGLETRANSLATE(B4416:B4431,""RU"",""UK"")"),"Пускач магнітний ПМА - 310-40А (кат. 380В)")</f>
        <v>Пускач магнітний ПМА - 310-40А (кат. 380В)</v>
      </c>
      <c r="D4416" s="15" t="s">
        <v>6</v>
      </c>
      <c r="E4416" s="15">
        <v>1</v>
      </c>
      <c r="F4416" s="91" t="s">
        <v>138</v>
      </c>
      <c r="G4416" s="4"/>
      <c r="H4416" s="4"/>
      <c r="I4416" s="4"/>
    </row>
    <row r="4417" spans="1:9" ht="15">
      <c r="A4417" s="21">
        <f t="shared" si="81"/>
        <v>29</v>
      </c>
      <c r="B4417" s="14" t="s">
        <v>5865</v>
      </c>
      <c r="C4417" s="85" t="str">
        <f ca="1">IFERROR(__xludf.DUMMYFUNCTION("GOOGLETRANSLATE(B4417:B4432,""RU"",""UK"")"),"Пускач магнітний ПАЕ - 312-40А (кат. 220В)")</f>
        <v>Пускач магнітний ПАЕ - 312-40А (кат. 220В)</v>
      </c>
      <c r="D4417" s="15" t="s">
        <v>6</v>
      </c>
      <c r="E4417" s="15">
        <v>1</v>
      </c>
      <c r="F4417" s="91" t="s">
        <v>842</v>
      </c>
      <c r="G4417" s="4"/>
      <c r="H4417" s="4"/>
      <c r="I4417" s="4"/>
    </row>
    <row r="4418" spans="1:9" ht="15">
      <c r="A4418" s="21">
        <f t="shared" si="81"/>
        <v>30</v>
      </c>
      <c r="B4418" s="14" t="s">
        <v>5866</v>
      </c>
      <c r="C4418" s="85" t="str">
        <f ca="1">IFERROR(__xludf.DUMMYFUNCTION("GOOGLETRANSLATE(B4418:B4433,""RU"",""UK"")"),"Пускач магнітний ПАЕ - 311 (кат. 220В)")</f>
        <v>Пускач магнітний ПАЕ - 311 (кат. 220В)</v>
      </c>
      <c r="D4418" s="15" t="s">
        <v>6</v>
      </c>
      <c r="E4418" s="15">
        <v>3</v>
      </c>
      <c r="F4418" s="91" t="s">
        <v>842</v>
      </c>
      <c r="G4418" s="4"/>
      <c r="H4418" s="4"/>
      <c r="I4418" s="4"/>
    </row>
    <row r="4419" spans="1:9" ht="15">
      <c r="A4419" s="21">
        <f t="shared" si="81"/>
        <v>31</v>
      </c>
      <c r="B4419" s="14" t="s">
        <v>5867</v>
      </c>
      <c r="C4419" s="85" t="str">
        <f ca="1">IFERROR(__xludf.DUMMYFUNCTION("GOOGLETRANSLATE(B4419:B4434,""RU"",""UK"")"),"Пускач магнітний ПАЕ - 300 (кат. 380В)")</f>
        <v>Пускач магнітний ПАЕ - 300 (кат. 380В)</v>
      </c>
      <c r="D4419" s="15" t="s">
        <v>6</v>
      </c>
      <c r="E4419" s="15">
        <v>1</v>
      </c>
      <c r="F4419" s="91" t="s">
        <v>138</v>
      </c>
      <c r="G4419" s="4"/>
      <c r="H4419" s="4"/>
      <c r="I4419" s="4"/>
    </row>
    <row r="4420" spans="1:9" ht="15">
      <c r="A4420" s="21">
        <f t="shared" si="81"/>
        <v>32</v>
      </c>
      <c r="B4420" s="14" t="s">
        <v>5868</v>
      </c>
      <c r="C4420" s="85" t="str">
        <f ca="1">IFERROR(__xludf.DUMMYFUNCTION("GOOGLETRANSLATE(B4420:B4435,""RU"",""UK"")"),"Пускач магнітний ПМЛ – 4100 – 63А (кат. 220В)")</f>
        <v>Пускач магнітний ПМЛ – 4100 – 63А (кат. 220В)</v>
      </c>
      <c r="D4420" s="15" t="s">
        <v>6</v>
      </c>
      <c r="E4420" s="15">
        <v>2</v>
      </c>
      <c r="F4420" s="91" t="s">
        <v>71</v>
      </c>
      <c r="G4420" s="4"/>
      <c r="H4420" s="4"/>
      <c r="I4420" s="4"/>
    </row>
    <row r="4421" spans="1:9" ht="15">
      <c r="A4421" s="21">
        <f t="shared" si="81"/>
        <v>33</v>
      </c>
      <c r="B4421" s="14" t="s">
        <v>5869</v>
      </c>
      <c r="C4421" s="85" t="str">
        <f ca="1">IFERROR(__xludf.DUMMYFUNCTION("GOOGLETRANSLATE(B4421:B4436,""RU"",""UK"")"),"Пускач магнітний КМІ - 48512 - 63А (кат. 220В)")</f>
        <v>Пускач магнітний КМІ - 48512 - 63А (кат. 220В)</v>
      </c>
      <c r="D4421" s="15" t="s">
        <v>6</v>
      </c>
      <c r="E4421" s="15">
        <v>2</v>
      </c>
      <c r="F4421" s="91" t="s">
        <v>71</v>
      </c>
      <c r="G4421" s="4"/>
      <c r="H4421" s="4"/>
      <c r="I4421" s="4"/>
    </row>
    <row r="4422" spans="1:9" ht="15">
      <c r="A4422" s="21">
        <f t="shared" si="81"/>
        <v>34</v>
      </c>
      <c r="B4422" s="14" t="s">
        <v>5870</v>
      </c>
      <c r="C4422" s="85" t="str">
        <f ca="1">IFERROR(__xludf.DUMMYFUNCTION("GOOGLETRANSLATE(B4422:B4437,""RU"",""UK"")"),"Пускач магнітний ПМ4 - 65А (кат. 220В)")</f>
        <v>Пускач магнітний ПМ4 - 65А (кат. 220В)</v>
      </c>
      <c r="D4422" s="15" t="s">
        <v>6</v>
      </c>
      <c r="E4422" s="15">
        <v>2</v>
      </c>
      <c r="F4422" s="91" t="s">
        <v>71</v>
      </c>
      <c r="G4422" s="4"/>
      <c r="H4422" s="4"/>
      <c r="I4422" s="4"/>
    </row>
    <row r="4423" spans="1:9" ht="15">
      <c r="A4423" s="21">
        <f t="shared" si="81"/>
        <v>35</v>
      </c>
      <c r="B4423" s="14" t="s">
        <v>5871</v>
      </c>
      <c r="C4423" s="85" t="str">
        <f ca="1">IFERROR(__xludf.DUMMYFUNCTION("GOOGLETRANSLATE(B4423:B4438,""RU"",""UK"")"),"Пускач магнітний ПМА - 4100 - 63А (кат. 220В/кат. 380В)")</f>
        <v>Пускач магнітний ПМА - 4100 - 63А (кат. 220В/кат. 380В)</v>
      </c>
      <c r="D4423" s="15" t="s">
        <v>6</v>
      </c>
      <c r="E4423" s="15" t="s">
        <v>749</v>
      </c>
      <c r="F4423" s="91" t="s">
        <v>80</v>
      </c>
      <c r="G4423" s="4"/>
      <c r="H4423" s="4"/>
      <c r="I4423" s="4"/>
    </row>
    <row r="4424" spans="1:9" ht="15">
      <c r="A4424" s="21">
        <f t="shared" si="81"/>
        <v>36</v>
      </c>
      <c r="B4424" s="14" t="s">
        <v>5872</v>
      </c>
      <c r="C4424" s="85" t="str">
        <f ca="1">IFERROR(__xludf.DUMMYFUNCTION("GOOGLETRANSLATE(B4424:B4439,""RU"",""UK"")"),"Пускач магнітний BST - 5LS -80A -5велич. (кат. 380В) у мет. корпусі")</f>
        <v>Пускач магнітний BST - 5LS -80A -5велич. (кат. 380В) у мет. корпусі</v>
      </c>
      <c r="D4424" s="15" t="s">
        <v>6</v>
      </c>
      <c r="E4424" s="15">
        <v>3</v>
      </c>
      <c r="F4424" s="91" t="s">
        <v>3476</v>
      </c>
      <c r="G4424" s="4"/>
      <c r="H4424" s="4"/>
      <c r="I4424" s="4"/>
    </row>
    <row r="4425" spans="1:9" ht="15">
      <c r="A4425" s="21">
        <f t="shared" si="81"/>
        <v>37</v>
      </c>
      <c r="B4425" s="14" t="s">
        <v>5873</v>
      </c>
      <c r="C4425" s="85" t="str">
        <f ca="1">IFERROR(__xludf.DUMMYFUNCTION("GOOGLETRANSLATE(B4425:B4440,""RU"",""UK"")"),"Рубильник розривний ВР 32-31 (100А) 220В")</f>
        <v>Рубильник розривний ВР 32-31 (100А) 220В</v>
      </c>
      <c r="D4425" s="15" t="s">
        <v>6</v>
      </c>
      <c r="E4425" s="15">
        <v>1</v>
      </c>
      <c r="F4425" s="91" t="s">
        <v>1874</v>
      </c>
      <c r="G4425" s="4"/>
      <c r="H4425" s="4"/>
      <c r="I4425" s="4"/>
    </row>
    <row r="4426" spans="1:9" ht="15">
      <c r="A4426" s="21">
        <f t="shared" si="81"/>
        <v>38</v>
      </c>
      <c r="B4426" s="14" t="s">
        <v>5874</v>
      </c>
      <c r="C4426" s="85" t="str">
        <f ca="1">IFERROR(__xludf.DUMMYFUNCTION("GOOGLETRANSLATE(B4426:B4441,""RU"",""UK"")"),"Реле теплове ТРН - 10 (0,32А / 0.5А / 1.5А / 2.5А / 4А)")</f>
        <v>Реле теплове ТРН - 10 (0,32А / 0.5А / 1.5А / 2.5А / 4А)</v>
      </c>
      <c r="D4426" s="15" t="s">
        <v>6</v>
      </c>
      <c r="E4426" s="15" t="s">
        <v>5875</v>
      </c>
      <c r="F4426" s="91" t="s">
        <v>136</v>
      </c>
      <c r="G4426" s="4"/>
      <c r="H4426" s="4"/>
      <c r="I4426" s="4"/>
    </row>
    <row r="4427" spans="1:9" ht="15">
      <c r="A4427" s="21">
        <f t="shared" si="81"/>
        <v>39</v>
      </c>
      <c r="B4427" s="14" t="s">
        <v>5876</v>
      </c>
      <c r="C4427" s="85" t="str">
        <f ca="1">IFERROR(__xludf.DUMMYFUNCTION("GOOGLETRANSLATE(B4427:B4442,""RU"",""UK"")"),"Реле теплове РТЛ - 1004/1005")</f>
        <v>Реле теплове РТЛ - 1004/1005</v>
      </c>
      <c r="D4427" s="15" t="s">
        <v>6</v>
      </c>
      <c r="E4427" s="15" t="s">
        <v>1863</v>
      </c>
      <c r="F4427" s="91" t="s">
        <v>140</v>
      </c>
      <c r="G4427" s="4"/>
      <c r="H4427" s="4"/>
      <c r="I4427" s="4"/>
    </row>
    <row r="4428" spans="1:9" ht="15">
      <c r="A4428" s="21">
        <f t="shared" si="81"/>
        <v>40</v>
      </c>
      <c r="B4428" s="14" t="s">
        <v>5877</v>
      </c>
      <c r="C4428" s="85" t="str">
        <f ca="1">IFERROR(__xludf.DUMMYFUNCTION("GOOGLETRANSLATE(B4428:B4443,""RU"",""UK"")"),"Реле теплове РТЛ-2053")</f>
        <v>Реле теплове РТЛ-2053</v>
      </c>
      <c r="D4428" s="15" t="s">
        <v>6</v>
      </c>
      <c r="E4428" s="15">
        <v>1</v>
      </c>
      <c r="F4428" s="91" t="s">
        <v>53</v>
      </c>
      <c r="G4428" s="4"/>
      <c r="H4428" s="4"/>
      <c r="I4428" s="4"/>
    </row>
    <row r="4429" spans="1:9" ht="15">
      <c r="A4429" s="21">
        <f t="shared" si="81"/>
        <v>41</v>
      </c>
      <c r="B4429" s="14" t="s">
        <v>5878</v>
      </c>
      <c r="C4429" s="85" t="str">
        <f ca="1">IFERROR(__xludf.DUMMYFUNCTION("GOOGLETRANSLATE(B4429:B4444,""RU"",""UK"")"),"Котушка ПМЕ 200 - 110В")</f>
        <v>Котушка ПМЕ 200 - 110В</v>
      </c>
      <c r="D4429" s="15" t="s">
        <v>6</v>
      </c>
      <c r="E4429" s="15">
        <v>3</v>
      </c>
      <c r="F4429" s="91" t="s">
        <v>255</v>
      </c>
      <c r="G4429" s="4"/>
      <c r="H4429" s="4"/>
      <c r="I4429" s="4"/>
    </row>
    <row r="4430" spans="1:9" ht="15">
      <c r="A4430" s="21">
        <f t="shared" si="81"/>
        <v>42</v>
      </c>
      <c r="B4430" s="14" t="s">
        <v>5879</v>
      </c>
      <c r="C4430" s="85" t="str">
        <f ca="1">IFERROR(__xludf.DUMMYFUNCTION("GOOGLETRANSLATE(B4430:B4445,""RU"",""UK"")"),"Реле поплавкове РМ-51")</f>
        <v>Реле поплавкове РМ-51</v>
      </c>
      <c r="D4430" s="15" t="s">
        <v>6</v>
      </c>
      <c r="E4430" s="15">
        <v>4</v>
      </c>
      <c r="F4430" s="91" t="s">
        <v>3274</v>
      </c>
      <c r="G4430" s="4"/>
      <c r="H4430" s="4"/>
      <c r="I4430" s="4"/>
    </row>
    <row r="4431" spans="1:9" ht="15">
      <c r="A4431" s="21">
        <f t="shared" si="81"/>
        <v>43</v>
      </c>
      <c r="B4431" s="14" t="s">
        <v>5880</v>
      </c>
      <c r="C4431" s="85" t="str">
        <f ca="1">IFERROR(__xludf.DUMMYFUNCTION("GOOGLETRANSLATE(B4431:B4446,""RU"",""UK"")"),"Реле проміжне РП 23-25")</f>
        <v>Реле проміжне РП 23-25</v>
      </c>
      <c r="D4431" s="15" t="s">
        <v>6</v>
      </c>
      <c r="E4431" s="15">
        <v>1</v>
      </c>
      <c r="F4431" s="91" t="s">
        <v>136</v>
      </c>
      <c r="G4431" s="4"/>
      <c r="H4431" s="4"/>
      <c r="I4431" s="4"/>
    </row>
    <row r="4432" spans="1:9" ht="15">
      <c r="A4432" s="21">
        <f t="shared" si="81"/>
        <v>44</v>
      </c>
      <c r="B4432" s="14" t="s">
        <v>5881</v>
      </c>
      <c r="C4432" s="85" t="str">
        <f ca="1">IFERROR(__xludf.DUMMYFUNCTION("GOOGLETRANSLATE(B4432:B4447,""RU"",""UK"")"),"Реле часу пневматичне РВП 72М-3221 660В 16А кат.36В/220в")</f>
        <v>Реле часу пневматичне РВП 72М-3221 660В 16А кат.36В/220в</v>
      </c>
      <c r="D4432" s="15" t="s">
        <v>6</v>
      </c>
      <c r="E4432" s="15" t="s">
        <v>793</v>
      </c>
      <c r="F4432" s="91" t="s">
        <v>327</v>
      </c>
      <c r="G4432" s="4"/>
      <c r="H4432" s="4"/>
      <c r="I4432" s="4"/>
    </row>
    <row r="4433" spans="1:9" ht="15">
      <c r="A4433" s="21">
        <f t="shared" si="81"/>
        <v>45</v>
      </c>
      <c r="B4433" s="14" t="s">
        <v>5882</v>
      </c>
      <c r="C4433" s="85" t="str">
        <f ca="1">IFERROR(__xludf.DUMMYFUNCTION("GOOGLETRANSLATE(B4433:B4448,""RU"",""UK"")"),"Реле вказівне у роз'ємі РУ-21-УХЛЗ 24В/РУ-21-УХЛЗ 36В")</f>
        <v>Реле вказівне у роз'ємі РУ-21-УХЛЗ 24В/РУ-21-УХЛЗ 36В</v>
      </c>
      <c r="D4433" s="15" t="s">
        <v>6</v>
      </c>
      <c r="E4433" s="15" t="s">
        <v>1498</v>
      </c>
      <c r="F4433" s="91" t="s">
        <v>348</v>
      </c>
      <c r="G4433" s="4"/>
      <c r="H4433" s="4"/>
      <c r="I4433" s="4"/>
    </row>
    <row r="4434" spans="1:9" ht="15">
      <c r="A4434" s="21">
        <f t="shared" si="81"/>
        <v>46</v>
      </c>
      <c r="B4434" s="14" t="s">
        <v>5883</v>
      </c>
      <c r="C4434" s="85" t="str">
        <f ca="1">IFERROR(__xludf.DUMMYFUNCTION("GOOGLETRANSLATE(B4434:B4449,""RU"",""UK"")"),"Пристрій пусковий захисно-вимикаючий 380В 4.5кВт 25А (30ПУ-25)")</f>
        <v>Пристрій пусковий захисно-вимикаючий 380В 4.5кВт 25А (30ПУ-25)</v>
      </c>
      <c r="D4434" s="15" t="s">
        <v>6</v>
      </c>
      <c r="E4434" s="15">
        <v>9</v>
      </c>
      <c r="F4434" s="91" t="s">
        <v>3248</v>
      </c>
      <c r="G4434" s="4"/>
      <c r="H4434" s="4"/>
      <c r="I4434" s="4"/>
    </row>
    <row r="4435" spans="1:9" ht="15">
      <c r="A4435" s="21">
        <f t="shared" si="81"/>
        <v>47</v>
      </c>
      <c r="B4435" s="14" t="s">
        <v>5884</v>
      </c>
      <c r="C4435" s="85" t="str">
        <f ca="1">IFERROR(__xludf.DUMMYFUNCTION("GOOGLETRANSLATE(B4435:B4450,""RU"",""UK"")"),"Кінцевий вимикач ВПК 2110 БО2")</f>
        <v>Кінцевий вимикач ВПК 2110 БО2</v>
      </c>
      <c r="D4435" s="15" t="s">
        <v>6</v>
      </c>
      <c r="E4435" s="15">
        <v>32</v>
      </c>
      <c r="F4435" s="91" t="s">
        <v>319</v>
      </c>
      <c r="G4435" s="4"/>
      <c r="H4435" s="4"/>
      <c r="I4435" s="4"/>
    </row>
    <row r="4436" spans="1:9" ht="15">
      <c r="A4436" s="21">
        <f t="shared" si="81"/>
        <v>48</v>
      </c>
      <c r="B4436" s="14" t="s">
        <v>5885</v>
      </c>
      <c r="C4436" s="85" t="str">
        <f ca="1">IFERROR(__xludf.DUMMYFUNCTION("GOOGLETRANSLATE(B4436:B4451,""RU"",""UK"")"),"Кінцевий вимикач ВП 15Д21Б (211) 54У2,3")</f>
        <v>Кінцевий вимикач ВП 15Д21Б (211) 54У2,3</v>
      </c>
      <c r="D4436" s="15" t="s">
        <v>6</v>
      </c>
      <c r="E4436" s="15">
        <v>85</v>
      </c>
      <c r="F4436" s="91" t="s">
        <v>1518</v>
      </c>
      <c r="G4436" s="4"/>
      <c r="H4436" s="4"/>
      <c r="I4436" s="4"/>
    </row>
    <row r="4437" spans="1:9" ht="15">
      <c r="A4437" s="21">
        <f t="shared" si="81"/>
        <v>49</v>
      </c>
      <c r="B4437" s="14" t="s">
        <v>5886</v>
      </c>
      <c r="C4437" s="85" t="str">
        <f ca="1">IFERROR(__xludf.DUMMYFUNCTION("GOOGLETRANSLATE(B4437:B4452,""RU"",""UK"")"),"Кінцевий вимикач ВП 16П123 Б23 16А")</f>
        <v>Кінцевий вимикач ВП 16П123 Б23 16А</v>
      </c>
      <c r="D4437" s="15" t="s">
        <v>6</v>
      </c>
      <c r="E4437" s="15">
        <v>11</v>
      </c>
      <c r="F4437" s="91" t="s">
        <v>194</v>
      </c>
      <c r="G4437" s="4"/>
      <c r="H4437" s="4"/>
      <c r="I4437" s="4"/>
    </row>
    <row r="4438" spans="1:9" ht="15">
      <c r="A4438" s="21">
        <f t="shared" si="81"/>
        <v>50</v>
      </c>
      <c r="B4438" s="14" t="s">
        <v>5887</v>
      </c>
      <c r="C4438" s="85" t="str">
        <f ca="1">IFERROR(__xludf.DUMMYFUNCTION("GOOGLETRANSLATE(B4438:B4453,""RU"",""UK"")"),"Кінцевий вимикач ВП 19М21 5411-67У2 10А")</f>
        <v>Кінцевий вимикач ВП 19М21 5411-67У2 10А</v>
      </c>
      <c r="D4438" s="15" t="s">
        <v>6</v>
      </c>
      <c r="E4438" s="15">
        <v>10</v>
      </c>
      <c r="F4438" s="91" t="s">
        <v>348</v>
      </c>
      <c r="G4438" s="4"/>
      <c r="H4438" s="4"/>
      <c r="I4438" s="4"/>
    </row>
    <row r="4439" spans="1:9" ht="15">
      <c r="A4439" s="21">
        <f t="shared" si="81"/>
        <v>51</v>
      </c>
      <c r="B4439" s="14" t="s">
        <v>5888</v>
      </c>
      <c r="C4439" s="85" t="str">
        <f ca="1">IFERROR(__xludf.DUMMYFUNCTION("GOOGLETRANSLATE(B4439:B4454,""RU"",""UK"")"),"Кінцевий вимикач ВПВ-4")</f>
        <v>Кінцевий вимикач ВПВ-4</v>
      </c>
      <c r="D4439" s="15" t="s">
        <v>6</v>
      </c>
      <c r="E4439" s="15">
        <v>3</v>
      </c>
      <c r="F4439" s="91" t="s">
        <v>842</v>
      </c>
      <c r="G4439" s="4"/>
      <c r="H4439" s="4"/>
      <c r="I4439" s="4"/>
    </row>
    <row r="4440" spans="1:9" ht="15">
      <c r="A4440" s="21">
        <f t="shared" si="81"/>
        <v>52</v>
      </c>
      <c r="B4440" s="14" t="s">
        <v>5889</v>
      </c>
      <c r="C4440" s="85" t="str">
        <f ca="1">IFERROR(__xludf.DUMMYFUNCTION("GOOGLETRANSLATE(B4440:B4455,""RU"",""UK"")"),"Кінцевий вимикач ВК 200Г")</f>
        <v>Кінцевий вимикач ВК 200Г</v>
      </c>
      <c r="D4440" s="15" t="s">
        <v>6</v>
      </c>
      <c r="E4440" s="15">
        <v>4</v>
      </c>
      <c r="F4440" s="91" t="s">
        <v>140</v>
      </c>
      <c r="G4440" s="4"/>
      <c r="H4440" s="4"/>
      <c r="I4440" s="4"/>
    </row>
    <row r="4441" spans="1:9" ht="15">
      <c r="A4441" s="21">
        <f t="shared" si="81"/>
        <v>53</v>
      </c>
      <c r="B4441" s="14" t="s">
        <v>5890</v>
      </c>
      <c r="C4441" s="85" t="str">
        <f ca="1">IFERROR(__xludf.DUMMYFUNCTION("GOOGLETRANSLATE(B4441:B4456,""RU"",""UK"")"),"Кінцевий вимикач ВК 300Г")</f>
        <v>Кінцевий вимикач ВК 300Г</v>
      </c>
      <c r="D4441" s="15" t="s">
        <v>6</v>
      </c>
      <c r="E4441" s="15">
        <v>17</v>
      </c>
      <c r="F4441" s="91" t="s">
        <v>162</v>
      </c>
      <c r="G4441" s="4"/>
      <c r="H4441" s="4"/>
      <c r="I4441" s="4"/>
    </row>
    <row r="4442" spans="1:9" ht="15">
      <c r="A4442" s="21">
        <f t="shared" si="81"/>
        <v>54</v>
      </c>
      <c r="B4442" s="14" t="s">
        <v>5891</v>
      </c>
      <c r="C4442" s="85" t="str">
        <f ca="1">IFERROR(__xludf.DUMMYFUNCTION("GOOGLETRANSLATE(B4442:B4457,""RU"",""UK"")"),"Кінцевий вимикач МП 1305-ЛУ2-10А/МП3 380В 3А/МП1303-2ЛУ2")</f>
        <v>Кінцевий вимикач МП 1305-ЛУ2-10А/МП3 380В 3А/МП1303-2ЛУ2</v>
      </c>
      <c r="D4442" s="15" t="s">
        <v>6</v>
      </c>
      <c r="E4442" s="15" t="s">
        <v>5892</v>
      </c>
      <c r="F4442" s="91" t="s">
        <v>183</v>
      </c>
      <c r="G4442" s="4"/>
      <c r="H4442" s="4"/>
      <c r="I4442" s="4"/>
    </row>
    <row r="4443" spans="1:9" ht="15">
      <c r="A4443" s="21">
        <f t="shared" si="81"/>
        <v>55</v>
      </c>
      <c r="B4443" s="14" t="s">
        <v>5893</v>
      </c>
      <c r="C4443" s="85" t="str">
        <f ca="1">IFERROR(__xludf.DUMMYFUNCTION("GOOGLETRANSLATE(B4443:B4458,""RU"",""UK"")"),"Кінцевий вимикач МП 1306-ЛУ2-ісп1 / МП 2303-ЛУ2-ісп91")</f>
        <v>Кінцевий вимикач МП 1306-ЛУ2-ісп1 / МП 2303-ЛУ2-ісп91</v>
      </c>
      <c r="D4443" s="15" t="s">
        <v>6</v>
      </c>
      <c r="E4443" s="15" t="s">
        <v>5894</v>
      </c>
      <c r="F4443" s="91" t="s">
        <v>495</v>
      </c>
      <c r="G4443" s="4"/>
      <c r="H4443" s="4"/>
      <c r="I4443" s="4"/>
    </row>
    <row r="4444" spans="1:9" ht="15">
      <c r="A4444" s="21">
        <f t="shared" si="81"/>
        <v>56</v>
      </c>
      <c r="B4444" s="14" t="s">
        <v>5895</v>
      </c>
      <c r="C4444" s="85" t="str">
        <f ca="1">IFERROR(__xludf.DUMMYFUNCTION("GOOGLETRANSLATE(B4444:B4459,""RU"",""UK"")"),"Кінцевий вимикач МП 120 -3ухл3")</f>
        <v>Кінцевий вимикач МП 120 -3ухл3</v>
      </c>
      <c r="D4444" s="15" t="s">
        <v>6</v>
      </c>
      <c r="E4444" s="15">
        <v>1</v>
      </c>
      <c r="F4444" s="91" t="s">
        <v>181</v>
      </c>
      <c r="G4444" s="4"/>
      <c r="H4444" s="4"/>
      <c r="I4444" s="4"/>
    </row>
    <row r="4445" spans="1:9" ht="15">
      <c r="A4445" s="21">
        <f t="shared" si="81"/>
        <v>57</v>
      </c>
      <c r="B4445" s="14" t="s">
        <v>5896</v>
      </c>
      <c r="C4445" s="85" t="str">
        <f ca="1">IFERROR(__xludf.DUMMYFUNCTION("GOOGLETRANSLATE(B4445:B4460,""RU"",""UK"")"),"Кінцевий вимикач КУ-123-13 (380В)")</f>
        <v>Кінцевий вимикач КУ-123-13 (380В)</v>
      </c>
      <c r="D4445" s="15" t="s">
        <v>6</v>
      </c>
      <c r="E4445" s="15">
        <v>3</v>
      </c>
      <c r="F4445" s="91" t="s">
        <v>53</v>
      </c>
      <c r="G4445" s="4"/>
      <c r="H4445" s="4"/>
      <c r="I4445" s="4"/>
    </row>
    <row r="4446" spans="1:9" ht="15">
      <c r="A4446" s="21">
        <f t="shared" si="81"/>
        <v>58</v>
      </c>
      <c r="B4446" s="14" t="s">
        <v>5897</v>
      </c>
      <c r="C4446" s="85" t="str">
        <f ca="1">IFERROR(__xludf.DUMMYFUNCTION("GOOGLETRANSLATE(B4446:B4461,""RU"",""UK"")"),"Кінцевий вимикач КУ-701")</f>
        <v>Кінцевий вимикач КУ-701</v>
      </c>
      <c r="D4446" s="15" t="s">
        <v>6</v>
      </c>
      <c r="E4446" s="15">
        <v>1</v>
      </c>
      <c r="F4446" s="91" t="s">
        <v>102</v>
      </c>
      <c r="G4446" s="4"/>
      <c r="H4446" s="4"/>
      <c r="I4446" s="4"/>
    </row>
    <row r="4447" spans="1:9" ht="15">
      <c r="A4447" s="21">
        <f t="shared" si="81"/>
        <v>59</v>
      </c>
      <c r="B4447" s="14" t="s">
        <v>5898</v>
      </c>
      <c r="C4447" s="85" t="str">
        <f ca="1">IFERROR(__xludf.DUMMYFUNCTION("GOOGLETRANSLATE(B4447:B4462,""RU"",""UK"")"),"Кінцевий мікроперемикач МП 1105 ПУХЛ3-10А")</f>
        <v>Кінцевий мікроперемикач МП 1105 ПУХЛ3-10А</v>
      </c>
      <c r="D4447" s="15" t="s">
        <v>6</v>
      </c>
      <c r="E4447" s="15">
        <v>11</v>
      </c>
      <c r="F4447" s="91" t="s">
        <v>584</v>
      </c>
      <c r="G4447" s="4"/>
      <c r="H4447" s="4"/>
      <c r="I4447" s="4"/>
    </row>
    <row r="4448" spans="1:9" ht="15">
      <c r="A4448" s="21">
        <f t="shared" si="81"/>
        <v>60</v>
      </c>
      <c r="B4448" s="14" t="s">
        <v>5899</v>
      </c>
      <c r="C4448" s="85" t="str">
        <f ca="1">IFERROR(__xludf.DUMMYFUNCTION("GOOGLETRANSLATE(B4448:B4463,""RU"",""UK"")"),"Кінцевий мікроперемикач МП 1107 ПУХЛ3-10А")</f>
        <v>Кінцевий мікроперемикач МП 1107 ПУХЛ3-10А</v>
      </c>
      <c r="D4448" s="15" t="s">
        <v>6</v>
      </c>
      <c r="E4448" s="15">
        <v>32</v>
      </c>
      <c r="F4448" s="91" t="s">
        <v>584</v>
      </c>
      <c r="G4448" s="4"/>
      <c r="H4448" s="4"/>
      <c r="I4448" s="4"/>
    </row>
    <row r="4449" spans="1:9" ht="15">
      <c r="A4449" s="21">
        <f t="shared" si="81"/>
        <v>61</v>
      </c>
      <c r="B4449" s="14" t="s">
        <v>5900</v>
      </c>
      <c r="C4449" s="85" t="str">
        <f ca="1">IFERROR(__xludf.DUMMYFUNCTION("GOOGLETRANSLATE(B4449:B4464,""RU"",""UK"")"),"Кінцевий мікроперемикач МП 2102 У4-10А")</f>
        <v>Кінцевий мікроперемикач МП 2102 У4-10А</v>
      </c>
      <c r="D4449" s="15" t="s">
        <v>6</v>
      </c>
      <c r="E4449" s="15">
        <v>1</v>
      </c>
      <c r="F4449" s="91" t="s">
        <v>2858</v>
      </c>
      <c r="G4449" s="4"/>
      <c r="H4449" s="4"/>
      <c r="I4449" s="4"/>
    </row>
    <row r="4450" spans="1:9" ht="15">
      <c r="A4450" s="21">
        <f t="shared" si="81"/>
        <v>62</v>
      </c>
      <c r="B4450" s="14" t="s">
        <v>5901</v>
      </c>
      <c r="C4450" s="85" t="str">
        <f ca="1">IFERROR(__xludf.DUMMYFUNCTION("GOOGLETRANSLATE(B4450:B4465,""RU"",""UK"")"),"Кнопка КЕ 121 (синя)")</f>
        <v>Кнопка КЕ 121 (синя)</v>
      </c>
      <c r="D4450" s="15" t="s">
        <v>6</v>
      </c>
      <c r="E4450" s="15">
        <v>4</v>
      </c>
      <c r="F4450" s="91" t="s">
        <v>314</v>
      </c>
      <c r="G4450" s="4"/>
      <c r="H4450" s="4"/>
      <c r="I4450" s="4"/>
    </row>
    <row r="4451" spans="1:9" ht="15">
      <c r="A4451" s="21">
        <f t="shared" si="81"/>
        <v>63</v>
      </c>
      <c r="B4451" s="14" t="s">
        <v>5902</v>
      </c>
      <c r="C4451" s="85" t="str">
        <f ca="1">IFERROR(__xludf.DUMMYFUNCTION("GOOGLETRANSLATE(B4451:B4466,""RU"",""UK"")"),"Кнопка ВК 1421 (червона)")</f>
        <v>Кнопка ВК 1421 (червона)</v>
      </c>
      <c r="D4451" s="15" t="s">
        <v>6</v>
      </c>
      <c r="E4451" s="15">
        <v>11</v>
      </c>
      <c r="F4451" s="91" t="s">
        <v>314</v>
      </c>
      <c r="G4451" s="4"/>
      <c r="H4451" s="4"/>
      <c r="I4451" s="4"/>
    </row>
    <row r="4452" spans="1:9" ht="15">
      <c r="A4452" s="21">
        <f t="shared" si="81"/>
        <v>64</v>
      </c>
      <c r="B4452" s="14" t="s">
        <v>5903</v>
      </c>
      <c r="C4452" s="85" t="str">
        <f ca="1">IFERROR(__xludf.DUMMYFUNCTION("GOOGLETRANSLATE(B4452:B4467,""RU"",""UK"")"),"Кнопка КЕ 201 (червона) (грибок)")</f>
        <v>Кнопка КЕ 201 (червона) (грибок)</v>
      </c>
      <c r="D4452" s="15" t="s">
        <v>6</v>
      </c>
      <c r="E4452" s="15">
        <v>2</v>
      </c>
      <c r="F4452" s="91" t="s">
        <v>257</v>
      </c>
      <c r="G4452" s="4"/>
      <c r="H4452" s="4"/>
      <c r="I4452" s="4"/>
    </row>
    <row r="4453" spans="1:9" ht="15">
      <c r="A4453" s="21">
        <f t="shared" si="81"/>
        <v>65</v>
      </c>
      <c r="B4453" s="14" t="s">
        <v>5904</v>
      </c>
      <c r="C4453" s="85" t="str">
        <f ca="1">IFERROR(__xludf.DUMMYFUNCTION("GOOGLETRANSLATE(B4453:B4468,""RU"",""UK"")"),"Кнопка КЕ 021 УЗ 10А всередину (червона) грибок / (чорна) грибок")</f>
        <v>Кнопка КЕ 021 УЗ 10А всередину (червона) грибок / (чорна) грибок</v>
      </c>
      <c r="D4453" s="15" t="s">
        <v>6</v>
      </c>
      <c r="E4453" s="15" t="s">
        <v>5905</v>
      </c>
      <c r="F4453" s="91" t="s">
        <v>257</v>
      </c>
      <c r="G4453" s="4"/>
      <c r="H4453" s="4"/>
      <c r="I4453" s="4"/>
    </row>
    <row r="4454" spans="1:9" ht="15">
      <c r="A4454" s="21">
        <f t="shared" si="81"/>
        <v>66</v>
      </c>
      <c r="B4454" s="14" t="s">
        <v>5906</v>
      </c>
      <c r="C4454" s="85" t="str">
        <f ca="1">IFERROR(__xludf.DUMMYFUNCTION("GOOGLETRANSLATE(B4454:B4469,""RU"",""UK"")"),"Кнопка КЕ 181 У2 10А (червона, червона)")</f>
        <v>Кнопка КЕ 181 У2 10А (червона, червона)</v>
      </c>
      <c r="D4454" s="15" t="s">
        <v>6</v>
      </c>
      <c r="E4454" s="15" t="s">
        <v>696</v>
      </c>
      <c r="F4454" s="91" t="s">
        <v>314</v>
      </c>
      <c r="G4454" s="4"/>
      <c r="H4454" s="4"/>
      <c r="I4454" s="4"/>
    </row>
    <row r="4455" spans="1:9" ht="15">
      <c r="A4455" s="21">
        <f t="shared" ref="A4455:A4518" si="82">A4454+1</f>
        <v>67</v>
      </c>
      <c r="B4455" s="14" t="s">
        <v>5907</v>
      </c>
      <c r="C4455" s="85" t="str">
        <f ca="1">IFERROR(__xludf.DUMMYFUNCTION("GOOGLETRANSLATE(B4455:B4470,""RU"",""UK"")"),"Кнопка КЕ 181 У2 10А (жовта, зелена)")</f>
        <v>Кнопка КЕ 181 У2 10А (жовта, зелена)</v>
      </c>
      <c r="D4455" s="15" t="s">
        <v>6</v>
      </c>
      <c r="E4455" s="15" t="s">
        <v>737</v>
      </c>
      <c r="F4455" s="91" t="s">
        <v>314</v>
      </c>
      <c r="G4455" s="4"/>
      <c r="H4455" s="4"/>
      <c r="I4455" s="4"/>
    </row>
    <row r="4456" spans="1:9" ht="15">
      <c r="A4456" s="21">
        <f t="shared" si="82"/>
        <v>68</v>
      </c>
      <c r="B4456" s="14" t="s">
        <v>5908</v>
      </c>
      <c r="C4456" s="85" t="str">
        <f ca="1">IFERROR(__xludf.DUMMYFUNCTION("GOOGLETRANSLATE(B4456:B4471,""RU"",""UK"")"),"Кнопка КЕ 011 6А (жовта/червона)")</f>
        <v>Кнопка КЕ 011 6А (жовта/червона)</v>
      </c>
      <c r="D4456" s="15" t="s">
        <v>6</v>
      </c>
      <c r="E4456" s="15" t="s">
        <v>438</v>
      </c>
      <c r="F4456" s="91" t="s">
        <v>314</v>
      </c>
      <c r="G4456" s="4"/>
      <c r="H4456" s="4"/>
      <c r="I4456" s="4"/>
    </row>
    <row r="4457" spans="1:9" ht="15">
      <c r="A4457" s="21">
        <f t="shared" si="82"/>
        <v>69</v>
      </c>
      <c r="B4457" s="14" t="s">
        <v>5909</v>
      </c>
      <c r="C4457" s="85" t="str">
        <f ca="1">IFERROR(__xludf.DUMMYFUNCTION("GOOGLETRANSLATE(B4457:B4472,""RU"",""UK"")"),"Кнопка КМЕ 4101 10А (чорна/червона) / КМЕ 4211")</f>
        <v>Кнопка КМЕ 4101 10А (чорна/червона) / КМЕ 4211</v>
      </c>
      <c r="D4457" s="15" t="s">
        <v>6</v>
      </c>
      <c r="E4457" s="15" t="s">
        <v>5910</v>
      </c>
      <c r="F4457" s="91" t="s">
        <v>314</v>
      </c>
      <c r="G4457" s="4"/>
      <c r="H4457" s="4"/>
      <c r="I4457" s="4"/>
    </row>
    <row r="4458" spans="1:9" ht="15">
      <c r="A4458" s="21">
        <f t="shared" si="82"/>
        <v>70</v>
      </c>
      <c r="B4458" s="14" t="s">
        <v>5911</v>
      </c>
      <c r="C4458" s="85" t="str">
        <f ca="1">IFERROR(__xludf.DUMMYFUNCTION("GOOGLETRANSLATE(B4458:B4473,""RU"",""UK"")"),"Кнопка ПКЕ 112-2У3 (пуск-стоп) внутр. .")</f>
        <v>Кнопка ПКЕ 112-2У3 (пуск-стоп) внутр. .</v>
      </c>
      <c r="D4458" s="15" t="s">
        <v>6</v>
      </c>
      <c r="E4458" s="15">
        <v>31</v>
      </c>
      <c r="F4458" s="91" t="s">
        <v>255</v>
      </c>
      <c r="G4458" s="4"/>
      <c r="H4458" s="4"/>
      <c r="I4458" s="4"/>
    </row>
    <row r="4459" spans="1:9" ht="15">
      <c r="A4459" s="21">
        <f t="shared" si="82"/>
        <v>71</v>
      </c>
      <c r="B4459" s="14" t="s">
        <v>5912</v>
      </c>
      <c r="C4459" s="85" t="str">
        <f ca="1">IFERROR(__xludf.DUMMYFUNCTION("GOOGLETRANSLATE(B4459:B4474,""RU"",""UK"")"),"Кнопка ПКЕ 121-1У2 (пуск-стоп) внутр.")</f>
        <v>Кнопка ПКЕ 121-1У2 (пуск-стоп) внутр.</v>
      </c>
      <c r="D4459" s="15" t="s">
        <v>6</v>
      </c>
      <c r="E4459" s="15">
        <v>2</v>
      </c>
      <c r="F4459" s="91" t="s">
        <v>255</v>
      </c>
      <c r="G4459" s="4"/>
      <c r="H4459" s="4"/>
      <c r="I4459" s="4"/>
    </row>
    <row r="4460" spans="1:9" ht="15">
      <c r="A4460" s="21">
        <f t="shared" si="82"/>
        <v>72</v>
      </c>
      <c r="B4460" s="14" t="s">
        <v>5913</v>
      </c>
      <c r="C4460" s="85" t="str">
        <f ca="1">IFERROR(__xludf.DUMMYFUNCTION("GOOGLETRANSLATE(B4460:B4475,""RU"",""UK"")"),"Кнопка ПКЕ 612-2У3 (пуск-стоп) внут. / КМ3-2мет. народ.")</f>
        <v>Кнопка ПКЕ 612-2У3 (пуск-стоп) внут. / КМ3-2мет. народ.</v>
      </c>
      <c r="D4460" s="15" t="s">
        <v>6</v>
      </c>
      <c r="E4460" s="15" t="s">
        <v>2209</v>
      </c>
      <c r="F4460" s="91" t="s">
        <v>181</v>
      </c>
      <c r="G4460" s="4"/>
      <c r="H4460" s="4"/>
      <c r="I4460" s="4"/>
    </row>
    <row r="4461" spans="1:9" ht="15">
      <c r="A4461" s="21">
        <f t="shared" si="82"/>
        <v>73</v>
      </c>
      <c r="B4461" s="14" t="s">
        <v>5914</v>
      </c>
      <c r="C4461" s="85" t="str">
        <f ca="1">IFERROR(__xludf.DUMMYFUNCTION("GOOGLETRANSLATE(B4461:B4476,""RU"",""UK"")"),"Кнопка ПКЕ 212-1У3 нар. у карбол. корпусі")</f>
        <v>Кнопка ПКЕ 212-1У3 нар. у карбол. корпусі</v>
      </c>
      <c r="D4461" s="15" t="s">
        <v>6</v>
      </c>
      <c r="E4461" s="15">
        <v>1</v>
      </c>
      <c r="F4461" s="91" t="s">
        <v>5915</v>
      </c>
      <c r="G4461" s="4"/>
      <c r="H4461" s="4"/>
      <c r="I4461" s="4"/>
    </row>
    <row r="4462" spans="1:9" ht="15">
      <c r="A4462" s="21">
        <f t="shared" si="82"/>
        <v>74</v>
      </c>
      <c r="B4462" s="14" t="s">
        <v>5916</v>
      </c>
      <c r="C4462" s="85" t="str">
        <f ca="1">IFERROR(__xludf.DUMMYFUNCTION("GOOGLETRANSLATE(B4462:B4477,""RU"",""UK"")"),"Кнопка ПКЕ 222-1У2 (чорна) / (червона) закр.нар.")</f>
        <v>Кнопка ПКЕ 222-1У2 (чорна) / (червона) закр.нар.</v>
      </c>
      <c r="D4462" s="15" t="s">
        <v>6</v>
      </c>
      <c r="E4462" s="15" t="s">
        <v>5917</v>
      </c>
      <c r="F4462" s="91" t="s">
        <v>104</v>
      </c>
      <c r="G4462" s="4"/>
      <c r="H4462" s="4"/>
      <c r="I4462" s="4"/>
    </row>
    <row r="4463" spans="1:9" ht="15">
      <c r="A4463" s="21">
        <f t="shared" si="82"/>
        <v>75</v>
      </c>
      <c r="B4463" s="14" t="s">
        <v>5918</v>
      </c>
      <c r="C4463" s="85" t="str">
        <f ca="1">IFERROR(__xludf.DUMMYFUNCTION("GOOGLETRANSLATE(B4463:B4478,""RU"",""UK"")"),"Кнопка ПКЕ 222-3У2 (стоп/2пуск) закр.нар. у карб. Корпусі")</f>
        <v>Кнопка ПКЕ 222-3У2 (стоп/2пуск) закр.нар. у карб. Корпусі</v>
      </c>
      <c r="D4463" s="15" t="s">
        <v>6</v>
      </c>
      <c r="E4463" s="15">
        <v>23</v>
      </c>
      <c r="F4463" s="91" t="s">
        <v>351</v>
      </c>
      <c r="G4463" s="4"/>
      <c r="H4463" s="4"/>
      <c r="I4463" s="4"/>
    </row>
    <row r="4464" spans="1:9" ht="15">
      <c r="A4464" s="21">
        <f t="shared" si="82"/>
        <v>76</v>
      </c>
      <c r="B4464" s="14" t="s">
        <v>5919</v>
      </c>
      <c r="C4464" s="85" t="str">
        <f ca="1">IFERROR(__xludf.DUMMYFUNCTION("GOOGLETRANSLATE(B4464:B4479,""RU"",""UK"")"),"Кнопка ПКЕ 212-3У2 (стоп/2пуск) закр.нар. у карб. корпусі")</f>
        <v>Кнопка ПКЕ 212-3У2 (стоп/2пуск) закр.нар. у карб. корпусі</v>
      </c>
      <c r="D4464" s="15" t="s">
        <v>6</v>
      </c>
      <c r="E4464" s="15">
        <v>9</v>
      </c>
      <c r="F4464" s="91" t="s">
        <v>351</v>
      </c>
      <c r="G4464" s="4"/>
      <c r="H4464" s="4"/>
      <c r="I4464" s="4"/>
    </row>
    <row r="4465" spans="1:9" ht="15">
      <c r="A4465" s="21">
        <f t="shared" si="82"/>
        <v>77</v>
      </c>
      <c r="B4465" s="14" t="s">
        <v>5920</v>
      </c>
      <c r="C4465" s="85" t="str">
        <f ca="1">IFERROR(__xludf.DUMMYFUNCTION("GOOGLETRANSLATE(B4465:B4480,""RU"",""UK"")"),"Кнопка ПКЕ 112-17 (стоп/2пуск) відкр.")</f>
        <v>Кнопка ПКЕ 112-17 (стоп/2пуск) відкр.</v>
      </c>
      <c r="D4465" s="15" t="s">
        <v>6</v>
      </c>
      <c r="E4465" s="15">
        <v>9</v>
      </c>
      <c r="F4465" s="91" t="s">
        <v>212</v>
      </c>
      <c r="G4465" s="4"/>
      <c r="H4465" s="4"/>
      <c r="I4465" s="4"/>
    </row>
    <row r="4466" spans="1:9" ht="15">
      <c r="A4466" s="21">
        <f t="shared" si="82"/>
        <v>78</v>
      </c>
      <c r="B4466" s="14" t="s">
        <v>5921</v>
      </c>
      <c r="C4466" s="85" t="str">
        <f ca="1">IFERROR(__xludf.DUMMYFUNCTION("GOOGLETRANSLATE(B4466:B4481,""RU"",""UK"")"),"Кнопка КУ 122-3У2 (пуск-2/стоп) внутр.")</f>
        <v>Кнопка КУ 122-3У2 (пуск-2/стоп) внутр.</v>
      </c>
      <c r="D4466" s="15" t="s">
        <v>6</v>
      </c>
      <c r="E4466" s="15">
        <v>9</v>
      </c>
      <c r="F4466" s="91" t="s">
        <v>136</v>
      </c>
      <c r="G4466" s="4"/>
      <c r="H4466" s="4"/>
      <c r="I4466" s="4"/>
    </row>
    <row r="4467" spans="1:9" ht="15">
      <c r="A4467" s="21">
        <f t="shared" si="82"/>
        <v>79</v>
      </c>
      <c r="B4467" s="14" t="s">
        <v>5922</v>
      </c>
      <c r="C4467" s="85" t="str">
        <f ca="1">IFERROR(__xludf.DUMMYFUNCTION("GOOGLETRANSLATE(B4467:B4482,""RU"",""UK"")"),"Кнопка КУ 122-383 (пуск/стоп) нар. у мет. корпусі")</f>
        <v>Кнопка КУ 122-383 (пуск/стоп) нар. у мет. корпусі</v>
      </c>
      <c r="D4467" s="15" t="s">
        <v>6</v>
      </c>
      <c r="E4467" s="15">
        <v>4</v>
      </c>
      <c r="F4467" s="91" t="s">
        <v>1194</v>
      </c>
      <c r="G4467" s="4"/>
      <c r="H4467" s="4"/>
      <c r="I4467" s="4"/>
    </row>
    <row r="4468" spans="1:9" ht="15">
      <c r="A4468" s="21">
        <f t="shared" si="82"/>
        <v>80</v>
      </c>
      <c r="B4468" s="14" t="s">
        <v>5923</v>
      </c>
      <c r="C4468" s="85" t="str">
        <f ca="1">IFERROR(__xludf.DUMMYFUNCTION("GOOGLETRANSLATE(B4468:B4483,""RU"",""UK"")"),"Кнопка КУ 121-1М(стоп)")</f>
        <v>Кнопка КУ 121-1М(стоп)</v>
      </c>
      <c r="D4468" s="15" t="s">
        <v>6</v>
      </c>
      <c r="E4468" s="15">
        <v>2</v>
      </c>
      <c r="F4468" s="91" t="s">
        <v>209</v>
      </c>
      <c r="G4468" s="4"/>
      <c r="H4468" s="4"/>
      <c r="I4468" s="4"/>
    </row>
    <row r="4469" spans="1:9" ht="15">
      <c r="A4469" s="21">
        <f t="shared" si="82"/>
        <v>81</v>
      </c>
      <c r="B4469" s="14" t="s">
        <v>5924</v>
      </c>
      <c r="C4469" s="85" t="str">
        <f ca="1">IFERROR(__xludf.DUMMYFUNCTION("GOOGLETRANSLATE(B4469:B4484,""RU"",""UK"")"),"Кнопка КМ3-2-У3")</f>
        <v>Кнопка КМ3-2-У3</v>
      </c>
      <c r="D4469" s="15" t="s">
        <v>6</v>
      </c>
      <c r="E4469" s="15">
        <v>2</v>
      </c>
      <c r="F4469" s="91" t="s">
        <v>598</v>
      </c>
      <c r="G4469" s="4"/>
      <c r="H4469" s="4"/>
      <c r="I4469" s="4"/>
    </row>
    <row r="4470" spans="1:9" ht="15">
      <c r="A4470" s="21">
        <f t="shared" si="82"/>
        <v>82</v>
      </c>
      <c r="B4470" s="14" t="s">
        <v>5925</v>
      </c>
      <c r="C4470" s="85" t="str">
        <f ca="1">IFERROR(__xludf.DUMMYFUNCTION("GOOGLETRANSLATE(B4470:B4485,""RU"",""UK"")"),"Пульт кнопковий ПКТ 40-У2 (4 кнопки)")</f>
        <v>Пульт кнопковий ПКТ 40-У2 (4 кнопки)</v>
      </c>
      <c r="D4470" s="15" t="s">
        <v>6</v>
      </c>
      <c r="E4470" s="15">
        <v>2</v>
      </c>
      <c r="F4470" s="91" t="s">
        <v>327</v>
      </c>
      <c r="G4470" s="4"/>
      <c r="H4470" s="4"/>
      <c r="I4470" s="4"/>
    </row>
    <row r="4471" spans="1:9" ht="15">
      <c r="A4471" s="21">
        <f t="shared" si="82"/>
        <v>83</v>
      </c>
      <c r="B4471" s="14" t="s">
        <v>5926</v>
      </c>
      <c r="C4471" s="85" t="str">
        <f ca="1">IFERROR(__xludf.DUMMYFUNCTION("GOOGLETRANSLATE(B4471:B4486,""RU"",""UK"")"),"Трансформатор ОСМ-1 0.4кВт 380/12В")</f>
        <v>Трансформатор ОСМ-1 0.4кВт 380/12В</v>
      </c>
      <c r="D4471" s="15" t="s">
        <v>6</v>
      </c>
      <c r="E4471" s="15">
        <v>1</v>
      </c>
      <c r="F4471" s="91" t="s">
        <v>4064</v>
      </c>
      <c r="G4471" s="4"/>
      <c r="H4471" s="4"/>
      <c r="I4471" s="4"/>
    </row>
    <row r="4472" spans="1:9" ht="15">
      <c r="A4472" s="21">
        <f t="shared" si="82"/>
        <v>84</v>
      </c>
      <c r="B4472" s="14" t="s">
        <v>5927</v>
      </c>
      <c r="C4472" s="85" t="str">
        <f ca="1">IFERROR(__xludf.DUMMYFUNCTION("GOOGLETRANSLATE(B4472:B4487,""RU"",""UK"")"),"Трансформатор ТАН-60 220/50В")</f>
        <v>Трансформатор ТАН-60 220/50В</v>
      </c>
      <c r="D4472" s="15" t="s">
        <v>6</v>
      </c>
      <c r="E4472" s="15">
        <v>1</v>
      </c>
      <c r="F4472" s="91" t="s">
        <v>63</v>
      </c>
      <c r="G4472" s="4"/>
      <c r="H4472" s="4"/>
      <c r="I4472" s="4"/>
    </row>
    <row r="4473" spans="1:9" ht="15">
      <c r="A4473" s="21">
        <f t="shared" si="82"/>
        <v>85</v>
      </c>
      <c r="B4473" s="14" t="s">
        <v>5928</v>
      </c>
      <c r="C4473" s="85" t="str">
        <f ca="1">IFERROR(__xludf.DUMMYFUNCTION("GOOGLETRANSLATE(B4473:B4488,""RU"",""UK"")"),"Трансформатор ОСОВ-0.25кВт 380/36В")</f>
        <v>Трансформатор ОСОВ-0.25кВт 380/36В</v>
      </c>
      <c r="D4473" s="15" t="s">
        <v>6</v>
      </c>
      <c r="E4473" s="15">
        <v>1</v>
      </c>
      <c r="F4473" s="91" t="s">
        <v>1088</v>
      </c>
      <c r="G4473" s="4"/>
      <c r="H4473" s="4"/>
      <c r="I4473" s="4"/>
    </row>
    <row r="4474" spans="1:9" ht="15">
      <c r="A4474" s="21">
        <f t="shared" si="82"/>
        <v>86</v>
      </c>
      <c r="B4474" s="14" t="s">
        <v>5929</v>
      </c>
      <c r="C4474" s="85" t="str">
        <f ca="1">IFERROR(__xludf.DUMMYFUNCTION("GOOGLETRANSLATE(B4474:B4489,""RU"",""UK"")"),"Трансформатор ОСМ-1 0.25 кВт 380/82В")</f>
        <v>Трансформатор ОСМ-1 0.25 кВт 380/82В</v>
      </c>
      <c r="D4474" s="15" t="s">
        <v>6</v>
      </c>
      <c r="E4474" s="15">
        <v>1</v>
      </c>
      <c r="F4474" s="91" t="s">
        <v>1088</v>
      </c>
      <c r="G4474" s="4"/>
      <c r="H4474" s="4"/>
      <c r="I4474" s="4"/>
    </row>
    <row r="4475" spans="1:9" ht="15">
      <c r="A4475" s="21">
        <f t="shared" si="82"/>
        <v>87</v>
      </c>
      <c r="B4475" s="14" t="s">
        <v>5930</v>
      </c>
      <c r="C4475" s="85" t="str">
        <f ca="1">IFERROR(__xludf.DUMMYFUNCTION("GOOGLETRANSLATE(B4475:B4490,""RU"",""UK"")"),"Трансформатор ТБСЗ-1 0.063кВт 220/5/24В")</f>
        <v>Трансформатор ТБСЗ-1 0.063кВт 220/5/24В</v>
      </c>
      <c r="D4475" s="15" t="s">
        <v>6</v>
      </c>
      <c r="E4475" s="15">
        <v>2</v>
      </c>
      <c r="F4475" s="91" t="s">
        <v>842</v>
      </c>
      <c r="G4475" s="4"/>
      <c r="H4475" s="4"/>
      <c r="I4475" s="4"/>
    </row>
    <row r="4476" spans="1:9" ht="15">
      <c r="A4476" s="21">
        <f t="shared" si="82"/>
        <v>88</v>
      </c>
      <c r="B4476" s="14" t="s">
        <v>5931</v>
      </c>
      <c r="C4476" s="85" t="str">
        <f ca="1">IFERROR(__xludf.DUMMYFUNCTION("GOOGLETRANSLATE(B4476:B4491,""RU"",""UK"")"),"Дросель для ламп ДРЛ - 250 (закр.+відкр)")</f>
        <v>Дросель для ламп ДРЛ - 250 (закр.+відкр)</v>
      </c>
      <c r="D4476" s="15" t="s">
        <v>6</v>
      </c>
      <c r="E4476" s="15">
        <v>2</v>
      </c>
      <c r="F4476" s="91" t="s">
        <v>1713</v>
      </c>
      <c r="G4476" s="4"/>
      <c r="H4476" s="4"/>
      <c r="I4476" s="4"/>
    </row>
    <row r="4477" spans="1:9" ht="15">
      <c r="A4477" s="21">
        <f t="shared" si="82"/>
        <v>89</v>
      </c>
      <c r="B4477" s="14" t="s">
        <v>5932</v>
      </c>
      <c r="C4477" s="85" t="str">
        <f ca="1">IFERROR(__xludf.DUMMYFUNCTION("GOOGLETRANSLATE(B4477:B4492,""RU"",""UK"")"),"Дросель для ламп ДРЛ - 400 (закр)")</f>
        <v>Дросель для ламп ДРЛ - 400 (закр)</v>
      </c>
      <c r="D4477" s="15" t="s">
        <v>6</v>
      </c>
      <c r="E4477" s="15">
        <v>1</v>
      </c>
      <c r="F4477" s="91" t="s">
        <v>4513</v>
      </c>
      <c r="G4477" s="4"/>
      <c r="H4477" s="4"/>
      <c r="I4477" s="4"/>
    </row>
    <row r="4478" spans="1:9" ht="15">
      <c r="A4478" s="21">
        <f t="shared" si="82"/>
        <v>90</v>
      </c>
      <c r="B4478" s="14" t="s">
        <v>5933</v>
      </c>
      <c r="C4478" s="85" t="str">
        <f ca="1">IFERROR(__xludf.DUMMYFUNCTION("GOOGLETRANSLATE(B4478:B4493,""RU"",""UK"")"),"Світильник РСП-05-700")</f>
        <v>Світильник РСП-05-700</v>
      </c>
      <c r="D4478" s="15" t="s">
        <v>6</v>
      </c>
      <c r="E4478" s="15">
        <v>2</v>
      </c>
      <c r="F4478" s="91" t="s">
        <v>272</v>
      </c>
      <c r="G4478" s="4"/>
      <c r="H4478" s="4"/>
      <c r="I4478" s="4"/>
    </row>
    <row r="4479" spans="1:9" ht="15">
      <c r="A4479" s="21">
        <f t="shared" si="82"/>
        <v>91</v>
      </c>
      <c r="B4479" s="14" t="s">
        <v>5934</v>
      </c>
      <c r="C4479" s="85" t="str">
        <f ca="1">IFERROR(__xludf.DUMMYFUNCTION("GOOGLETRANSLATE(B4479:B4494,""RU"",""UK"")"),"Світильник Н4БН-150")</f>
        <v>Світильник Н4БН-150</v>
      </c>
      <c r="D4479" s="15" t="s">
        <v>6</v>
      </c>
      <c r="E4479" s="15">
        <v>6</v>
      </c>
      <c r="F4479" s="91" t="s">
        <v>16</v>
      </c>
      <c r="G4479" s="4"/>
      <c r="H4479" s="4"/>
      <c r="I4479" s="4"/>
    </row>
    <row r="4480" spans="1:9" ht="15">
      <c r="A4480" s="21">
        <f t="shared" si="82"/>
        <v>92</v>
      </c>
      <c r="B4480" s="14" t="s">
        <v>5935</v>
      </c>
      <c r="C4480" s="85" t="str">
        <f ca="1">IFERROR(__xludf.DUMMYFUNCTION("GOOGLETRANSLATE(B4480:B4495,""RU"",""UK"")"),"Світильник НББ-64-100")</f>
        <v>Світильник НББ-64-100</v>
      </c>
      <c r="D4480" s="15" t="s">
        <v>6</v>
      </c>
      <c r="E4480" s="15">
        <v>4</v>
      </c>
      <c r="F4480" s="91" t="s">
        <v>162</v>
      </c>
      <c r="G4480" s="4"/>
      <c r="H4480" s="4"/>
      <c r="I4480" s="4"/>
    </row>
    <row r="4481" spans="1:9" ht="15">
      <c r="A4481" s="21">
        <f t="shared" si="82"/>
        <v>93</v>
      </c>
      <c r="B4481" s="14" t="s">
        <v>5936</v>
      </c>
      <c r="C4481" s="85" t="str">
        <f ca="1">IFERROR(__xludf.DUMMYFUNCTION("GOOGLETRANSLATE(B4481:B4496,""RU"",""UK"")"),"Світильник Селена-32-100Вт")</f>
        <v>Світильник Селена-32-100Вт</v>
      </c>
      <c r="D4481" s="15" t="s">
        <v>6</v>
      </c>
      <c r="E4481" s="15">
        <v>2</v>
      </c>
      <c r="F4481" s="91" t="s">
        <v>910</v>
      </c>
      <c r="G4481" s="4"/>
      <c r="H4481" s="4"/>
      <c r="I4481" s="4"/>
    </row>
    <row r="4482" spans="1:9" ht="15">
      <c r="A4482" s="21">
        <f t="shared" si="82"/>
        <v>94</v>
      </c>
      <c r="B4482" s="14" t="s">
        <v>5937</v>
      </c>
      <c r="C4482" s="85" t="str">
        <f ca="1">IFERROR(__xludf.DUMMYFUNCTION("GOOGLETRANSLATE(B4482:B4497,""RU"",""UK"")"),"Світильник Ватра")</f>
        <v>Світильник Ватра</v>
      </c>
      <c r="D4482" s="15" t="s">
        <v>6</v>
      </c>
      <c r="E4482" s="15">
        <v>2</v>
      </c>
      <c r="F4482" s="91" t="s">
        <v>24</v>
      </c>
      <c r="G4482" s="4"/>
      <c r="H4482" s="4"/>
      <c r="I4482" s="4"/>
    </row>
    <row r="4483" spans="1:9" ht="15">
      <c r="A4483" s="21">
        <f t="shared" si="82"/>
        <v>95</v>
      </c>
      <c r="B4483" s="14" t="s">
        <v>5938</v>
      </c>
      <c r="C4483" s="85" t="str">
        <f ca="1">IFERROR(__xludf.DUMMYFUNCTION("GOOGLETRANSLATE(B4483:B4498,""RU"",""UK"")"),"Світильник верстатний вологозахищений НКПО4-60 (24В/ 60Вт)")</f>
        <v>Світильник верстатний вологозахищений НКПО4-60 (24В/ 60Вт)</v>
      </c>
      <c r="D4483" s="15" t="s">
        <v>6</v>
      </c>
      <c r="E4483" s="15">
        <v>2</v>
      </c>
      <c r="F4483" s="91" t="s">
        <v>27</v>
      </c>
      <c r="G4483" s="4"/>
      <c r="H4483" s="4"/>
      <c r="I4483" s="4"/>
    </row>
    <row r="4484" spans="1:9" ht="15">
      <c r="A4484" s="21">
        <f t="shared" si="82"/>
        <v>96</v>
      </c>
      <c r="B4484" s="14" t="s">
        <v>5939</v>
      </c>
      <c r="C4484" s="85" t="str">
        <f ca="1">IFERROR(__xludf.DUMMYFUNCTION("GOOGLETRANSLATE(B4484:B4499,""RU"",""UK"")"),"Світильник 4х36")</f>
        <v>Світильник 4х36</v>
      </c>
      <c r="D4484" s="15" t="s">
        <v>6</v>
      </c>
      <c r="E4484" s="15">
        <v>2</v>
      </c>
      <c r="F4484" s="91" t="s">
        <v>1713</v>
      </c>
      <c r="G4484" s="4"/>
      <c r="H4484" s="4"/>
      <c r="I4484" s="4"/>
    </row>
    <row r="4485" spans="1:9" ht="15">
      <c r="A4485" s="21">
        <f t="shared" si="82"/>
        <v>97</v>
      </c>
      <c r="B4485" s="19" t="s">
        <v>5940</v>
      </c>
      <c r="C4485" s="85" t="str">
        <f ca="1">IFERROR(__xludf.DUMMYFUNCTION("GOOGLETRANSLATE(B4485:B4500,""RU"",""UK"")"),"Електропаяльник 220В 65Вт / 80Вт")</f>
        <v>Електропаяльник 220В 65Вт / 80Вт</v>
      </c>
      <c r="D4485" s="15" t="s">
        <v>6</v>
      </c>
      <c r="E4485" s="15">
        <v>0</v>
      </c>
      <c r="F4485" s="91" t="s">
        <v>140</v>
      </c>
      <c r="G4485" s="4"/>
      <c r="H4485" s="4"/>
      <c r="I4485" s="4"/>
    </row>
    <row r="4486" spans="1:9" ht="15">
      <c r="A4486" s="21">
        <f t="shared" si="82"/>
        <v>98</v>
      </c>
      <c r="B4486" s="14" t="s">
        <v>5941</v>
      </c>
      <c r="C4486" s="85" t="str">
        <f ca="1">IFERROR(__xludf.DUMMYFUNCTION("GOOGLETRANSLATE(B4486:B4501,""RU"",""UK"")"),"Електропаяльник ЕМП 220В 100Вт ""сокирка""")</f>
        <v>Електропаяльник ЕМП 220В 100Вт "сокирка"</v>
      </c>
      <c r="D4486" s="15" t="s">
        <v>6</v>
      </c>
      <c r="E4486" s="15">
        <v>2</v>
      </c>
      <c r="F4486" s="91" t="s">
        <v>138</v>
      </c>
      <c r="G4486" s="4"/>
      <c r="H4486" s="4"/>
      <c r="I4486" s="4"/>
    </row>
    <row r="4487" spans="1:9" ht="15">
      <c r="A4487" s="21">
        <f t="shared" si="82"/>
        <v>99</v>
      </c>
      <c r="B4487" s="14" t="s">
        <v>5942</v>
      </c>
      <c r="C4487" s="85" t="str">
        <f ca="1">IFERROR(__xludf.DUMMYFUNCTION("GOOGLETRANSLATE(B4487:B4502,""RU"",""UK"")"),"Вмикач внутрішній")</f>
        <v>Вмикач внутрішній</v>
      </c>
      <c r="D4487" s="15" t="s">
        <v>6</v>
      </c>
      <c r="E4487" s="15">
        <v>7</v>
      </c>
      <c r="F4487" s="91" t="s">
        <v>290</v>
      </c>
      <c r="G4487" s="4"/>
      <c r="H4487" s="4"/>
      <c r="I4487" s="4"/>
    </row>
    <row r="4488" spans="1:9" ht="15">
      <c r="A4488" s="21">
        <f t="shared" si="82"/>
        <v>100</v>
      </c>
      <c r="B4488" s="14" t="s">
        <v>5943</v>
      </c>
      <c r="C4488" s="85" t="str">
        <f ca="1">IFERROR(__xludf.DUMMYFUNCTION("GOOGLETRANSLATE(B4488:B4503,""RU"",""UK"")"),"Вмикач внутрішній 2-х кл.")</f>
        <v>Вмикач внутрішній 2-х кл.</v>
      </c>
      <c r="D4488" s="15" t="s">
        <v>6</v>
      </c>
      <c r="E4488" s="15">
        <v>5</v>
      </c>
      <c r="F4488" s="91" t="s">
        <v>290</v>
      </c>
      <c r="G4488" s="4"/>
      <c r="H4488" s="4"/>
      <c r="I4488" s="4"/>
    </row>
    <row r="4489" spans="1:9" ht="15">
      <c r="A4489" s="21">
        <f t="shared" si="82"/>
        <v>101</v>
      </c>
      <c r="B4489" s="14" t="s">
        <v>5944</v>
      </c>
      <c r="C4489" s="85" t="str">
        <f ca="1">IFERROR(__xludf.DUMMYFUNCTION("GOOGLETRANSLATE(B4489:B4504,""RU"",""UK"")"),"Вимикач зовнішній 1 кл.")</f>
        <v>Вимикач зовнішній 1 кл.</v>
      </c>
      <c r="D4489" s="15" t="s">
        <v>6</v>
      </c>
      <c r="E4489" s="15">
        <v>3</v>
      </c>
      <c r="F4489" s="91" t="s">
        <v>1427</v>
      </c>
      <c r="G4489" s="4"/>
      <c r="H4489" s="4"/>
      <c r="I4489" s="4"/>
    </row>
    <row r="4490" spans="1:9" ht="15">
      <c r="A4490" s="21">
        <f t="shared" si="82"/>
        <v>102</v>
      </c>
      <c r="B4490" s="14" t="s">
        <v>5945</v>
      </c>
      <c r="C4490" s="85" t="str">
        <f ca="1">IFERROR(__xludf.DUMMYFUNCTION("GOOGLETRANSLATE(B4490:B4505,""RU"",""UK"")"),"Внутрішня доза")</f>
        <v>Внутрішня доза</v>
      </c>
      <c r="D4490" s="15" t="s">
        <v>6</v>
      </c>
      <c r="E4490" s="15">
        <v>60</v>
      </c>
      <c r="F4490" s="91" t="s">
        <v>5946</v>
      </c>
      <c r="G4490" s="4"/>
      <c r="H4490" s="4"/>
      <c r="I4490" s="4"/>
    </row>
    <row r="4491" spans="1:9" ht="15">
      <c r="A4491" s="21">
        <f t="shared" si="82"/>
        <v>103</v>
      </c>
      <c r="B4491" s="14" t="s">
        <v>5947</v>
      </c>
      <c r="C4491" s="85" t="str">
        <f ca="1">IFERROR(__xludf.DUMMYFUNCTION("GOOGLETRANSLATE(B4491:B4506,""RU"",""UK"")"),"Патрон керамічний Е40")</f>
        <v>Патрон керамічний Е40</v>
      </c>
      <c r="D4491" s="15" t="s">
        <v>6</v>
      </c>
      <c r="E4491" s="15">
        <v>13</v>
      </c>
      <c r="F4491" s="91" t="s">
        <v>290</v>
      </c>
      <c r="G4491" s="4"/>
      <c r="H4491" s="4"/>
      <c r="I4491" s="4"/>
    </row>
    <row r="4492" spans="1:9" ht="15">
      <c r="A4492" s="21">
        <f t="shared" si="82"/>
        <v>104</v>
      </c>
      <c r="B4492" s="14" t="s">
        <v>5948</v>
      </c>
      <c r="C4492" s="85" t="str">
        <f ca="1">IFERROR(__xludf.DUMMYFUNCTION("GOOGLETRANSLATE(B4492:B4507,""RU"",""UK"")"),"Патрон керамічний Е27")</f>
        <v>Патрон керамічний Е27</v>
      </c>
      <c r="D4492" s="15" t="s">
        <v>6</v>
      </c>
      <c r="E4492" s="15">
        <v>3</v>
      </c>
      <c r="F4492" s="91" t="s">
        <v>1351</v>
      </c>
      <c r="G4492" s="4"/>
      <c r="H4492" s="4"/>
      <c r="I4492" s="4"/>
    </row>
    <row r="4493" spans="1:9" ht="15">
      <c r="A4493" s="21">
        <f t="shared" si="82"/>
        <v>105</v>
      </c>
      <c r="B4493" s="14" t="s">
        <v>5949</v>
      </c>
      <c r="C4493" s="85" t="str">
        <f ca="1">IFERROR(__xludf.DUMMYFUNCTION("GOOGLETRANSLATE(B4493:B4508,""RU"",""UK"")"),"Патрон підвісний Е27")</f>
        <v>Патрон підвісний Е27</v>
      </c>
      <c r="D4493" s="15" t="s">
        <v>6</v>
      </c>
      <c r="E4493" s="15">
        <v>7</v>
      </c>
      <c r="F4493" s="91" t="s">
        <v>5458</v>
      </c>
      <c r="G4493" s="4"/>
      <c r="H4493" s="4"/>
      <c r="I4493" s="4"/>
    </row>
    <row r="4494" spans="1:9" ht="15">
      <c r="A4494" s="21">
        <f t="shared" si="82"/>
        <v>106</v>
      </c>
      <c r="B4494" s="14" t="s">
        <v>5950</v>
      </c>
      <c r="C4494" s="85" t="str">
        <f ca="1">IFERROR(__xludf.DUMMYFUNCTION("GOOGLETRANSLATE(B4494:B4509,""RU"",""UK"")"),"Вилка 220В із заземленням")</f>
        <v>Вилка 220В із заземленням</v>
      </c>
      <c r="D4494" s="15" t="s">
        <v>6</v>
      </c>
      <c r="E4494" s="15">
        <v>52</v>
      </c>
      <c r="F4494" s="91" t="s">
        <v>417</v>
      </c>
      <c r="G4494" s="4"/>
      <c r="H4494" s="4"/>
      <c r="I4494" s="4"/>
    </row>
    <row r="4495" spans="1:9" ht="15">
      <c r="A4495" s="21">
        <f t="shared" si="82"/>
        <v>107</v>
      </c>
      <c r="B4495" s="14" t="s">
        <v>5951</v>
      </c>
      <c r="C4495" s="85" t="str">
        <f ca="1">IFERROR(__xludf.DUMMYFUNCTION("GOOGLETRANSLATE(B4495:B4510,""RU"",""UK"")"),"Розетка внутрішня із заземленням")</f>
        <v>Розетка внутрішня із заземленням</v>
      </c>
      <c r="D4495" s="15" t="s">
        <v>6</v>
      </c>
      <c r="E4495" s="15">
        <v>5</v>
      </c>
      <c r="F4495" s="91" t="s">
        <v>1351</v>
      </c>
      <c r="G4495" s="4"/>
      <c r="H4495" s="4"/>
      <c r="I4495" s="4"/>
    </row>
    <row r="4496" spans="1:9" ht="15">
      <c r="A4496" s="21">
        <f t="shared" si="82"/>
        <v>108</v>
      </c>
      <c r="B4496" s="14" t="s">
        <v>5952</v>
      </c>
      <c r="C4496" s="85" t="str">
        <f ca="1">IFERROR(__xludf.DUMMYFUNCTION("GOOGLETRANSLATE(B4496:B4511,""RU"",""UK"")"),"Розетка 220 в зовнішня із заз.")</f>
        <v>Розетка 220 в зовнішня із заз.</v>
      </c>
      <c r="D4496" s="15" t="s">
        <v>6</v>
      </c>
      <c r="E4496" s="15">
        <v>410</v>
      </c>
      <c r="F4496" s="91" t="s">
        <v>417</v>
      </c>
      <c r="G4496" s="4"/>
      <c r="H4496" s="4"/>
      <c r="I4496" s="4"/>
    </row>
    <row r="4497" spans="1:9" ht="15">
      <c r="A4497" s="21">
        <f t="shared" si="82"/>
        <v>109</v>
      </c>
      <c r="B4497" s="14" t="s">
        <v>5953</v>
      </c>
      <c r="C4497" s="85" t="str">
        <f ca="1">IFERROR(__xludf.DUMMYFUNCTION("GOOGLETRANSLATE(B4497:B4512,""RU"",""UK"")"),"Роз'єм кабельний ШГП 10А 250В")</f>
        <v>Роз'єм кабельний ШГП 10А 250В</v>
      </c>
      <c r="D4497" s="15" t="s">
        <v>6</v>
      </c>
      <c r="E4497" s="15">
        <v>7</v>
      </c>
      <c r="F4497" s="91" t="s">
        <v>136</v>
      </c>
      <c r="G4497" s="4"/>
      <c r="H4497" s="4"/>
      <c r="I4497" s="4"/>
    </row>
    <row r="4498" spans="1:9" ht="15">
      <c r="A4498" s="21">
        <f t="shared" si="82"/>
        <v>110</v>
      </c>
      <c r="B4498" s="14" t="s">
        <v>5954</v>
      </c>
      <c r="C4498" s="85" t="str">
        <f ca="1">IFERROR(__xludf.DUMMYFUNCTION("GOOGLETRANSLATE(B4498:B4513,""RU"",""UK"")"),"Роз'єм кабельний КАТЕК 16А 380В")</f>
        <v>Роз'єм кабельний КАТЕК 16А 380В</v>
      </c>
      <c r="D4498" s="15" t="s">
        <v>6</v>
      </c>
      <c r="E4498" s="15">
        <v>2</v>
      </c>
      <c r="F4498" s="91" t="s">
        <v>106</v>
      </c>
      <c r="G4498" s="4"/>
      <c r="H4498" s="4"/>
      <c r="I4498" s="4"/>
    </row>
    <row r="4499" spans="1:9" ht="15">
      <c r="A4499" s="21">
        <f t="shared" si="82"/>
        <v>111</v>
      </c>
      <c r="B4499" s="78" t="s">
        <v>5955</v>
      </c>
      <c r="C4499" s="85" t="str">
        <f ca="1">IFERROR(__xludf.DUMMYFUNCTION("GOOGLETRANSLATE(B4499:B4514,""RU"",""UK"")"),"Роз'єм кабельний із заземленням ШРЕ-16Б 250/380В 16А зовнішньої установки")</f>
        <v>Роз'єм кабельний із заземленням ШРЕ-16Б 250/380В 16А зовнішньої установки</v>
      </c>
      <c r="D4499" s="15" t="s">
        <v>6</v>
      </c>
      <c r="E4499" s="15">
        <v>17</v>
      </c>
      <c r="F4499" s="91" t="s">
        <v>20</v>
      </c>
      <c r="G4499" s="4"/>
      <c r="H4499" s="4"/>
      <c r="I4499" s="4"/>
    </row>
    <row r="4500" spans="1:9" ht="15">
      <c r="A4500" s="21">
        <f t="shared" si="82"/>
        <v>112</v>
      </c>
      <c r="B4500" s="78" t="s">
        <v>5956</v>
      </c>
      <c r="C4500" s="85" t="str">
        <f ca="1">IFERROR(__xludf.DUMMYFUNCTION("GOOGLETRANSLATE(B4500:B4515,""RU"",""UK"")"),"Роз'єм кабельний із заземленням ШРЕ-16 250/380В 16А внутрішньої устан.")</f>
        <v>Роз'єм кабельний із заземленням ШРЕ-16 250/380В 16А внутрішньої устан.</v>
      </c>
      <c r="D4500" s="15" t="s">
        <v>6</v>
      </c>
      <c r="E4500" s="15">
        <v>18</v>
      </c>
      <c r="F4500" s="91" t="s">
        <v>140</v>
      </c>
      <c r="G4500" s="4"/>
      <c r="H4500" s="4"/>
      <c r="I4500" s="4"/>
    </row>
    <row r="4501" spans="1:9" ht="15">
      <c r="A4501" s="21">
        <f t="shared" si="82"/>
        <v>113</v>
      </c>
      <c r="B4501" s="14" t="s">
        <v>5957</v>
      </c>
      <c r="C4501" s="85" t="str">
        <f ca="1">IFERROR(__xludf.DUMMYFUNCTION("GOOGLETRANSLATE(B4501:B4516,""RU"",""UK"")"),"Розетка з вилкою В40-40А 250 В")</f>
        <v>Розетка з вилкою В40-40А 250 В</v>
      </c>
      <c r="D4501" s="15" t="s">
        <v>6</v>
      </c>
      <c r="E4501" s="15">
        <v>1</v>
      </c>
      <c r="F4501" s="91" t="s">
        <v>255</v>
      </c>
      <c r="G4501" s="4"/>
      <c r="H4501" s="4"/>
      <c r="I4501" s="4"/>
    </row>
    <row r="4502" spans="1:9" ht="15">
      <c r="A4502" s="21">
        <f t="shared" si="82"/>
        <v>114</v>
      </c>
      <c r="B4502" s="14" t="s">
        <v>5958</v>
      </c>
      <c r="C4502" s="85" t="str">
        <f ca="1">IFERROR(__xludf.DUMMYFUNCTION("GOOGLETRANSLATE(B4502:B4517,""RU"",""UK"")"),"Перемикач ПЕ 011/ПК 13-2113")</f>
        <v>Перемикач ПЕ 011/ПК 13-2113</v>
      </c>
      <c r="D4502" s="15" t="s">
        <v>6</v>
      </c>
      <c r="E4502" s="15" t="s">
        <v>5959</v>
      </c>
      <c r="F4502" s="91" t="s">
        <v>169</v>
      </c>
      <c r="G4502" s="4"/>
      <c r="H4502" s="4"/>
      <c r="I4502" s="4"/>
    </row>
    <row r="4503" spans="1:9" ht="15">
      <c r="A4503" s="21">
        <f t="shared" si="82"/>
        <v>115</v>
      </c>
      <c r="B4503" s="14" t="s">
        <v>5960</v>
      </c>
      <c r="C4503" s="85" t="str">
        <f ca="1">IFERROR(__xludf.DUMMYFUNCTION("GOOGLETRANSLATE(B4503:B4518,""RU"",""UK"")"),"Перемикач ПВ 3-10-10А")</f>
        <v>Перемикач ПВ 3-10-10А</v>
      </c>
      <c r="D4503" s="15" t="s">
        <v>6</v>
      </c>
      <c r="E4503" s="15">
        <v>10</v>
      </c>
      <c r="F4503" s="91" t="s">
        <v>183</v>
      </c>
      <c r="G4503" s="4"/>
      <c r="H4503" s="4"/>
      <c r="I4503" s="4"/>
    </row>
    <row r="4504" spans="1:9" ht="15">
      <c r="A4504" s="21">
        <f t="shared" si="82"/>
        <v>116</v>
      </c>
      <c r="B4504" s="14" t="s">
        <v>5961</v>
      </c>
      <c r="C4504" s="85" t="str">
        <f ca="1">IFERROR(__xludf.DUMMYFUNCTION("GOOGLETRANSLATE(B4504:B4519,""RU"",""UK"")"),"Перемикач ПВ 3-16-16А")</f>
        <v>Перемикач ПВ 3-16-16А</v>
      </c>
      <c r="D4504" s="15" t="s">
        <v>6</v>
      </c>
      <c r="E4504" s="15">
        <v>9</v>
      </c>
      <c r="F4504" s="91" t="s">
        <v>564</v>
      </c>
      <c r="G4504" s="4"/>
      <c r="H4504" s="4"/>
      <c r="I4504" s="4"/>
    </row>
    <row r="4505" spans="1:9" ht="15">
      <c r="A4505" s="21">
        <f t="shared" si="82"/>
        <v>117</v>
      </c>
      <c r="B4505" s="14" t="s">
        <v>5962</v>
      </c>
      <c r="C4505" s="85" t="str">
        <f ca="1">IFERROR(__xludf.DUMMYFUNCTION("GOOGLETRANSLATE(B4505:B4520,""RU"",""UK"")"),"Перемикач ПВ 3-25-25А")</f>
        <v>Перемикач ПВ 3-25-25А</v>
      </c>
      <c r="D4505" s="15" t="s">
        <v>6</v>
      </c>
      <c r="E4505" s="15">
        <v>3</v>
      </c>
      <c r="F4505" s="91" t="s">
        <v>104</v>
      </c>
      <c r="G4505" s="4"/>
      <c r="H4505" s="4"/>
      <c r="I4505" s="4"/>
    </row>
    <row r="4506" spans="1:9" ht="15">
      <c r="A4506" s="21">
        <f t="shared" si="82"/>
        <v>118</v>
      </c>
      <c r="B4506" s="14" t="s">
        <v>5963</v>
      </c>
      <c r="C4506" s="85" t="str">
        <f ca="1">IFERROR(__xludf.DUMMYFUNCTION("GOOGLETRANSLATE(B4506:B4521,""RU"",""UK"")"),"Перемикач ПВП 14-27-380/25А або 220/40А")</f>
        <v>Перемикач ПВП 14-27-380/25А або 220/40А</v>
      </c>
      <c r="D4506" s="15" t="s">
        <v>6</v>
      </c>
      <c r="E4506" s="15">
        <v>28</v>
      </c>
      <c r="F4506" s="91" t="s">
        <v>104</v>
      </c>
      <c r="G4506" s="4"/>
      <c r="H4506" s="4"/>
      <c r="I4506" s="4"/>
    </row>
    <row r="4507" spans="1:9" ht="15">
      <c r="A4507" s="21">
        <f t="shared" si="82"/>
        <v>119</v>
      </c>
      <c r="B4507" s="14" t="s">
        <v>5964</v>
      </c>
      <c r="C4507" s="85" t="str">
        <f ca="1">IFERROR(__xludf.DUMMYFUNCTION("GOOGLETRANSLATE(B4507:B4522,""RU"",""UK"")"),"Перемикач ПВ 3-60-60А")</f>
        <v>Перемикач ПВ 3-60-60А</v>
      </c>
      <c r="D4507" s="15" t="s">
        <v>6</v>
      </c>
      <c r="E4507" s="15">
        <v>3</v>
      </c>
      <c r="F4507" s="91" t="s">
        <v>319</v>
      </c>
      <c r="G4507" s="4"/>
      <c r="H4507" s="4"/>
      <c r="I4507" s="4"/>
    </row>
    <row r="4508" spans="1:9" ht="15">
      <c r="A4508" s="21">
        <f t="shared" si="82"/>
        <v>120</v>
      </c>
      <c r="B4508" s="14" t="s">
        <v>5965</v>
      </c>
      <c r="C4508" s="85" t="str">
        <f ca="1">IFERROR(__xludf.DUMMYFUNCTION("GOOGLETRANSLATE(B4508:B4523,""RU"",""UK"")"),"Перемикач ПВ 3-100-100А")</f>
        <v>Перемикач ПВ 3-100-100А</v>
      </c>
      <c r="D4508" s="15" t="s">
        <v>6</v>
      </c>
      <c r="E4508" s="15">
        <v>3</v>
      </c>
      <c r="F4508" s="91" t="s">
        <v>119</v>
      </c>
      <c r="G4508" s="4"/>
      <c r="H4508" s="4"/>
      <c r="I4508" s="4"/>
    </row>
    <row r="4509" spans="1:9" ht="15">
      <c r="A4509" s="21">
        <f t="shared" si="82"/>
        <v>121</v>
      </c>
      <c r="B4509" s="14" t="s">
        <v>5966</v>
      </c>
      <c r="C4509" s="85" t="str">
        <f ca="1">IFERROR(__xludf.DUMMYFUNCTION("GOOGLETRANSLATE(B4509:B4524,""RU"",""UK"")"),"Тумблер 2ПН-20 20А 27В")</f>
        <v>Тумблер 2ПН-20 20А 27В</v>
      </c>
      <c r="D4509" s="15" t="s">
        <v>6</v>
      </c>
      <c r="E4509" s="15">
        <v>2</v>
      </c>
      <c r="F4509" s="91" t="s">
        <v>314</v>
      </c>
      <c r="G4509" s="4"/>
      <c r="H4509" s="4"/>
      <c r="I4509" s="4"/>
    </row>
    <row r="4510" spans="1:9" ht="15">
      <c r="A4510" s="21">
        <f t="shared" si="82"/>
        <v>122</v>
      </c>
      <c r="B4510" s="14" t="s">
        <v>5967</v>
      </c>
      <c r="C4510" s="85" t="str">
        <f ca="1">IFERROR(__xludf.DUMMYFUNCTION("GOOGLETRANSLATE(B4510:B4525,""RU"",""UK"")"),"Тумблер 2ПП-45 20А 27В")</f>
        <v>Тумблер 2ПП-45 20А 27В</v>
      </c>
      <c r="D4510" s="15" t="s">
        <v>6</v>
      </c>
      <c r="E4510" s="15">
        <v>1</v>
      </c>
      <c r="F4510" s="91" t="s">
        <v>314</v>
      </c>
      <c r="G4510" s="4"/>
      <c r="H4510" s="4"/>
      <c r="I4510" s="4"/>
    </row>
    <row r="4511" spans="1:9" ht="15">
      <c r="A4511" s="21">
        <f t="shared" si="82"/>
        <v>123</v>
      </c>
      <c r="B4511" s="14" t="s">
        <v>5968</v>
      </c>
      <c r="C4511" s="85" t="str">
        <f ca="1">IFERROR(__xludf.DUMMYFUNCTION("GOOGLETRANSLATE(B4511:B4526,""RU"",""UK"")"),"Тумблер АЗС-15 К21 15А 27В")</f>
        <v>Тумблер АЗС-15 К21 15А 27В</v>
      </c>
      <c r="D4511" s="15" t="s">
        <v>6</v>
      </c>
      <c r="E4511" s="15">
        <v>1</v>
      </c>
      <c r="F4511" s="91" t="s">
        <v>314</v>
      </c>
      <c r="G4511" s="4"/>
      <c r="H4511" s="4"/>
      <c r="I4511" s="4"/>
    </row>
    <row r="4512" spans="1:9" ht="15">
      <c r="A4512" s="21">
        <f t="shared" si="82"/>
        <v>124</v>
      </c>
      <c r="B4512" s="14" t="s">
        <v>5969</v>
      </c>
      <c r="C4512" s="85" t="str">
        <f ca="1">IFERROR(__xludf.DUMMYFUNCTION("GOOGLETRANSLATE(B4512:B4527,""RU"",""UK"")"),"Тумблер АЗС-30 30А 27В")</f>
        <v>Тумблер АЗС-30 30А 27В</v>
      </c>
      <c r="D4512" s="15" t="s">
        <v>6</v>
      </c>
      <c r="E4512" s="15">
        <v>14</v>
      </c>
      <c r="F4512" s="91" t="s">
        <v>314</v>
      </c>
      <c r="G4512" s="4"/>
      <c r="H4512" s="4"/>
      <c r="I4512" s="4"/>
    </row>
    <row r="4513" spans="1:9" ht="15">
      <c r="A4513" s="21">
        <f t="shared" si="82"/>
        <v>125</v>
      </c>
      <c r="B4513" s="14" t="s">
        <v>5970</v>
      </c>
      <c r="C4513" s="85" t="str">
        <f ca="1">IFERROR(__xludf.DUMMYFUNCTION("GOOGLETRANSLATE(B4513:B4528,""RU"",""UK"")"),"Тумблер")</f>
        <v>Тумблер</v>
      </c>
      <c r="D4513" s="15" t="s">
        <v>6</v>
      </c>
      <c r="E4513" s="15">
        <v>7</v>
      </c>
      <c r="F4513" s="91" t="s">
        <v>314</v>
      </c>
      <c r="G4513" s="4"/>
      <c r="H4513" s="4"/>
      <c r="I4513" s="4"/>
    </row>
    <row r="4514" spans="1:9" ht="15">
      <c r="A4514" s="21">
        <f t="shared" si="82"/>
        <v>126</v>
      </c>
      <c r="B4514" s="14" t="s">
        <v>5971</v>
      </c>
      <c r="C4514" s="85" t="str">
        <f ca="1">IFERROR(__xludf.DUMMYFUNCTION("GOOGLETRANSLATE(B4514:B4529,""RU"",""UK"")"),"Ваттметр Д360-100кВт/Ц301 - 12кВт")</f>
        <v>Ваттметр Д360-100кВт/Ц301 - 12кВт</v>
      </c>
      <c r="D4514" s="15" t="s">
        <v>6</v>
      </c>
      <c r="E4514" s="15" t="s">
        <v>749</v>
      </c>
      <c r="F4514" s="91" t="s">
        <v>327</v>
      </c>
      <c r="G4514" s="4"/>
      <c r="H4514" s="4"/>
      <c r="I4514" s="4"/>
    </row>
    <row r="4515" spans="1:9" ht="15">
      <c r="A4515" s="21">
        <f t="shared" si="82"/>
        <v>127</v>
      </c>
      <c r="B4515" s="14" t="s">
        <v>5972</v>
      </c>
      <c r="C4515" s="85" t="str">
        <f ca="1">IFERROR(__xludf.DUMMYFUNCTION("GOOGLETRANSLATE(B4515:B4530,""RU"",""UK"")"),"Вольтметр Е8032 500В/750В (80х80х50)")</f>
        <v>Вольтметр Е8032 500В/750В (80х80х50)</v>
      </c>
      <c r="D4515" s="15" t="s">
        <v>6</v>
      </c>
      <c r="E4515" s="15" t="s">
        <v>749</v>
      </c>
      <c r="F4515" s="91" t="s">
        <v>119</v>
      </c>
      <c r="G4515" s="4"/>
      <c r="H4515" s="4"/>
      <c r="I4515" s="4"/>
    </row>
    <row r="4516" spans="1:9" ht="15">
      <c r="A4516" s="21">
        <f t="shared" si="82"/>
        <v>128</v>
      </c>
      <c r="B4516" s="14" t="s">
        <v>5973</v>
      </c>
      <c r="C4516" s="85" t="str">
        <f ca="1">IFERROR(__xludf.DUMMYFUNCTION("GOOGLETRANSLATE(B4516:B4531,""RU"",""UK"")"),"Вольтметр М381ПЕР 500В / ПОСТ")</f>
        <v>Вольтметр М381ПЕР 500В / ПОСТ</v>
      </c>
      <c r="D4516" s="15" t="s">
        <v>6</v>
      </c>
      <c r="E4516" s="15" t="s">
        <v>749</v>
      </c>
      <c r="F4516" s="91" t="s">
        <v>119</v>
      </c>
      <c r="G4516" s="4"/>
      <c r="H4516" s="4"/>
      <c r="I4516" s="4"/>
    </row>
    <row r="4517" spans="1:9" ht="15">
      <c r="A4517" s="21">
        <f t="shared" si="82"/>
        <v>129</v>
      </c>
      <c r="B4517" s="14" t="s">
        <v>5974</v>
      </c>
      <c r="C4517" s="85" t="str">
        <f ca="1">IFERROR(__xludf.DUMMYFUNCTION("GOOGLETRANSLATE(B4517:B4532,""RU"",""UK"")"),"Амперметр Е 378 -40А пров.")</f>
        <v>Амперметр Е 378 -40А пров.</v>
      </c>
      <c r="D4517" s="15" t="s">
        <v>6</v>
      </c>
      <c r="E4517" s="15">
        <v>1</v>
      </c>
      <c r="F4517" s="91" t="s">
        <v>140</v>
      </c>
      <c r="G4517" s="4"/>
      <c r="H4517" s="4"/>
      <c r="I4517" s="4"/>
    </row>
    <row r="4518" spans="1:9" ht="15">
      <c r="A4518" s="21">
        <f t="shared" si="82"/>
        <v>130</v>
      </c>
      <c r="B4518" s="14" t="s">
        <v>5975</v>
      </c>
      <c r="C4518" s="85" t="str">
        <f ca="1">IFERROR(__xludf.DUMMYFUNCTION("GOOGLETRANSLATE(B4518:B4533,""RU"",""UK"")"),"Амперметр Е8032-М1 100А пост/пров")</f>
        <v>Амперметр Е8032-М1 100А пост/пров</v>
      </c>
      <c r="D4518" s="15" t="s">
        <v>6</v>
      </c>
      <c r="E4518" s="15" t="s">
        <v>899</v>
      </c>
      <c r="F4518" s="91" t="s">
        <v>119</v>
      </c>
      <c r="G4518" s="4"/>
      <c r="H4518" s="4"/>
      <c r="I4518" s="4"/>
    </row>
    <row r="4519" spans="1:9" ht="15">
      <c r="A4519" s="21">
        <f t="shared" ref="A4519:A4538" si="83">A4518+1</f>
        <v>131</v>
      </c>
      <c r="B4519" s="14" t="s">
        <v>5976</v>
      </c>
      <c r="C4519" s="85" t="str">
        <f ca="1">IFERROR(__xludf.DUMMYFUNCTION("GOOGLETRANSLATE(B4519:B4534,""RU"",""UK"")"),"Амперметр М151 150А/300А")</f>
        <v>Амперметр М151 150А/300А</v>
      </c>
      <c r="D4519" s="15" t="s">
        <v>6</v>
      </c>
      <c r="E4519" s="15" t="s">
        <v>4168</v>
      </c>
      <c r="F4519" s="91" t="s">
        <v>2809</v>
      </c>
      <c r="G4519" s="4"/>
      <c r="H4519" s="4"/>
      <c r="I4519" s="4"/>
    </row>
    <row r="4520" spans="1:9" ht="15">
      <c r="A4520" s="21">
        <f t="shared" si="83"/>
        <v>132</v>
      </c>
      <c r="B4520" s="14" t="s">
        <v>5977</v>
      </c>
      <c r="C4520" s="85" t="str">
        <f ca="1">IFERROR(__xludf.DUMMYFUNCTION("GOOGLETRANSLATE(B4520:B4535,""RU"",""UK"")"),"Амперметр 600А")</f>
        <v>Амперметр 600А</v>
      </c>
      <c r="D4520" s="15" t="s">
        <v>6</v>
      </c>
      <c r="E4520" s="15">
        <v>1</v>
      </c>
      <c r="F4520" s="91" t="s">
        <v>327</v>
      </c>
      <c r="G4520" s="4"/>
      <c r="H4520" s="4"/>
      <c r="I4520" s="4"/>
    </row>
    <row r="4521" spans="1:9" ht="15">
      <c r="A4521" s="21">
        <f t="shared" si="83"/>
        <v>133</v>
      </c>
      <c r="B4521" s="14" t="s">
        <v>5978</v>
      </c>
      <c r="C4521" s="85" t="str">
        <f ca="1">IFERROR(__xludf.DUMMYFUNCTION("GOOGLETRANSLATE(B4521:B4536,""RU"",""UK"")"),"Електросекундомір ПВ53Щ 110/220В")</f>
        <v>Електросекундомір ПВ53Щ 110/220В</v>
      </c>
      <c r="D4521" s="15" t="s">
        <v>6</v>
      </c>
      <c r="E4521" s="15">
        <v>1</v>
      </c>
      <c r="F4521" s="91" t="s">
        <v>106</v>
      </c>
      <c r="G4521" s="4"/>
      <c r="H4521" s="4"/>
      <c r="I4521" s="4"/>
    </row>
    <row r="4522" spans="1:9" ht="15">
      <c r="A4522" s="21">
        <f t="shared" si="83"/>
        <v>134</v>
      </c>
      <c r="B4522" s="14" t="s">
        <v>5979</v>
      </c>
      <c r="C4522" s="85" t="str">
        <f ca="1">IFERROR(__xludf.DUMMYFUNCTION("GOOGLETRANSLATE(B4522:B4537,""RU"",""UK"")"),"Сирена вологозахищена ВСС-3 (220В)")</f>
        <v>Сирена вологозахищена ВСС-3 (220В)</v>
      </c>
      <c r="D4522" s="15" t="s">
        <v>6</v>
      </c>
      <c r="E4522" s="15">
        <v>5</v>
      </c>
      <c r="F4522" s="91" t="s">
        <v>283</v>
      </c>
      <c r="G4522" s="4"/>
      <c r="H4522" s="4"/>
      <c r="I4522" s="4"/>
    </row>
    <row r="4523" spans="1:9" ht="15">
      <c r="A4523" s="21">
        <f t="shared" si="83"/>
        <v>135</v>
      </c>
      <c r="B4523" s="14" t="s">
        <v>5980</v>
      </c>
      <c r="C4523" s="85" t="str">
        <f ca="1">IFERROR(__xludf.DUMMYFUNCTION("GOOGLETRANSLATE(B4523:B4538,""RU"",""UK"")"),"Ревун РВФ24-24В")</f>
        <v>Ревун РВФ24-24В</v>
      </c>
      <c r="D4523" s="15" t="s">
        <v>6</v>
      </c>
      <c r="E4523" s="15">
        <v>1</v>
      </c>
      <c r="F4523" s="91" t="s">
        <v>283</v>
      </c>
      <c r="G4523" s="4"/>
      <c r="H4523" s="4"/>
      <c r="I4523" s="4"/>
    </row>
    <row r="4524" spans="1:9" ht="15">
      <c r="A4524" s="21">
        <f t="shared" si="83"/>
        <v>136</v>
      </c>
      <c r="B4524" s="14" t="s">
        <v>5981</v>
      </c>
      <c r="C4524" s="85" t="str">
        <f ca="1">IFERROR(__xludf.DUMMYFUNCTION("GOOGLETRANSLATE(B4524:B4539,""RU"",""UK"")"),"Щітки графітові")</f>
        <v>Щітки графітові</v>
      </c>
      <c r="D4524" s="15" t="s">
        <v>6</v>
      </c>
      <c r="E4524" s="15">
        <v>185</v>
      </c>
      <c r="F4524" s="91" t="s">
        <v>253</v>
      </c>
      <c r="G4524" s="4"/>
      <c r="H4524" s="4"/>
      <c r="I4524" s="4"/>
    </row>
    <row r="4525" spans="1:9" ht="15">
      <c r="A4525" s="21">
        <f t="shared" si="83"/>
        <v>137</v>
      </c>
      <c r="B4525" s="14" t="s">
        <v>5982</v>
      </c>
      <c r="C4525" s="85" t="str">
        <f ca="1">IFERROR(__xludf.DUMMYFUNCTION("GOOGLETRANSLATE(B4525:B4540,""RU"",""UK"")"),"Мегоометр")</f>
        <v>Мегоометр</v>
      </c>
      <c r="D4525" s="15" t="s">
        <v>6</v>
      </c>
      <c r="E4525" s="15">
        <v>5</v>
      </c>
      <c r="F4525" s="91" t="s">
        <v>2816</v>
      </c>
      <c r="G4525" s="4"/>
      <c r="H4525" s="4"/>
      <c r="I4525" s="4"/>
    </row>
    <row r="4526" spans="1:9" ht="15">
      <c r="A4526" s="21">
        <f t="shared" si="83"/>
        <v>138</v>
      </c>
      <c r="B4526" s="14" t="s">
        <v>5983</v>
      </c>
      <c r="C4526" s="85" t="str">
        <f ca="1">IFERROR(__xludf.DUMMYFUNCTION("GOOGLETRANSLATE(B4526:B4541,""RU"",""UK"")"),"Тестер Ц-4313/Ц-435")</f>
        <v>Тестер Ц-4313/Ц-435</v>
      </c>
      <c r="D4526" s="15" t="s">
        <v>6</v>
      </c>
      <c r="E4526" s="15" t="s">
        <v>793</v>
      </c>
      <c r="F4526" s="91" t="s">
        <v>29</v>
      </c>
      <c r="G4526" s="4"/>
      <c r="H4526" s="4"/>
      <c r="I4526" s="4"/>
    </row>
    <row r="4527" spans="1:9" ht="15">
      <c r="A4527" s="21">
        <f t="shared" si="83"/>
        <v>139</v>
      </c>
      <c r="B4527" s="14" t="s">
        <v>5984</v>
      </c>
      <c r="C4527" s="85" t="str">
        <f ca="1">IFERROR(__xludf.DUMMYFUNCTION("GOOGLETRANSLATE(B4527:B4542,""RU"",""UK"")"),"Мультиметр цифровий DT700C, 8 функцій+зумер")</f>
        <v>Мультиметр цифровий DT700C, 8 функцій+зумер</v>
      </c>
      <c r="D4527" s="15" t="s">
        <v>6</v>
      </c>
      <c r="E4527" s="15">
        <v>1</v>
      </c>
      <c r="F4527" s="91" t="s">
        <v>5985</v>
      </c>
      <c r="G4527" s="4"/>
      <c r="H4527" s="4"/>
      <c r="I4527" s="4"/>
    </row>
    <row r="4528" spans="1:9" ht="15">
      <c r="A4528" s="21">
        <f t="shared" si="83"/>
        <v>140</v>
      </c>
      <c r="B4528" s="14" t="s">
        <v>5986</v>
      </c>
      <c r="C4528" s="85" t="str">
        <f ca="1">IFERROR(__xludf.DUMMYFUNCTION("GOOGLETRANSLATE(B4528:B4543,""RU"",""UK"")"),"Кліщі електровимірювальні Ц-90")</f>
        <v>Кліщі електровимірювальні Ц-90</v>
      </c>
      <c r="D4528" s="15" t="s">
        <v>6</v>
      </c>
      <c r="E4528" s="15">
        <v>4</v>
      </c>
      <c r="F4528" s="91" t="s">
        <v>88</v>
      </c>
      <c r="G4528" s="4"/>
      <c r="H4528" s="4"/>
      <c r="I4528" s="4"/>
    </row>
    <row r="4529" spans="1:9" ht="15">
      <c r="A4529" s="21">
        <f t="shared" si="83"/>
        <v>141</v>
      </c>
      <c r="B4529" s="14" t="s">
        <v>5987</v>
      </c>
      <c r="C4529" s="85" t="str">
        <f ca="1">IFERROR(__xludf.DUMMYFUNCTION("GOOGLETRANSLATE(B4529:B4544,""RU"",""UK"")"),"Гучномовець НТ-220-101 100-120В 20Вт")</f>
        <v>Гучномовець НТ-220-101 100-120В 20Вт</v>
      </c>
      <c r="D4529" s="15" t="s">
        <v>6</v>
      </c>
      <c r="E4529" s="15">
        <v>2</v>
      </c>
      <c r="F4529" s="91" t="s">
        <v>20</v>
      </c>
      <c r="G4529" s="4"/>
      <c r="H4529" s="4"/>
      <c r="I4529" s="4"/>
    </row>
    <row r="4530" spans="1:9" ht="15">
      <c r="A4530" s="21">
        <f t="shared" si="83"/>
        <v>142</v>
      </c>
      <c r="B4530" s="14" t="s">
        <v>5988</v>
      </c>
      <c r="C4530" s="85" t="str">
        <f ca="1">IFERROR(__xludf.DUMMYFUNCTION("GOOGLETRANSLATE(B4530:B4545,""RU"",""UK"")"),"Наконечник алюм. 35мм/кв")</f>
        <v>Наконечник алюм. 35мм/кв</v>
      </c>
      <c r="D4530" s="15" t="s">
        <v>6</v>
      </c>
      <c r="E4530" s="15">
        <v>10</v>
      </c>
      <c r="F4530" s="91" t="s">
        <v>1294</v>
      </c>
      <c r="G4530" s="4"/>
      <c r="H4530" s="4"/>
      <c r="I4530" s="4"/>
    </row>
    <row r="4531" spans="1:9" ht="15">
      <c r="A4531" s="21">
        <f t="shared" si="83"/>
        <v>143</v>
      </c>
      <c r="B4531" s="14" t="s">
        <v>5989</v>
      </c>
      <c r="C4531" s="85" t="str">
        <f ca="1">IFERROR(__xludf.DUMMYFUNCTION("GOOGLETRANSLATE(B4531:B4546,""RU"",""UK"")"),"Наконечник алюм. 50мм/кв")</f>
        <v>Наконечник алюм. 50мм/кв</v>
      </c>
      <c r="D4531" s="15" t="s">
        <v>6</v>
      </c>
      <c r="E4531" s="15">
        <v>10</v>
      </c>
      <c r="F4531" s="91" t="s">
        <v>361</v>
      </c>
      <c r="G4531" s="4"/>
      <c r="H4531" s="4"/>
      <c r="I4531" s="4"/>
    </row>
    <row r="4532" spans="1:9" ht="15">
      <c r="A4532" s="21">
        <f t="shared" si="83"/>
        <v>144</v>
      </c>
      <c r="B4532" s="14" t="s">
        <v>5990</v>
      </c>
      <c r="C4532" s="85" t="str">
        <f ca="1">IFERROR(__xludf.DUMMYFUNCTION("GOOGLETRANSLATE(B4532:B4547,""RU"",""UK"")"),"Наконечник алюм. 75мм/кв")</f>
        <v>Наконечник алюм. 75мм/кв</v>
      </c>
      <c r="D4532" s="15" t="s">
        <v>6</v>
      </c>
      <c r="E4532" s="15">
        <v>10</v>
      </c>
      <c r="F4532" s="91" t="s">
        <v>286</v>
      </c>
      <c r="G4532" s="4"/>
      <c r="H4532" s="4"/>
      <c r="I4532" s="4"/>
    </row>
    <row r="4533" spans="1:9" ht="15">
      <c r="A4533" s="21">
        <f t="shared" si="83"/>
        <v>145</v>
      </c>
      <c r="B4533" s="14" t="s">
        <v>5991</v>
      </c>
      <c r="C4533" s="85" t="str">
        <f ca="1">IFERROR(__xludf.DUMMYFUNCTION("GOOGLETRANSLATE(B4533:B4548,""RU"",""UK"")"),"Наконечник алюм. 95мм/кв")</f>
        <v>Наконечник алюм. 95мм/кв</v>
      </c>
      <c r="D4533" s="15" t="s">
        <v>6</v>
      </c>
      <c r="E4533" s="15">
        <v>10</v>
      </c>
      <c r="F4533" s="91" t="s">
        <v>417</v>
      </c>
      <c r="G4533" s="4"/>
      <c r="H4533" s="4"/>
      <c r="I4533" s="4"/>
    </row>
    <row r="4534" spans="1:9" ht="15">
      <c r="A4534" s="21">
        <f t="shared" si="83"/>
        <v>146</v>
      </c>
      <c r="B4534" s="14" t="s">
        <v>5992</v>
      </c>
      <c r="C4534" s="85" t="str">
        <f ca="1">IFERROR(__xludf.DUMMYFUNCTION("GOOGLETRANSLATE(B4534:B4549,""RU"",""UK"")"),"Накінечник мідний 200мм/кв.")</f>
        <v>Накінечник мідний 200мм/кв.</v>
      </c>
      <c r="D4534" s="15" t="s">
        <v>6</v>
      </c>
      <c r="E4534" s="15">
        <v>9</v>
      </c>
      <c r="F4534" s="91" t="s">
        <v>183</v>
      </c>
      <c r="G4534" s="4"/>
      <c r="H4534" s="4"/>
      <c r="I4534" s="4"/>
    </row>
    <row r="4535" spans="1:9" ht="15">
      <c r="A4535" s="21">
        <f t="shared" si="83"/>
        <v>147</v>
      </c>
      <c r="B4535" s="14" t="s">
        <v>5993</v>
      </c>
      <c r="C4535" s="85" t="str">
        <f ca="1">IFERROR(__xludf.DUMMYFUNCTION("GOOGLETRANSLATE(B4535:B4550,""RU"",""UK"")"),"Накінечник мідний 280мм/кв.")</f>
        <v>Накінечник мідний 280мм/кв.</v>
      </c>
      <c r="D4535" s="15" t="s">
        <v>6</v>
      </c>
      <c r="E4535" s="15">
        <v>6</v>
      </c>
      <c r="F4535" s="91" t="s">
        <v>2738</v>
      </c>
      <c r="G4535" s="4"/>
      <c r="H4535" s="4"/>
      <c r="I4535" s="4"/>
    </row>
    <row r="4536" spans="1:9" ht="15">
      <c r="A4536" s="21">
        <f t="shared" si="83"/>
        <v>148</v>
      </c>
      <c r="B4536" s="14" t="s">
        <v>5994</v>
      </c>
      <c r="C4536" s="85" t="str">
        <f ca="1">IFERROR(__xludf.DUMMYFUNCTION("GOOGLETRANSLATE(B4536:B4551,""RU"",""UK"")"),"Кабель АВВГ 3х4+1х2,5")</f>
        <v>Кабель АВВГ 3х4+1х2,5</v>
      </c>
      <c r="D4536" s="15" t="s">
        <v>634</v>
      </c>
      <c r="E4536" s="15">
        <v>10</v>
      </c>
      <c r="F4536" s="91" t="s">
        <v>286</v>
      </c>
      <c r="G4536" s="4"/>
      <c r="H4536" s="4"/>
      <c r="I4536" s="4"/>
    </row>
    <row r="4537" spans="1:9" ht="15">
      <c r="A4537" s="21">
        <f t="shared" si="83"/>
        <v>149</v>
      </c>
      <c r="B4537" s="14" t="s">
        <v>5995</v>
      </c>
      <c r="C4537" s="85" t="str">
        <f ca="1">IFERROR(__xludf.DUMMYFUNCTION("GOOGLETRANSLATE(B4537:B4552,""RU"",""UK"")"),"Кабель КВВГЕ 5х1,0 (багатожил.)")</f>
        <v>Кабель КВВГЕ 5х1,0 (багатожил.)</v>
      </c>
      <c r="D4537" s="15" t="s">
        <v>634</v>
      </c>
      <c r="E4537" s="15">
        <v>60</v>
      </c>
      <c r="F4537" s="91" t="s">
        <v>417</v>
      </c>
      <c r="G4537" s="4"/>
      <c r="H4537" s="4"/>
      <c r="I4537" s="4"/>
    </row>
    <row r="4538" spans="1:9" ht="15">
      <c r="A4538" s="21">
        <f t="shared" si="83"/>
        <v>150</v>
      </c>
      <c r="B4538" s="114">
        <v>28</v>
      </c>
      <c r="C4538" s="115" t="str">
        <f ca="1">IFERROR(__xludf.DUMMYFUNCTION("GOOGLETRANSLATE(B4538:B4553,""RU"",""UK"")"),"28")</f>
        <v>28</v>
      </c>
      <c r="D4538" s="54" t="s">
        <v>634</v>
      </c>
      <c r="E4538" s="54">
        <v>70</v>
      </c>
      <c r="F4538" s="116" t="s">
        <v>201</v>
      </c>
      <c r="G4538" s="4"/>
      <c r="H4538" s="4"/>
      <c r="I4538" s="4"/>
    </row>
    <row r="4539" spans="1:9" ht="15">
      <c r="A4539" s="117"/>
      <c r="B4539" s="118" t="s">
        <v>5996</v>
      </c>
      <c r="C4539" s="119" t="s">
        <v>6066</v>
      </c>
      <c r="D4539" s="118"/>
      <c r="E4539" s="118"/>
      <c r="F4539" s="120"/>
      <c r="G4539" s="112"/>
      <c r="H4539" s="4"/>
      <c r="I4539" s="4"/>
    </row>
    <row r="4540" spans="1:9" ht="15">
      <c r="A4540" s="38">
        <v>1</v>
      </c>
      <c r="B4540" s="82" t="s">
        <v>5997</v>
      </c>
      <c r="C4540" s="134" t="str">
        <f ca="1">IFERROR(__xludf.DUMMYFUNCTION("GOOGLETRANSLATE(B4540:B4555,""RU"",""UK"")"),"Шліфмашина кутова VAG10, 1050Вт, 125мм")</f>
        <v>Шліфмашина кутова VAG10, 1050Вт, 125мм</v>
      </c>
      <c r="D4540" s="13" t="s">
        <v>6</v>
      </c>
      <c r="E4540" s="15">
        <v>1</v>
      </c>
      <c r="F4540" s="91" t="s">
        <v>948</v>
      </c>
      <c r="G4540" s="4"/>
      <c r="H4540" s="4"/>
      <c r="I4540" s="4"/>
    </row>
    <row r="4541" spans="1:9" ht="15">
      <c r="A4541" s="68"/>
      <c r="B4541" s="69"/>
      <c r="C4541" s="119" t="s">
        <v>6067</v>
      </c>
      <c r="D4541" s="69"/>
      <c r="E4541" s="69"/>
      <c r="F4541" s="106"/>
      <c r="G4541" s="4"/>
      <c r="H4541" s="4"/>
      <c r="I4541" s="4"/>
    </row>
    <row r="4542" spans="1:9" ht="15">
      <c r="A4542" s="13">
        <v>1</v>
      </c>
      <c r="B4542" s="18" t="s">
        <v>5998</v>
      </c>
      <c r="C4542" s="47" t="str">
        <f ca="1">IFERROR(__xludf.DUMMYFUNCTION("GOOGLETRANSLATE(B4542:B4557,""RU"",""UK"")"),"Насос на станині К8/18) без ел.")</f>
        <v>Насос на станині К8/18) без ел.</v>
      </c>
      <c r="D4542" s="15" t="s">
        <v>6</v>
      </c>
      <c r="E4542" s="15">
        <v>2</v>
      </c>
      <c r="F4542" s="91" t="s">
        <v>73</v>
      </c>
      <c r="G4542" s="4"/>
      <c r="H4542" s="4"/>
      <c r="I4542" s="4"/>
    </row>
    <row r="4543" spans="1:9" ht="15">
      <c r="A4543" s="13">
        <v>2</v>
      </c>
      <c r="B4543" s="14" t="s">
        <v>5999</v>
      </c>
      <c r="C4543" s="85" t="str">
        <f ca="1">IFERROR(__xludf.DUMMYFUNCTION("GOOGLETRANSLATE(B4543:B4558,""RU"",""UK"")"),"Насос масляний Г12-32 (68МПа)")</f>
        <v>Насос масляний Г12-32 (68МПа)</v>
      </c>
      <c r="D4543" s="15" t="s">
        <v>6</v>
      </c>
      <c r="E4543" s="15">
        <v>1</v>
      </c>
      <c r="F4543" s="91" t="s">
        <v>3538</v>
      </c>
      <c r="G4543" s="4"/>
      <c r="H4543" s="4"/>
      <c r="I4543" s="4"/>
    </row>
    <row r="4544" spans="1:9" ht="15">
      <c r="A4544" s="113">
        <v>3</v>
      </c>
      <c r="B4544" s="121" t="s">
        <v>6000</v>
      </c>
      <c r="C4544" s="115" t="str">
        <f ca="1">IFERROR(__xludf.DUMMYFUNCTION("GOOGLETRANSLATE(B4544:B4559,""RU"",""UK"")"),"Насос ручний БКФ-4")</f>
        <v>Насос ручний БКФ-4</v>
      </c>
      <c r="D4544" s="15" t="s">
        <v>6</v>
      </c>
      <c r="E4544" s="15">
        <v>1</v>
      </c>
      <c r="F4544" s="91" t="s">
        <v>6001</v>
      </c>
      <c r="G4544" s="4"/>
      <c r="H4544" s="4"/>
      <c r="I4544" s="4"/>
    </row>
    <row r="4545" spans="1:9" ht="15">
      <c r="A4545" s="118"/>
      <c r="B4545" s="118"/>
      <c r="C4545" s="119" t="s">
        <v>6068</v>
      </c>
      <c r="D4545" s="69"/>
      <c r="E4545" s="69"/>
      <c r="F4545" s="106"/>
      <c r="G4545" s="4"/>
      <c r="H4545" s="4"/>
      <c r="I4545" s="4"/>
    </row>
    <row r="4546" spans="1:9" ht="15">
      <c r="A4546" s="13">
        <v>1</v>
      </c>
      <c r="B4546" s="14" t="s">
        <v>6002</v>
      </c>
      <c r="C4546" s="47" t="str">
        <f ca="1">IFERROR(__xludf.DUMMYFUNCTION("GOOGLETRANSLATE(B4546:B4561,""RU"",""UK"")"),"Лампа ЛБ-18")</f>
        <v>Лампа ЛБ-18</v>
      </c>
      <c r="D4546" s="15" t="s">
        <v>6</v>
      </c>
      <c r="E4546" s="15">
        <v>18</v>
      </c>
      <c r="F4546" s="91" t="s">
        <v>292</v>
      </c>
      <c r="G4546" s="4"/>
      <c r="H4546" s="4"/>
      <c r="I4546" s="4"/>
    </row>
    <row r="4547" spans="1:9" ht="15">
      <c r="A4547" s="13">
        <v>2</v>
      </c>
      <c r="B4547" s="14" t="s">
        <v>6003</v>
      </c>
      <c r="C4547" s="85" t="str">
        <f ca="1">IFERROR(__xludf.DUMMYFUNCTION("GOOGLETRANSLATE(B4547:B4562,""RU"",""UK"")"),"Лампа ЛД-30")</f>
        <v>Лампа ЛД-30</v>
      </c>
      <c r="D4547" s="15" t="s">
        <v>6</v>
      </c>
      <c r="E4547" s="15">
        <v>59</v>
      </c>
      <c r="F4547" s="91" t="s">
        <v>2938</v>
      </c>
      <c r="G4547" s="4"/>
      <c r="H4547" s="4"/>
      <c r="I4547" s="4"/>
    </row>
    <row r="4548" spans="1:9" ht="15">
      <c r="A4548" s="13">
        <v>3</v>
      </c>
      <c r="B4548" s="14" t="s">
        <v>6004</v>
      </c>
      <c r="C4548" s="85" t="str">
        <f ca="1">IFERROR(__xludf.DUMMYFUNCTION("GOOGLETRANSLATE(B4548:B4563,""RU"",""UK"")"),"Лампа ЛБ-80")</f>
        <v>Лампа ЛБ-80</v>
      </c>
      <c r="D4548" s="15" t="s">
        <v>6</v>
      </c>
      <c r="E4548" s="15">
        <v>10</v>
      </c>
      <c r="F4548" s="91" t="s">
        <v>134</v>
      </c>
      <c r="G4548" s="4"/>
      <c r="H4548" s="4"/>
      <c r="I4548" s="4"/>
    </row>
    <row r="4549" spans="1:9" ht="15">
      <c r="A4549" s="13">
        <v>4</v>
      </c>
      <c r="B4549" s="14" t="s">
        <v>6005</v>
      </c>
      <c r="C4549" s="85" t="str">
        <f ca="1">IFERROR(__xludf.DUMMYFUNCTION("GOOGLETRANSLATE(B4549:B4564,""RU"",""UK"")"),"Лампа ДРЛ – 250 Е40")</f>
        <v>Лампа ДРЛ – 250 Е40</v>
      </c>
      <c r="D4549" s="15" t="s">
        <v>6</v>
      </c>
      <c r="E4549" s="15">
        <v>6</v>
      </c>
      <c r="F4549" s="91" t="s">
        <v>183</v>
      </c>
      <c r="G4549" s="4"/>
      <c r="H4549" s="4"/>
      <c r="I4549" s="4"/>
    </row>
    <row r="4550" spans="1:9" ht="15">
      <c r="A4550" s="13">
        <v>5</v>
      </c>
      <c r="B4550" s="14" t="s">
        <v>6006</v>
      </c>
      <c r="C4550" s="115" t="str">
        <f ca="1">IFERROR(__xludf.DUMMYFUNCTION("GOOGLETRANSLATE(B4550:B4565,""RU"",""UK"")"),"Лампа МО 12В 40Вт")</f>
        <v>Лампа МО 12В 40Вт</v>
      </c>
      <c r="D4550" s="15" t="s">
        <v>6</v>
      </c>
      <c r="E4550" s="15">
        <v>0</v>
      </c>
      <c r="F4550" s="91" t="s">
        <v>417</v>
      </c>
      <c r="G4550" s="4"/>
      <c r="H4550" s="4"/>
      <c r="I4550" s="4"/>
    </row>
    <row r="4551" spans="1:9" ht="15">
      <c r="A4551" s="68"/>
      <c r="B4551" s="69"/>
      <c r="C4551" s="119" t="s">
        <v>6069</v>
      </c>
      <c r="D4551" s="69"/>
      <c r="E4551" s="69"/>
      <c r="F4551" s="106"/>
      <c r="G4551" s="4"/>
      <c r="H4551" s="4"/>
      <c r="I4551" s="4"/>
    </row>
    <row r="4552" spans="1:9" ht="15">
      <c r="A4552" s="13">
        <v>1</v>
      </c>
      <c r="B4552" s="14" t="s">
        <v>6007</v>
      </c>
      <c r="C4552" s="47" t="str">
        <f ca="1">IFERROR(__xludf.DUMMYFUNCTION("GOOGLETRANSLATE(B4552:B4567,""RU"",""UK"")"),"Тигель алундовий 50х100")</f>
        <v>Тигель алундовий 50х100</v>
      </c>
      <c r="D4552" s="15" t="s">
        <v>6</v>
      </c>
      <c r="E4552" s="15">
        <v>1</v>
      </c>
      <c r="F4552" s="91" t="s">
        <v>140</v>
      </c>
      <c r="G4552" s="4"/>
      <c r="H4552" s="4"/>
      <c r="I4552" s="4"/>
    </row>
    <row r="4553" spans="1:9" ht="15">
      <c r="A4553" s="13">
        <v>2</v>
      </c>
      <c r="B4553" s="14" t="s">
        <v>6008</v>
      </c>
      <c r="C4553" s="85" t="str">
        <f ca="1">IFERROR(__xludf.DUMMYFUNCTION("GOOGLETRANSLATE(B4553:B4568,""RU"",""UK"")"),"Тигель алундовий 65х125")</f>
        <v>Тигель алундовий 65х125</v>
      </c>
      <c r="D4553" s="15" t="s">
        <v>6</v>
      </c>
      <c r="E4553" s="15">
        <v>1</v>
      </c>
      <c r="F4553" s="91" t="s">
        <v>140</v>
      </c>
      <c r="G4553" s="4"/>
      <c r="H4553" s="4"/>
      <c r="I4553" s="4"/>
    </row>
    <row r="4554" spans="1:9" ht="15">
      <c r="A4554" s="13">
        <v>3</v>
      </c>
      <c r="B4554" s="14" t="s">
        <v>6009</v>
      </c>
      <c r="C4554" s="115" t="str">
        <f ca="1">IFERROR(__xludf.DUMMYFUNCTION("GOOGLETRANSLATE(B4554:B4569,""RU"",""UK"")"),"Тигель алундовий 68х135")</f>
        <v>Тигель алундовий 68х135</v>
      </c>
      <c r="D4554" s="15" t="s">
        <v>6</v>
      </c>
      <c r="E4554" s="15">
        <v>2</v>
      </c>
      <c r="F4554" s="91" t="s">
        <v>1713</v>
      </c>
      <c r="G4554" s="4"/>
      <c r="H4554" s="4"/>
      <c r="I4554" s="4"/>
    </row>
    <row r="4555" spans="1:9" ht="15">
      <c r="A4555" s="68"/>
      <c r="B4555" s="69"/>
      <c r="C4555" s="119" t="s">
        <v>6070</v>
      </c>
      <c r="D4555" s="69"/>
      <c r="E4555" s="69"/>
      <c r="F4555" s="106"/>
      <c r="G4555" s="4"/>
      <c r="H4555" s="4"/>
      <c r="I4555" s="4"/>
    </row>
    <row r="4556" spans="1:9" ht="15">
      <c r="A4556" s="13">
        <v>1</v>
      </c>
      <c r="B4556" s="14" t="s">
        <v>6010</v>
      </c>
      <c r="C4556" s="47" t="str">
        <f ca="1">IFERROR(__xludf.DUMMYFUNCTION("GOOGLETRANSLATE(B4556:B4571,""RU"",""UK"")"),"Лист нержавіючий. харчовий 2мм (2.5х1.5м)")</f>
        <v>Лист нержавіючий. харчовий 2мм (2.5х1.5м)</v>
      </c>
      <c r="D4556" s="15" t="s">
        <v>6011</v>
      </c>
      <c r="E4556" s="15">
        <v>2</v>
      </c>
      <c r="F4556" s="91" t="s">
        <v>14</v>
      </c>
      <c r="G4556" s="4"/>
      <c r="H4556" s="4"/>
      <c r="I4556" s="4"/>
    </row>
    <row r="4557" spans="1:9" ht="15">
      <c r="A4557" s="13">
        <v>2</v>
      </c>
      <c r="B4557" s="14" t="s">
        <v>6012</v>
      </c>
      <c r="C4557" s="85" t="str">
        <f ca="1">IFERROR(__xludf.DUMMYFUNCTION("GOOGLETRANSLATE(B4557:B4572,""RU"",""UK"")"),"Лист нержавіючий. харчовий 3.5мм")</f>
        <v>Лист нержавіючий. харчовий 3.5мм</v>
      </c>
      <c r="D4557" s="15" t="s">
        <v>130</v>
      </c>
      <c r="E4557" s="15">
        <v>20</v>
      </c>
      <c r="F4557" s="91" t="s">
        <v>104</v>
      </c>
      <c r="G4557" s="4"/>
      <c r="H4557" s="4"/>
      <c r="I4557" s="4"/>
    </row>
    <row r="4558" spans="1:9" ht="15">
      <c r="A4558" s="13">
        <v>3</v>
      </c>
      <c r="B4558" s="14" t="s">
        <v>6013</v>
      </c>
      <c r="C4558" s="85" t="str">
        <f ca="1">IFERROR(__xludf.DUMMYFUNCTION("GOOGLETRANSLATE(B4558:B4573,""RU"",""UK"")"),"Лист мідний 1мм")</f>
        <v>Лист мідний 1мм</v>
      </c>
      <c r="D4558" s="15" t="s">
        <v>130</v>
      </c>
      <c r="E4558" s="15" t="s">
        <v>6014</v>
      </c>
      <c r="F4558" s="91" t="s">
        <v>106</v>
      </c>
      <c r="G4558" s="4"/>
      <c r="H4558" s="4"/>
      <c r="I4558" s="4"/>
    </row>
    <row r="4559" spans="1:9" ht="15">
      <c r="A4559" s="13">
        <v>4</v>
      </c>
      <c r="B4559" s="14" t="s">
        <v>6015</v>
      </c>
      <c r="C4559" s="85" t="str">
        <f ca="1">IFERROR(__xludf.DUMMYFUNCTION("GOOGLETRANSLATE(B4559:B4574,""RU"",""UK"")"),"Круг  нержавіюче. харчовий d30мм")</f>
        <v>Круг  нержавіюче. харчовий d30мм</v>
      </c>
      <c r="D4559" s="15" t="s">
        <v>130</v>
      </c>
      <c r="E4559" s="15">
        <v>5</v>
      </c>
      <c r="F4559" s="91" t="s">
        <v>226</v>
      </c>
      <c r="G4559" s="4"/>
      <c r="H4559" s="4"/>
      <c r="I4559" s="4"/>
    </row>
    <row r="4560" spans="1:9" ht="15">
      <c r="A4560" s="13">
        <v>5</v>
      </c>
      <c r="B4560" s="14" t="s">
        <v>6016</v>
      </c>
      <c r="C4560" s="85" t="str">
        <f ca="1">IFERROR(__xludf.DUMMYFUNCTION("GOOGLETRANSLATE(B4560:B4575,""RU"",""UK"")"),"Круг бронзове d10мм")</f>
        <v>Круг бронзове d10мм</v>
      </c>
      <c r="D4560" s="15" t="s">
        <v>130</v>
      </c>
      <c r="E4560" s="15" t="s">
        <v>5314</v>
      </c>
      <c r="F4560" s="91" t="s">
        <v>24</v>
      </c>
      <c r="G4560" s="4"/>
      <c r="H4560" s="4"/>
      <c r="I4560" s="4"/>
    </row>
    <row r="4561" spans="1:9" ht="15">
      <c r="A4561" s="13">
        <v>6</v>
      </c>
      <c r="B4561" s="14" t="s">
        <v>6017</v>
      </c>
      <c r="C4561" s="85" t="str">
        <f ca="1">IFERROR(__xludf.DUMMYFUNCTION("GOOGLETRANSLATE(B4561:B4576,""RU"",""UK"")"),"Круг бронзове d14мм (1,5м)")</f>
        <v>Круг бронзове d14мм (1,5м)</v>
      </c>
      <c r="D4561" s="15" t="s">
        <v>130</v>
      </c>
      <c r="E4561" s="15" t="s">
        <v>1230</v>
      </c>
      <c r="F4561" s="91" t="s">
        <v>24</v>
      </c>
      <c r="G4561" s="4"/>
      <c r="H4561" s="4"/>
      <c r="I4561" s="4"/>
    </row>
    <row r="4562" spans="1:9" ht="15">
      <c r="A4562" s="13">
        <v>8</v>
      </c>
      <c r="B4562" s="14" t="s">
        <v>6018</v>
      </c>
      <c r="C4562" s="85" t="str">
        <f ca="1">IFERROR(__xludf.DUMMYFUNCTION("GOOGLETRANSLATE(B4562:B4577,""RU"",""UK"")"),"Прут 6-ти гранний бронзовий 10мм (108см)/(105см)/(23см)")</f>
        <v>Прут 6-ти гранний бронзовий 10мм (108см)/(105см)/(23см)</v>
      </c>
      <c r="D4562" s="15" t="s">
        <v>130</v>
      </c>
      <c r="E4562" s="15" t="s">
        <v>6019</v>
      </c>
      <c r="F4562" s="91" t="s">
        <v>24</v>
      </c>
      <c r="G4562" s="4"/>
      <c r="H4562" s="4"/>
      <c r="I4562" s="4"/>
    </row>
    <row r="4563" spans="1:9" ht="15">
      <c r="A4563" s="13">
        <v>9</v>
      </c>
      <c r="B4563" s="14" t="s">
        <v>6020</v>
      </c>
      <c r="C4563" s="85" t="str">
        <f ca="1">IFERROR(__xludf.DUMMYFUNCTION("GOOGLETRANSLATE(B4563:B4578,""RU"",""UK"")"),"Прут 6-ти гранний бронзовий 27мм (80мм)")</f>
        <v>Прут 6-ти гранний бронзовий 27мм (80мм)</v>
      </c>
      <c r="D4563" s="15" t="s">
        <v>130</v>
      </c>
      <c r="E4563" s="15" t="s">
        <v>5271</v>
      </c>
      <c r="F4563" s="91" t="s">
        <v>24</v>
      </c>
      <c r="G4563" s="4"/>
      <c r="H4563" s="4"/>
      <c r="I4563" s="4"/>
    </row>
    <row r="4564" spans="1:9" ht="15">
      <c r="A4564" s="13">
        <v>10</v>
      </c>
      <c r="B4564" s="14" t="s">
        <v>6021</v>
      </c>
      <c r="C4564" s="85" t="str">
        <f ca="1">IFERROR(__xludf.DUMMYFUNCTION("GOOGLETRANSLATE(B4564:B4579,""RU"",""UK"")"),"Круг дюралеалюмінієве Д16Т d50мм")</f>
        <v>Круг дюралеалюмінієве Д16Т d50мм</v>
      </c>
      <c r="D4564" s="15" t="s">
        <v>130</v>
      </c>
      <c r="E4564" s="15" t="s">
        <v>6022</v>
      </c>
      <c r="F4564" s="91" t="s">
        <v>255</v>
      </c>
      <c r="G4564" s="4"/>
      <c r="H4564" s="4"/>
      <c r="I4564" s="4"/>
    </row>
    <row r="4565" spans="1:9" ht="15">
      <c r="A4565" s="13">
        <v>11</v>
      </c>
      <c r="B4565" s="14" t="s">
        <v>6023</v>
      </c>
      <c r="C4565" s="85" t="str">
        <f ca="1">IFERROR(__xludf.DUMMYFUNCTION("GOOGLETRANSLATE(B4565:B4580,""RU"",""UK"")"),"Круг дюралеалюмінієве Д16Т d60мм (L370мм)")</f>
        <v>Круг дюралеалюмінієве Д16Т d60мм (L370мм)</v>
      </c>
      <c r="D4565" s="15" t="s">
        <v>130</v>
      </c>
      <c r="E4565" s="15" t="s">
        <v>6024</v>
      </c>
      <c r="F4565" s="91" t="s">
        <v>255</v>
      </c>
      <c r="G4565" s="4"/>
      <c r="H4565" s="4"/>
      <c r="I4565" s="4"/>
    </row>
    <row r="4566" spans="1:9" ht="15">
      <c r="A4566" s="13">
        <v>12</v>
      </c>
      <c r="B4566" s="14" t="s">
        <v>6025</v>
      </c>
      <c r="C4566" s="85" t="str">
        <f ca="1">IFERROR(__xludf.DUMMYFUNCTION("GOOGLETRANSLATE(B4566:B4581,""RU"",""UK"")"),"Круг алюмінієве d25мм")</f>
        <v>Круг алюмінієве d25мм</v>
      </c>
      <c r="D4566" s="15" t="s">
        <v>130</v>
      </c>
      <c r="E4566" s="15" t="s">
        <v>6026</v>
      </c>
      <c r="F4566" s="91" t="s">
        <v>314</v>
      </c>
      <c r="G4566" s="4"/>
      <c r="H4566" s="4"/>
      <c r="I4566" s="4"/>
    </row>
    <row r="4567" spans="1:9" ht="15">
      <c r="A4567" s="13">
        <v>13</v>
      </c>
      <c r="B4567" s="14" t="s">
        <v>6027</v>
      </c>
      <c r="C4567" s="85" t="str">
        <f ca="1">IFERROR(__xludf.DUMMYFUNCTION("GOOGLETRANSLATE(B4567:B4582,""RU"",""UK"")"),"Круг алюмінієве d38мм")</f>
        <v>Круг алюмінієве d38мм</v>
      </c>
      <c r="D4567" s="15" t="s">
        <v>130</v>
      </c>
      <c r="E4567" s="15">
        <v>3</v>
      </c>
      <c r="F4567" s="91" t="s">
        <v>314</v>
      </c>
      <c r="G4567" s="4"/>
      <c r="H4567" s="4"/>
      <c r="I4567" s="4"/>
    </row>
    <row r="4568" spans="1:9" ht="15">
      <c r="A4568" s="13">
        <v>14</v>
      </c>
      <c r="B4568" s="14" t="s">
        <v>6028</v>
      </c>
      <c r="C4568" s="85" t="str">
        <f ca="1">IFERROR(__xludf.DUMMYFUNCTION("GOOGLETRANSLATE(B4568:B4583,""RU"",""UK"")"),"Труба алюмінієва 18х2,7 тверд. (2,8м)")</f>
        <v>Труба алюмінієва 18х2,7 тверд. (2,8м)</v>
      </c>
      <c r="D4568" s="15" t="s">
        <v>130</v>
      </c>
      <c r="E4568" s="15">
        <v>15</v>
      </c>
      <c r="F4568" s="91" t="s">
        <v>255</v>
      </c>
      <c r="G4568" s="4"/>
      <c r="H4568" s="4"/>
      <c r="I4568" s="4"/>
    </row>
    <row r="4569" spans="1:9" ht="15">
      <c r="A4569" s="13">
        <v>15</v>
      </c>
      <c r="B4569" s="14" t="s">
        <v>6029</v>
      </c>
      <c r="C4569" s="85" t="str">
        <f ca="1">IFERROR(__xludf.DUMMYFUNCTION("GOOGLETRANSLATE(B4569:B4584,""RU"",""UK"")"),"Труба алюмінієва 50х3,0 тверд. (1,28м)")</f>
        <v>Труба алюмінієва 50х3,0 тверд. (1,28м)</v>
      </c>
      <c r="D4569" s="15" t="s">
        <v>130</v>
      </c>
      <c r="E4569" s="15">
        <v>2</v>
      </c>
      <c r="F4569" s="91" t="s">
        <v>255</v>
      </c>
      <c r="G4569" s="4"/>
      <c r="H4569" s="4"/>
      <c r="I4569" s="4"/>
    </row>
    <row r="4570" spans="1:9" ht="15">
      <c r="A4570" s="250" t="s">
        <v>6071</v>
      </c>
      <c r="B4570" s="249"/>
      <c r="C4570" s="249"/>
      <c r="D4570" s="249"/>
      <c r="E4570" s="249"/>
      <c r="F4570" s="251"/>
      <c r="G4570" s="4"/>
      <c r="H4570" s="4"/>
      <c r="I4570" s="4"/>
    </row>
    <row r="4571" spans="1:9" ht="15">
      <c r="A4571" s="252"/>
      <c r="B4571" s="253"/>
      <c r="C4571" s="253"/>
      <c r="D4571" s="253"/>
      <c r="E4571" s="253"/>
      <c r="F4571" s="254"/>
      <c r="G4571" s="4"/>
      <c r="H4571" s="4"/>
      <c r="I4571" s="4"/>
    </row>
  </sheetData>
  <mergeCells count="2">
    <mergeCell ref="D3:E3"/>
    <mergeCell ref="A4570:F457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0"/>
  <sheetViews>
    <sheetView topLeftCell="A4" zoomScale="200" zoomScaleNormal="200" workbookViewId="0">
      <selection activeCell="B16" sqref="B16"/>
    </sheetView>
  </sheetViews>
  <sheetFormatPr defaultRowHeight="12.75"/>
  <cols>
    <col min="2" max="2" width="69.85546875" customWidth="1"/>
  </cols>
  <sheetData>
    <row r="1" spans="1:5">
      <c r="A1" s="31"/>
      <c r="B1" s="110" t="str">
        <f ca="1">IFERROR(__xludf.DUMMYFUNCTION("GOOGLETRANSLATE(B477:B492,""RU"",""UK"")"),"1.  А Б Р А З И В Н І  К Р У Г И")</f>
        <v>1.  А Б Р А З И В Н І  К Р У Г И</v>
      </c>
      <c r="C1" s="33"/>
      <c r="D1" s="33"/>
      <c r="E1" s="95"/>
    </row>
    <row r="2" spans="1:5">
      <c r="A2" s="21">
        <v>1</v>
      </c>
      <c r="B2" s="85" t="str">
        <f ca="1">IFERROR(__xludf.DUMMYFUNCTION("GOOGLETRANSLATE(B478:B493,""RU"",""UK"")"),"Круг внутр. Шліф.25А 6х10х2")</f>
        <v>Круг внутр. Шліф.25А 6х10х2</v>
      </c>
      <c r="C2" s="59" t="s">
        <v>6</v>
      </c>
      <c r="D2" s="59">
        <v>125</v>
      </c>
      <c r="E2" s="91" t="s">
        <v>132</v>
      </c>
    </row>
    <row r="3" spans="1:5">
      <c r="A3" s="21">
        <f t="shared" ref="A3:A72" si="0">A2+1</f>
        <v>2</v>
      </c>
      <c r="B3" s="85" t="str">
        <f ca="1">IFERROR(__xludf.DUMMYFUNCTION("GOOGLETRANSLATE(B479:B494,""RU"",""UK"")"),"Круг внутр. Шліф.25А 14х10х4")</f>
        <v>Круг внутр. Шліф.25А 14х10х4</v>
      </c>
      <c r="C3" s="59" t="s">
        <v>6</v>
      </c>
      <c r="D3" s="160">
        <v>6</v>
      </c>
      <c r="E3" s="91" t="s">
        <v>680</v>
      </c>
    </row>
    <row r="4" spans="1:5">
      <c r="A4" s="21">
        <f t="shared" si="0"/>
        <v>3</v>
      </c>
      <c r="B4" s="85" t="str">
        <f ca="1">IFERROR(__xludf.DUMMYFUNCTION("GOOGLETRANSLATE(B479:B494,""RU"",""UK"")"),"Круг внутр. Шліф.25А 14х20х4")</f>
        <v>Круг внутр. Шліф.25А 14х20х4</v>
      </c>
      <c r="C4" s="59" t="s">
        <v>6</v>
      </c>
      <c r="D4" s="160">
        <v>34</v>
      </c>
      <c r="E4" s="91" t="s">
        <v>680</v>
      </c>
    </row>
    <row r="5" spans="1:5">
      <c r="A5" s="21">
        <f t="shared" si="0"/>
        <v>4</v>
      </c>
      <c r="B5" s="85" t="str">
        <f ca="1">IFERROR(__xludf.DUMMYFUNCTION("GOOGLETRANSLATE(B479:B494,""RU"",""UK"")"),"Круг внутр. Шліф.25А 16х32х6")</f>
        <v>Круг внутр. Шліф.25А 16х32х6</v>
      </c>
      <c r="C5" s="59" t="s">
        <v>6</v>
      </c>
      <c r="D5" s="160">
        <v>3</v>
      </c>
      <c r="E5" s="91" t="s">
        <v>680</v>
      </c>
    </row>
    <row r="6" spans="1:5">
      <c r="A6" s="21">
        <f t="shared" si="0"/>
        <v>5</v>
      </c>
      <c r="B6" s="85" t="str">
        <f ca="1">IFERROR(__xludf.DUMMYFUNCTION("GOOGLETRANSLATE(B479:B494,""RU"",""UK"")"),"Круг внутр. Шліф.25А 20х8х6")</f>
        <v>Круг внутр. Шліф.25А 20х8х6</v>
      </c>
      <c r="C6" s="59" t="s">
        <v>6</v>
      </c>
      <c r="D6" s="59">
        <v>8</v>
      </c>
      <c r="E6" s="91" t="s">
        <v>680</v>
      </c>
    </row>
    <row r="7" spans="1:5">
      <c r="A7" s="21">
        <f t="shared" si="0"/>
        <v>6</v>
      </c>
      <c r="B7" s="85" t="str">
        <f ca="1">IFERROR(__xludf.DUMMYFUNCTION("GOOGLETRANSLATE(B481:B496,""RU"",""UK"")"),"Круг внутр. Шліф.25А 20х32х10")</f>
        <v>Круг внутр. Шліф.25А 20х32х10</v>
      </c>
      <c r="C7" s="59" t="s">
        <v>6</v>
      </c>
      <c r="D7" s="160">
        <v>9</v>
      </c>
      <c r="E7" s="91" t="s">
        <v>682</v>
      </c>
    </row>
    <row r="8" spans="1:5">
      <c r="A8" s="21">
        <f t="shared" si="0"/>
        <v>7</v>
      </c>
      <c r="B8" s="85" t="str">
        <f ca="1">IFERROR(__xludf.DUMMYFUNCTION("GOOGLETRANSLATE(B480:B495,""RU"",""UK"")"),"Круг внутр. Шліф.25А 25х32х6")</f>
        <v>Круг внутр. Шліф.25А 25х32х6</v>
      </c>
      <c r="C8" s="59" t="s">
        <v>6</v>
      </c>
      <c r="D8" s="59">
        <v>15</v>
      </c>
      <c r="E8" s="91" t="s">
        <v>682</v>
      </c>
    </row>
    <row r="9" spans="1:5">
      <c r="A9" s="21">
        <f t="shared" si="0"/>
        <v>8</v>
      </c>
      <c r="B9" s="85" t="str">
        <f ca="1">IFERROR(__xludf.DUMMYFUNCTION("GOOGLETRANSLATE(B481:B496,""RU"",""UK"")"),"Круг внутр. Шліф.25А 25х40х16")</f>
        <v>Круг внутр. Шліф.25А 25х40х16</v>
      </c>
      <c r="C9" s="59" t="s">
        <v>6</v>
      </c>
      <c r="D9" s="160">
        <v>8</v>
      </c>
      <c r="E9" s="91" t="s">
        <v>682</v>
      </c>
    </row>
    <row r="10" spans="1:5">
      <c r="A10" s="21">
        <f t="shared" si="0"/>
        <v>9</v>
      </c>
      <c r="B10" s="85" t="str">
        <f ca="1">IFERROR(__xludf.DUMMYFUNCTION("GOOGLETRANSLATE(B483:B498,""RU"",""UK"")"),"Круг внутр. Шліф.25А 25х25х6")</f>
        <v>Круг внутр. Шліф.25А 25х25х6</v>
      </c>
      <c r="C10" s="59" t="s">
        <v>6</v>
      </c>
      <c r="D10" s="59">
        <v>7</v>
      </c>
      <c r="E10" s="91" t="s">
        <v>290</v>
      </c>
    </row>
    <row r="11" spans="1:5">
      <c r="A11" s="21">
        <f t="shared" si="0"/>
        <v>10</v>
      </c>
      <c r="B11" s="85" t="str">
        <f ca="1">IFERROR(__xludf.DUMMYFUNCTION("GOOGLETRANSLATE(B483:B498,""RU"",""UK"")"),"Круг внутр. Шліф.64С 25х25х6")</f>
        <v>Круг внутр. Шліф.64С 25х25х6</v>
      </c>
      <c r="C11" s="59" t="s">
        <v>6</v>
      </c>
      <c r="D11" s="59">
        <v>6</v>
      </c>
      <c r="E11" s="91" t="s">
        <v>290</v>
      </c>
    </row>
    <row r="12" spans="1:5">
      <c r="A12" s="21">
        <f t="shared" si="0"/>
        <v>11</v>
      </c>
      <c r="B12" s="85" t="str">
        <f ca="1">IFERROR(__xludf.DUMMYFUNCTION("GOOGLETRANSLATE(B484:B499,""RU"",""UK"")"),"Круг внутр. Шліф.64С 27х32х6")</f>
        <v>Круг внутр. Шліф.64С 27х32х6</v>
      </c>
      <c r="C12" s="59" t="s">
        <v>6</v>
      </c>
      <c r="D12" s="59">
        <v>11</v>
      </c>
      <c r="E12" s="91" t="s">
        <v>290</v>
      </c>
    </row>
    <row r="13" spans="1:5">
      <c r="A13" s="21">
        <f t="shared" si="0"/>
        <v>12</v>
      </c>
      <c r="B13" s="85" t="str">
        <f ca="1">IFERROR(__xludf.DUMMYFUNCTION("GOOGLETRANSLATE(B482:B497,""RU"",""UK"")"),"Круг внутр. Шліф.25А 30х25х10")</f>
        <v>Круг внутр. Шліф.25А 30х25х10</v>
      </c>
      <c r="C13" s="59" t="s">
        <v>6</v>
      </c>
      <c r="D13" s="59">
        <v>5</v>
      </c>
      <c r="E13" s="91" t="s">
        <v>290</v>
      </c>
    </row>
    <row r="14" spans="1:5">
      <c r="A14" s="21">
        <f>A13+1</f>
        <v>13</v>
      </c>
      <c r="B14" s="85" t="str">
        <f ca="1">IFERROR(__xludf.DUMMYFUNCTION("GOOGLETRANSLATE(B482:B497,""RU"",""UK"")"),"Круг внутр. Шліф.25А 32х40х10")</f>
        <v>Круг внутр. Шліф.25А 32х40х10</v>
      </c>
      <c r="C14" s="59" t="s">
        <v>6</v>
      </c>
      <c r="D14" s="59">
        <v>4</v>
      </c>
      <c r="E14" s="91" t="s">
        <v>290</v>
      </c>
    </row>
    <row r="15" spans="1:5">
      <c r="A15" s="21">
        <f t="shared" si="0"/>
        <v>14</v>
      </c>
      <c r="B15" s="85" t="str">
        <f ca="1">IFERROR(__xludf.DUMMYFUNCTION("GOOGLETRANSLATE(B484:B499,""RU"",""UK"")"),"Круг внутр. Шліф. 25А 32х25х10")</f>
        <v>Круг внутр. Шліф. 25А 32х25х10</v>
      </c>
      <c r="C15" s="59" t="s">
        <v>6</v>
      </c>
      <c r="D15" s="59">
        <v>5</v>
      </c>
      <c r="E15" s="91">
        <v>27</v>
      </c>
    </row>
    <row r="16" spans="1:5">
      <c r="A16" s="21">
        <f t="shared" si="0"/>
        <v>15</v>
      </c>
      <c r="B16" s="85" t="str">
        <f ca="1">IFERROR(__xludf.DUMMYFUNCTION("GOOGLETRANSLATE(B485:B500,""RU"",""UK"")"),"Круг внутр. Шліф.25А 32х32х10")</f>
        <v>Круг внутр. Шліф.25А 32х32х10</v>
      </c>
      <c r="C16" s="59" t="s">
        <v>6</v>
      </c>
      <c r="D16" s="59">
        <v>130</v>
      </c>
      <c r="E16" s="91">
        <v>30</v>
      </c>
    </row>
    <row r="17" spans="1:5">
      <c r="A17" s="21">
        <f t="shared" si="0"/>
        <v>16</v>
      </c>
      <c r="B17" s="85" t="str">
        <f ca="1">IFERROR(__xludf.DUMMYFUNCTION("GOOGLETRANSLATE(B485:B500,""RU"",""UK"")"),"Круг внутр. Шліф.25А 32х40х10")</f>
        <v>Круг внутр. Шліф.25А 32х40х10</v>
      </c>
      <c r="C17" s="59" t="s">
        <v>6</v>
      </c>
      <c r="D17" s="59">
        <v>22</v>
      </c>
      <c r="E17" s="91" t="s">
        <v>693</v>
      </c>
    </row>
    <row r="18" spans="1:5">
      <c r="A18" s="21">
        <f t="shared" si="0"/>
        <v>17</v>
      </c>
      <c r="B18" s="85" t="str">
        <f ca="1">IFERROR(__xludf.DUMMYFUNCTION("GOOGLETRANSLATE(B486:B501,""RU"",""UK"")"),"Круг внутр. Шліф.25А 40х40х16")</f>
        <v>Круг внутр. Шліф.25А 40х40х16</v>
      </c>
      <c r="C18" s="59" t="s">
        <v>6</v>
      </c>
      <c r="D18" s="59">
        <v>14</v>
      </c>
      <c r="E18" s="91" t="s">
        <v>167</v>
      </c>
    </row>
    <row r="19" spans="1:5">
      <c r="A19" s="21">
        <f t="shared" si="0"/>
        <v>18</v>
      </c>
      <c r="B19" s="85" t="str">
        <f ca="1">IFERROR(__xludf.DUMMYFUNCTION("GOOGLETRANSLATE(B488:B503,""RU"",""UK"")"),"Круг внутр. Шліф.25А 63х20х20")</f>
        <v>Круг внутр. Шліф.25А 63х20х20</v>
      </c>
      <c r="C19" s="59" t="s">
        <v>6</v>
      </c>
      <c r="D19" s="59">
        <v>6</v>
      </c>
      <c r="E19" s="91" t="s">
        <v>169</v>
      </c>
    </row>
    <row r="20" spans="1:5">
      <c r="A20" s="21">
        <f t="shared" si="0"/>
        <v>19</v>
      </c>
      <c r="B20" s="85" t="str">
        <f ca="1">IFERROR(__xludf.DUMMYFUNCTION("GOOGLETRANSLATE(B488:B503,""RU"",""UK"")"),"Круг внутр. Шліф.25А 63х50х20")</f>
        <v>Круг внутр. Шліф.25А 63х50х20</v>
      </c>
      <c r="C20" s="59" t="s">
        <v>6</v>
      </c>
      <c r="D20" s="59">
        <v>13</v>
      </c>
      <c r="E20" s="91" t="s">
        <v>169</v>
      </c>
    </row>
    <row r="21" spans="1:5">
      <c r="A21" s="21">
        <f t="shared" si="0"/>
        <v>20</v>
      </c>
      <c r="B21" s="85" t="str">
        <f ca="1">IFERROR(__xludf.DUMMYFUNCTION("GOOGLETRANSLATE(B489:B504,""RU"",""UK"")"),"Круг внутр. Шліф.25А 80х25х20")</f>
        <v>Круг внутр. Шліф.25А 80х25х20</v>
      </c>
      <c r="C21" s="59" t="s">
        <v>6</v>
      </c>
      <c r="D21" s="59">
        <v>1</v>
      </c>
      <c r="E21" s="91" t="s">
        <v>304</v>
      </c>
    </row>
    <row r="22" spans="1:5">
      <c r="A22" s="21">
        <f t="shared" si="0"/>
        <v>21</v>
      </c>
      <c r="B22" s="85" t="str">
        <f ca="1">IFERROR(__xludf.DUMMYFUNCTION("GOOGLETRANSLATE(B489:B504,""RU"",""UK"")"),"Круг внутр. Шліф.25А 80х63х20")</f>
        <v>Круг внутр. Шліф.25А 80х63х20</v>
      </c>
      <c r="C22" s="59" t="s">
        <v>6</v>
      </c>
      <c r="D22" s="59">
        <v>5</v>
      </c>
      <c r="E22" s="91" t="s">
        <v>304</v>
      </c>
    </row>
    <row r="23" spans="1:5">
      <c r="A23" s="21">
        <f t="shared" si="0"/>
        <v>22</v>
      </c>
      <c r="B23" s="85" t="str">
        <f ca="1">IFERROR(__xludf.DUMMYFUNCTION("GOOGLETRANSLATE(B490:B505,""RU"",""UK"")"),"Круг чашка коніч. 25А25П 25х40х6")</f>
        <v>Круг чашка коніч. 25А25П 25х40х6</v>
      </c>
      <c r="C23" s="59" t="s">
        <v>6</v>
      </c>
      <c r="D23" s="59">
        <v>11</v>
      </c>
      <c r="E23" s="91" t="s">
        <v>167</v>
      </c>
    </row>
    <row r="24" spans="1:5">
      <c r="A24" s="21">
        <f t="shared" si="0"/>
        <v>23</v>
      </c>
      <c r="B24" s="85" t="str">
        <f ca="1">IFERROR(__xludf.DUMMYFUNCTION("GOOGLETRANSLATE(B491:B506,""RU"",""UK"")"),"Круг чашка коніч. 25А25П 80х65х22")</f>
        <v>Круг чашка коніч. 25А25П 80х65х22</v>
      </c>
      <c r="C24" s="59" t="s">
        <v>6</v>
      </c>
      <c r="D24" s="59">
        <v>5</v>
      </c>
      <c r="E24" s="91">
        <v>120</v>
      </c>
    </row>
    <row r="25" spans="1:5">
      <c r="A25" s="21">
        <f t="shared" si="0"/>
        <v>24</v>
      </c>
      <c r="B25" s="85" t="str">
        <f ca="1">IFERROR(__xludf.DUMMYFUNCTION("GOOGLETRANSLATE(B492:B507,""RU"",""UK"")"),"Круг чашка коніч. 39А 100х30х20")</f>
        <v>Круг чашка коніч. 39А 100х30х20</v>
      </c>
      <c r="C25" s="59" t="s">
        <v>6</v>
      </c>
      <c r="D25" s="59">
        <v>5</v>
      </c>
      <c r="E25" s="91" t="s">
        <v>319</v>
      </c>
    </row>
    <row r="26" spans="1:5">
      <c r="A26" s="21">
        <f t="shared" si="0"/>
        <v>25</v>
      </c>
      <c r="B26" s="85" t="str">
        <f ca="1">IFERROR(__xludf.DUMMYFUNCTION("GOOGLETRANSLATE(B493:B508,""RU"",""UK"")"),"Круг чашка коніч. 25А25П 100х50х20")</f>
        <v>Круг чашка коніч. 25А25П 100х50х20</v>
      </c>
      <c r="C26" s="59" t="s">
        <v>6</v>
      </c>
      <c r="D26" s="59">
        <v>74</v>
      </c>
      <c r="E26" s="91" t="s">
        <v>319</v>
      </c>
    </row>
    <row r="27" spans="1:5">
      <c r="A27" s="21">
        <f t="shared" si="0"/>
        <v>26</v>
      </c>
      <c r="B27" s="85" t="str">
        <f ca="1">IFERROR(__xludf.DUMMYFUNCTION("GOOGLETRANSLATE(B496:B511,""RU"",""UK"")"),"Круг цилінд чашки. 25А25П 100х50х20")</f>
        <v>Круг цилінд чашки. 25А25П 100х50х20</v>
      </c>
      <c r="C27" s="59" t="s">
        <v>6</v>
      </c>
      <c r="D27" s="59">
        <v>2</v>
      </c>
      <c r="E27" s="91" t="s">
        <v>119</v>
      </c>
    </row>
    <row r="28" spans="1:5">
      <c r="A28" s="21">
        <f t="shared" si="0"/>
        <v>27</v>
      </c>
      <c r="B28" s="85" t="str">
        <f ca="1">IFERROR(__xludf.DUMMYFUNCTION("GOOGLETRANSLATE(B496:B511,""RU"",""UK"")"),"Круг циліндричний, чашка 63С 25П 100х50х20")</f>
        <v>Круг циліндричний, чашка 63С 25П 100х50х20</v>
      </c>
      <c r="C28" s="59" t="s">
        <v>6</v>
      </c>
      <c r="D28" s="59">
        <v>5</v>
      </c>
      <c r="E28" s="91" t="s">
        <v>119</v>
      </c>
    </row>
    <row r="29" spans="1:5">
      <c r="A29" s="21">
        <f t="shared" si="0"/>
        <v>28</v>
      </c>
      <c r="B29" s="85" t="str">
        <f ca="1">IFERROR(__xludf.DUMMYFUNCTION("GOOGLETRANSLATE(B494:B509,""RU"",""UK"")"),"Круг чашка коніч. 25А25П 125х40х32")</f>
        <v>Круг чашка коніч. 25А25П 125х40х32</v>
      </c>
      <c r="C29" s="59" t="s">
        <v>6</v>
      </c>
      <c r="D29" s="160">
        <v>3</v>
      </c>
      <c r="E29" s="91" t="s">
        <v>140</v>
      </c>
    </row>
    <row r="30" spans="1:5">
      <c r="A30" s="21">
        <f t="shared" si="0"/>
        <v>29</v>
      </c>
      <c r="B30" s="85" t="str">
        <f ca="1">IFERROR(__xludf.DUMMYFUNCTION("GOOGLETRANSLATE(B494:B509,""RU"",""UK"")"),"Круг чашка коніч. 64С 40п 125х50х32")</f>
        <v>Круг чашка коніч. 64С 40п 125х50х32</v>
      </c>
      <c r="C30" s="59" t="s">
        <v>6</v>
      </c>
      <c r="D30" s="160">
        <v>14</v>
      </c>
      <c r="E30" s="91" t="s">
        <v>140</v>
      </c>
    </row>
    <row r="31" spans="1:5">
      <c r="A31" s="21">
        <f t="shared" si="0"/>
        <v>30</v>
      </c>
      <c r="B31" s="85" t="str">
        <f ca="1">IFERROR(__xludf.DUMMYFUNCTION("GOOGLETRANSLATE(B495:B510,""RU"",""UK"")"),"Круг чашка коніч. 14А40П 125х40х32")</f>
        <v>Круг чашка коніч. 14А40П 125х40х32</v>
      </c>
      <c r="C31" s="59" t="s">
        <v>6</v>
      </c>
      <c r="D31" s="59">
        <v>1</v>
      </c>
      <c r="E31" s="91" t="s">
        <v>140</v>
      </c>
    </row>
    <row r="32" spans="1:5">
      <c r="A32" s="21">
        <f t="shared" si="0"/>
        <v>31</v>
      </c>
      <c r="B32" s="85" t="str">
        <f ca="1">IFERROR(__xludf.DUMMYFUNCTION("GOOGLETRANSLATE(B497:B512,""RU"",""UK"")"),"Круг чашка коніч. 14А 150х50х32")</f>
        <v>Круг чашка коніч. 14А 150х50х32</v>
      </c>
      <c r="C32" s="59" t="s">
        <v>6</v>
      </c>
      <c r="D32" s="59">
        <v>27</v>
      </c>
      <c r="E32" s="91" t="s">
        <v>20</v>
      </c>
    </row>
    <row r="33" spans="1:5">
      <c r="A33" s="21">
        <f t="shared" si="0"/>
        <v>32</v>
      </c>
      <c r="B33" s="85" t="str">
        <f ca="1">IFERROR(__xludf.DUMMYFUNCTION("GOOGLETRANSLATE(B497:B512,""RU"",""UK"")"),"Круг чашка коніч. 95А 150х50х32")</f>
        <v>Круг чашка коніч. 95А 150х50х32</v>
      </c>
      <c r="C33" s="59" t="s">
        <v>6</v>
      </c>
      <c r="D33" s="59">
        <v>1</v>
      </c>
      <c r="E33" s="91" t="s">
        <v>20</v>
      </c>
    </row>
    <row r="34" spans="1:5">
      <c r="A34" s="21">
        <f t="shared" si="0"/>
        <v>33</v>
      </c>
      <c r="B34" s="85" t="str">
        <f ca="1">IFERROR(__xludf.DUMMYFUNCTION("GOOGLETRANSLATE(B498:B513,""RU"",""UK"")"),"Круг чашка коніч. 14А 40СМ2 150х80х32")</f>
        <v>Круг чашка коніч. 14А 40СМ2 150х80х32</v>
      </c>
      <c r="C34" s="59" t="s">
        <v>6</v>
      </c>
      <c r="D34" s="59">
        <v>2</v>
      </c>
      <c r="E34" s="91" t="s">
        <v>20</v>
      </c>
    </row>
    <row r="35" spans="1:5">
      <c r="A35" s="21">
        <f t="shared" si="0"/>
        <v>34</v>
      </c>
      <c r="B35" s="85" t="str">
        <f ca="1">IFERROR(__xludf.DUMMYFUNCTION("GOOGLETRANSLATE(B499:B514,""RU"",""UK"")"),"Круг чашка коніч. 64С 150х50х32 F46СМ1/40пМ3")</f>
        <v>Круг чашка коніч. 64С 150х50х32 F46СМ1/40пМ3</v>
      </c>
      <c r="C35" s="59" t="s">
        <v>6</v>
      </c>
      <c r="D35" s="160">
        <v>30</v>
      </c>
      <c r="E35" s="91" t="s">
        <v>20</v>
      </c>
    </row>
    <row r="36" spans="1:5">
      <c r="A36" s="21">
        <f t="shared" si="0"/>
        <v>35</v>
      </c>
      <c r="B36" s="85" t="str">
        <f ca="1">IFERROR(__xludf.DUMMYFUNCTION("GOOGLETRANSLATE(B500:B515,""RU"",""UK"")"),"Круг чашка коніч. 25А 150х50х32")</f>
        <v>Круг чашка коніч. 25А 150х50х32</v>
      </c>
      <c r="C36" s="59" t="s">
        <v>6</v>
      </c>
      <c r="D36" s="59">
        <v>15</v>
      </c>
      <c r="E36" s="91" t="s">
        <v>20</v>
      </c>
    </row>
    <row r="37" spans="1:5">
      <c r="A37" s="21">
        <f t="shared" si="0"/>
        <v>36</v>
      </c>
      <c r="B37" s="85" t="str">
        <f ca="1">IFERROR(__xludf.DUMMYFUNCTION("GOOGLETRANSLATE(B496:B511,""RU"",""UK"")"),"Круг циліндричний, чашка 92А40П 150х80х32")</f>
        <v>Круг циліндричний, чашка 92А40П 150х80х32</v>
      </c>
      <c r="C37" s="59" t="s">
        <v>6</v>
      </c>
      <c r="D37" s="59">
        <v>1</v>
      </c>
      <c r="E37" s="91">
        <v>300</v>
      </c>
    </row>
    <row r="38" spans="1:5">
      <c r="A38" s="21">
        <f t="shared" si="0"/>
        <v>37</v>
      </c>
      <c r="B38" s="85" t="str">
        <f ca="1">IFERROR(__xludf.DUMMYFUNCTION("GOOGLETRANSLATE(B502:B517,""RU"",""UK"")"),"Круг для заточування інструменту (тарілка) 64С 125х32х12")</f>
        <v>Круг для заточування інструменту (тарілка) 64С 125х32х12</v>
      </c>
      <c r="C38" s="59" t="s">
        <v>6</v>
      </c>
      <c r="D38" s="59">
        <v>3</v>
      </c>
      <c r="E38" s="91" t="s">
        <v>119</v>
      </c>
    </row>
    <row r="39" spans="1:5">
      <c r="A39" s="21">
        <f t="shared" si="0"/>
        <v>38</v>
      </c>
      <c r="B39" s="85" t="str">
        <f ca="1">IFERROR(__xludf.DUMMYFUNCTION("GOOGLETRANSLATE(B503:B518,""RU"",""UK"")"),"Круг  для заточування інструменту (тарілка) 64С 150х32х16")</f>
        <v>Круг  для заточування інструменту (тарілка) 64С 150х32х16</v>
      </c>
      <c r="C39" s="59" t="s">
        <v>6</v>
      </c>
      <c r="D39" s="59">
        <v>3</v>
      </c>
      <c r="E39" s="91">
        <v>240</v>
      </c>
    </row>
    <row r="40" spans="1:5">
      <c r="A40" s="21">
        <f t="shared" si="0"/>
        <v>39</v>
      </c>
      <c r="B40" s="85" t="str">
        <f ca="1">IFERROR(__xludf.DUMMYFUNCTION("GOOGLETRANSLATE(B504:B519,""RU"",""UK"")"),"Круг  для заточування інструменту (тарілка) 92А 150х32х16")</f>
        <v>Круг  для заточування інструменту (тарілка) 92А 150х32х16</v>
      </c>
      <c r="C40" s="59" t="s">
        <v>6</v>
      </c>
      <c r="D40" s="59">
        <v>3</v>
      </c>
      <c r="E40" s="91">
        <v>240</v>
      </c>
    </row>
    <row r="41" spans="1:5">
      <c r="A41" s="21">
        <f t="shared" si="0"/>
        <v>40</v>
      </c>
      <c r="B41" s="85" t="str">
        <f ca="1">IFERROR(__xludf.DUMMYFUNCTION("GOOGLETRANSLATE(B504:B519,""RU"",""UK"")"),"Круг  для заточування інструменту (тарілка) 25А 150х32х16 П40СМ2")</f>
        <v>Круг  для заточування інструменту (тарілка) 25А 150х32х16 П40СМ2</v>
      </c>
      <c r="C41" s="59" t="s">
        <v>6</v>
      </c>
      <c r="D41" s="59">
        <v>2</v>
      </c>
      <c r="E41" s="91">
        <v>240</v>
      </c>
    </row>
    <row r="42" spans="1:5">
      <c r="A42" s="21">
        <f t="shared" si="0"/>
        <v>41</v>
      </c>
      <c r="B42" s="85" t="str">
        <f ca="1">IFERROR(__xludf.DUMMYFUNCTION("GOOGLETRANSLATE(B505:B520,""RU"",""UK"")"),"Круг  для заточування інструменту (тарілка) 64С 175х32х16")</f>
        <v>Круг  для заточування інструменту (тарілка) 64С 175х32х16</v>
      </c>
      <c r="C42" s="59" t="s">
        <v>6</v>
      </c>
      <c r="D42" s="59">
        <v>64</v>
      </c>
      <c r="E42" s="91">
        <v>270</v>
      </c>
    </row>
    <row r="43" spans="1:5">
      <c r="A43" s="21">
        <f t="shared" si="0"/>
        <v>42</v>
      </c>
      <c r="B43" s="85" t="str">
        <f ca="1">IFERROR(__xludf.DUMMYFUNCTION("GOOGLETRANSLATE(B506:B521,""RU"",""UK"")"),"Круг  для заточування інструмент. (тарілка) 25А 175х32х10/25АF46 175х32х10cм2")</f>
        <v>Круг  для заточування інструмент. (тарілка) 25А 175х32х10/25АF46 175х32х10cм2</v>
      </c>
      <c r="C43" s="59" t="s">
        <v>6</v>
      </c>
      <c r="D43" s="59" t="s">
        <v>723</v>
      </c>
      <c r="E43" s="91">
        <v>270</v>
      </c>
    </row>
    <row r="44" spans="1:5">
      <c r="A44" s="21">
        <f t="shared" si="0"/>
        <v>43</v>
      </c>
      <c r="B44" s="85" t="str">
        <f ca="1">IFERROR(__xludf.DUMMYFUNCTION("GOOGLETRANSLATE(B507:B522,""RU"",""UK"")"),"Круг  для заточування інструменту (тарілка) 25А 175х32х13")</f>
        <v>Круг  для заточування інструменту (тарілка) 25А 175х32х13</v>
      </c>
      <c r="C44" s="59" t="s">
        <v>6</v>
      </c>
      <c r="D44" s="59">
        <v>3</v>
      </c>
      <c r="E44" s="91">
        <v>270</v>
      </c>
    </row>
    <row r="45" spans="1:5">
      <c r="A45" s="21">
        <f t="shared" si="0"/>
        <v>44</v>
      </c>
      <c r="B45" s="85" t="str">
        <f ca="1">IFERROR(__xludf.DUMMYFUNCTION("GOOGLETRANSLATE(B507:B522,""RU"",""UK"")"),"Круг  для заточування інструменту (тарілка) 25А 175х32х16")</f>
        <v>Круг  для заточування інструменту (тарілка) 25А 175х32х16</v>
      </c>
      <c r="C45" s="59" t="s">
        <v>6</v>
      </c>
      <c r="D45" s="59">
        <v>8</v>
      </c>
      <c r="E45" s="91">
        <v>270</v>
      </c>
    </row>
    <row r="46" spans="1:5">
      <c r="A46" s="21">
        <f t="shared" si="0"/>
        <v>45</v>
      </c>
      <c r="B46" s="85" t="str">
        <f ca="1">IFERROR(__xludf.DUMMYFUNCTION("GOOGLETRANSLATE(B508:B523,""RU"",""UK"")"),"Круг  для заточування інструменту (тарілка) 95А 175х32х16")</f>
        <v>Круг  для заточування інструменту (тарілка) 95А 175х32х16</v>
      </c>
      <c r="C46" s="59" t="s">
        <v>6</v>
      </c>
      <c r="D46" s="59">
        <v>8</v>
      </c>
      <c r="E46" s="91" t="s">
        <v>20</v>
      </c>
    </row>
    <row r="47" spans="1:5">
      <c r="A47" s="21">
        <f t="shared" si="0"/>
        <v>46</v>
      </c>
      <c r="B47" s="85" t="str">
        <f ca="1">IFERROR(__xludf.DUMMYFUNCTION("GOOGLETRANSLATE(B509:B524,""RU"",""UK"")"),"Круг  для заточування інструменту (тарілка) 64С 200х32х16/25А 200х32х12")</f>
        <v>Круг  для заточування інструменту (тарілка) 64С 200х32х16/25А 200х32х12</v>
      </c>
      <c r="C47" s="59" t="s">
        <v>6</v>
      </c>
      <c r="D47" s="59" t="s">
        <v>6142</v>
      </c>
      <c r="E47" s="91" t="s">
        <v>24</v>
      </c>
    </row>
    <row r="48" spans="1:5">
      <c r="A48" s="21">
        <f t="shared" si="0"/>
        <v>47</v>
      </c>
      <c r="B48" s="85" t="str">
        <f ca="1">IFERROR(__xludf.DUMMYFUNCTION("GOOGLETRANSLATE(B510:B525,""RU"",""UK"")"),"Круг  для заточування інструменту (тарілка) 64С 200х32х20")</f>
        <v>Круг  для заточування інструменту (тарілка) 64С 200х32х20</v>
      </c>
      <c r="C48" s="59" t="s">
        <v>6</v>
      </c>
      <c r="D48" s="59">
        <v>1</v>
      </c>
      <c r="E48" s="91" t="s">
        <v>162</v>
      </c>
    </row>
    <row r="49" spans="1:5">
      <c r="A49" s="21">
        <f t="shared" si="0"/>
        <v>48</v>
      </c>
      <c r="B49" s="85" t="str">
        <f ca="1">IFERROR(__xludf.DUMMYFUNCTION("GOOGLETRANSLATE(B512:B527,""RU"",""UK"")"),"Круг  для заточування інструменту (тарілка) 25А 225х18х40")</f>
        <v>Круг  для заточування інструменту (тарілка) 25А 225х18х40</v>
      </c>
      <c r="C49" s="59" t="s">
        <v>6</v>
      </c>
      <c r="D49" s="59">
        <v>17</v>
      </c>
      <c r="E49" s="91" t="s">
        <v>162</v>
      </c>
    </row>
    <row r="50" spans="1:5">
      <c r="A50" s="21">
        <f t="shared" si="0"/>
        <v>49</v>
      </c>
      <c r="B50" s="85" t="str">
        <f ca="1">IFERROR(__xludf.DUMMYFUNCTION("GOOGLETRANSLATE(B513:B528,""RU"",""UK"")"),"Круг  для заточування інструменту (тарілка) 25А 25П СМ2 250х5х76")</f>
        <v>Круг  для заточування інструменту (тарілка) 25А 25П СМ2 250х5х76</v>
      </c>
      <c r="C50" s="59" t="s">
        <v>6</v>
      </c>
      <c r="D50" s="59">
        <v>0</v>
      </c>
      <c r="E50" s="91" t="s">
        <v>162</v>
      </c>
    </row>
    <row r="51" spans="1:5">
      <c r="A51" s="21">
        <f t="shared" si="0"/>
        <v>50</v>
      </c>
      <c r="B51" s="85" t="str">
        <f ca="1">IFERROR(__xludf.DUMMYFUNCTION("GOOGLETRANSLATE(B514:B529,""RU"",""UK"")"),"Круг  для заточування інструменту (тарілка) 25А 250х20х76 25П/40П")</f>
        <v>Круг  для заточування інструменту (тарілка) 25А 250х20х76 25П/40П</v>
      </c>
      <c r="C51" s="59" t="s">
        <v>6</v>
      </c>
      <c r="D51" s="59">
        <v>4</v>
      </c>
      <c r="E51" s="91" t="s">
        <v>162</v>
      </c>
    </row>
    <row r="52" spans="1:5">
      <c r="A52" s="21">
        <f t="shared" si="0"/>
        <v>51</v>
      </c>
      <c r="B52" s="85" t="str">
        <f ca="1">IFERROR(__xludf.DUMMYFUNCTION("GOOGLETRANSLATE(B515:B530,""RU"",""UK"")"),"Круг  для заточування інструменту (тарілка) 64С 25П 250х24х32")</f>
        <v>Круг  для заточування інструменту (тарілка) 64С 25П 250х24х32</v>
      </c>
      <c r="C52" s="59" t="s">
        <v>6</v>
      </c>
      <c r="D52" s="59">
        <v>1</v>
      </c>
      <c r="E52" s="91" t="s">
        <v>106</v>
      </c>
    </row>
    <row r="53" spans="1:5">
      <c r="A53" s="21">
        <f t="shared" si="0"/>
        <v>52</v>
      </c>
      <c r="B53" s="85" t="str">
        <f ca="1">IFERROR(__xludf.DUMMYFUNCTION("GOOGLETRANSLATE(B516:B531,""RU"",""UK"")"),"Круг  для заточування інструменту (тарілка) 64С 25п 250х16х32")</f>
        <v>Круг  для заточування інструменту (тарілка) 64С 25п 250х16х32</v>
      </c>
      <c r="C53" s="59" t="s">
        <v>6</v>
      </c>
      <c r="D53" s="59">
        <v>1</v>
      </c>
      <c r="E53" s="91" t="s">
        <v>106</v>
      </c>
    </row>
    <row r="54" spans="1:5">
      <c r="A54" s="21">
        <f t="shared" si="0"/>
        <v>53</v>
      </c>
      <c r="B54" s="85" t="str">
        <f ca="1">IFERROR(__xludf.DUMMYFUNCTION("GOOGLETRANSLATE(B517:B532,""RU"",""UK"")"),"Круг  для заточування інструменту 63С 250х13х76")</f>
        <v>Круг  для заточування інструменту 63С 250х13х76</v>
      </c>
      <c r="C54" s="59" t="s">
        <v>6</v>
      </c>
      <c r="D54" s="59">
        <v>3</v>
      </c>
      <c r="E54" s="91" t="s">
        <v>20</v>
      </c>
    </row>
    <row r="55" spans="1:5">
      <c r="A55" s="21">
        <f t="shared" si="0"/>
        <v>54</v>
      </c>
      <c r="B55" s="85" t="str">
        <f ca="1">IFERROR(__xludf.DUMMYFUNCTION("GOOGLETRANSLATE(B518:B533,""RU"",""UK"")"),"Круг  для заточування інструменту (різьбошліф.) 25А25П/40П 250х13х76")</f>
        <v>Круг  для заточування інструменту (різьбошліф.) 25А25П/40П 250х13х76</v>
      </c>
      <c r="C55" s="59" t="s">
        <v>6</v>
      </c>
      <c r="D55" s="59">
        <v>21</v>
      </c>
      <c r="E55" s="91" t="s">
        <v>20</v>
      </c>
    </row>
    <row r="56" spans="1:5">
      <c r="A56" s="21">
        <f t="shared" si="0"/>
        <v>55</v>
      </c>
      <c r="B56" s="228" t="str">
        <f ca="1">IFERROR(__xludf.DUMMYFUNCTION("GOOGLETRANSLATE(B518:B533,""RU"",""UK"")"),"Круг  для заточування інструменту (різьбошліф.) 25А25П 300х20/2х127")</f>
        <v>Круг  для заточування інструменту (різьбошліф.) 25А25П 300х20/2х127</v>
      </c>
      <c r="C56" s="59" t="s">
        <v>6</v>
      </c>
      <c r="D56" s="59">
        <v>2</v>
      </c>
      <c r="E56" s="91">
        <v>420</v>
      </c>
    </row>
    <row r="57" spans="1:5">
      <c r="A57" s="21">
        <f t="shared" si="0"/>
        <v>56</v>
      </c>
      <c r="B57" s="85" t="str">
        <f ca="1">IFERROR(__xludf.DUMMYFUNCTION("GOOGLETRANSLATE(B519:B534,""RU"",""UK"")"),"Круг  шліф. 25А(білий) 25х5х5")</f>
        <v>Круг  шліф. 25А(білий) 25х5х5</v>
      </c>
      <c r="C57" s="59" t="s">
        <v>6</v>
      </c>
      <c r="D57" s="59">
        <v>10</v>
      </c>
      <c r="E57" s="91" t="s">
        <v>682</v>
      </c>
    </row>
    <row r="58" spans="1:5">
      <c r="A58" s="21">
        <f t="shared" si="0"/>
        <v>57</v>
      </c>
      <c r="B58" s="85" t="str">
        <f ca="1">IFERROR(__xludf.DUMMYFUNCTION("GOOGLETRANSLATE(B519:B534,""RU"",""UK"")"),"Круг  шліф. 25А(білий) 35х15х8")</f>
        <v>Круг  шліф. 25А(білий) 35х15х8</v>
      </c>
      <c r="C58" s="59" t="s">
        <v>6</v>
      </c>
      <c r="D58" s="59">
        <v>5</v>
      </c>
      <c r="E58" s="91">
        <v>18</v>
      </c>
    </row>
    <row r="59" spans="1:5">
      <c r="A59" s="21">
        <f t="shared" si="0"/>
        <v>58</v>
      </c>
      <c r="B59" s="85" t="str">
        <f ca="1">IFERROR(__xludf.DUMMYFUNCTION("GOOGLETRANSLATE(B520:B535,""RU"",""UK"")"),"Круг  шліфів. полірувальний гнучкий 63х6х10")</f>
        <v>Круг  шліфів. полірувальний гнучкий 63х6х10</v>
      </c>
      <c r="C59" s="59" t="s">
        <v>6</v>
      </c>
      <c r="D59" s="59">
        <v>6</v>
      </c>
      <c r="E59" s="91">
        <v>24</v>
      </c>
    </row>
    <row r="60" spans="1:5">
      <c r="A60" s="21">
        <f t="shared" si="0"/>
        <v>59</v>
      </c>
      <c r="B60" s="85" t="str">
        <f ca="1">IFERROR(__xludf.DUMMYFUNCTION("GOOGLETRANSLATE(B521:B536,""RU"",""UK"")"),"Круг  шліф. 25А(білий) 63х8х20")</f>
        <v>Круг  шліф. 25А(білий) 63х8х20</v>
      </c>
      <c r="C60" s="59" t="s">
        <v>6</v>
      </c>
      <c r="D60" s="59">
        <v>14</v>
      </c>
      <c r="E60" s="91" t="s">
        <v>248</v>
      </c>
    </row>
    <row r="61" spans="1:5">
      <c r="A61" s="21">
        <f t="shared" si="0"/>
        <v>60</v>
      </c>
      <c r="B61" s="85" t="str">
        <f ca="1">IFERROR(__xludf.DUMMYFUNCTION("GOOGLETRANSLATE(B521:B536,""RU"",""UK"")"),"Круг  шліф. 25А(білий) 63х10х20")</f>
        <v>Круг  шліф. 25А(білий) 63х10х20</v>
      </c>
      <c r="C61" s="59" t="s">
        <v>6</v>
      </c>
      <c r="D61" s="59">
        <v>10</v>
      </c>
      <c r="E61" s="91">
        <v>42</v>
      </c>
    </row>
    <row r="62" spans="1:5">
      <c r="A62" s="21">
        <f t="shared" si="0"/>
        <v>61</v>
      </c>
      <c r="B62" s="85" t="str">
        <f ca="1">IFERROR(__xludf.DUMMYFUNCTION("GOOGLETRANSLATE(B522:B537,""RU"",""UK"")"),"Круг  шліф. 39А 72х30х20")</f>
        <v>Круг  шліф. 39А 72х30х20</v>
      </c>
      <c r="C62" s="59" t="s">
        <v>6</v>
      </c>
      <c r="D62" s="59">
        <v>1</v>
      </c>
      <c r="E62" s="91" t="s">
        <v>183</v>
      </c>
    </row>
    <row r="63" spans="1:5">
      <c r="A63" s="21">
        <f t="shared" si="0"/>
        <v>62</v>
      </c>
      <c r="B63" s="85" t="str">
        <f ca="1">IFERROR(__xludf.DUMMYFUNCTION("GOOGLETRANSLATE(B523:B538,""RU"",""UK"")"),"Круг  шліф. 25А(білий) 80х10х20")</f>
        <v>Круг  шліф. 25А(білий) 80х10х20</v>
      </c>
      <c r="C63" s="59" t="s">
        <v>6</v>
      </c>
      <c r="D63" s="59">
        <v>14</v>
      </c>
      <c r="E63" s="91" t="s">
        <v>304</v>
      </c>
    </row>
    <row r="64" spans="1:5">
      <c r="A64" s="21">
        <f t="shared" si="0"/>
        <v>63</v>
      </c>
      <c r="B64" s="85" t="str">
        <f ca="1">IFERROR(__xludf.DUMMYFUNCTION("GOOGLETRANSLATE(B524:B539,""RU"",""UK"")"),"Круг  шліф. 25А (білий) 80х13х20 40п ст1")</f>
        <v>Круг  шліф. 25А (білий) 80х13х20 40п ст1</v>
      </c>
      <c r="C64" s="59" t="s">
        <v>6</v>
      </c>
      <c r="D64" s="59">
        <v>15</v>
      </c>
      <c r="E64" s="91">
        <v>51</v>
      </c>
    </row>
    <row r="65" spans="1:5">
      <c r="A65" s="21">
        <f t="shared" si="0"/>
        <v>64</v>
      </c>
      <c r="B65" s="85" t="str">
        <f ca="1">IFERROR(__xludf.DUMMYFUNCTION("GOOGLETRANSLATE(B524:B539,""RU"",""UK"")"),"Круг  шліф. 25А (білий) 80х20х20 40п ст1")</f>
        <v>Круг  шліф. 25А (білий) 80х20х20 40п ст1</v>
      </c>
      <c r="C65" s="59" t="s">
        <v>6</v>
      </c>
      <c r="D65" s="59">
        <v>22</v>
      </c>
      <c r="E65" s="91">
        <v>54</v>
      </c>
    </row>
    <row r="66" spans="1:5">
      <c r="A66" s="21">
        <f t="shared" si="0"/>
        <v>65</v>
      </c>
      <c r="B66" s="85" t="str">
        <f ca="1">IFERROR(__xludf.DUMMYFUNCTION("GOOGLETRANSLATE(B525:B540,""RU"",""UK"")"),"Круг  шліф. 25А(білий) 80х50х20/39А 80х40х20")</f>
        <v>Круг  шліф. 25А(білий) 80х50х20/39А 80х40х20</v>
      </c>
      <c r="C66" s="59" t="s">
        <v>6</v>
      </c>
      <c r="D66" s="59" t="s">
        <v>749</v>
      </c>
      <c r="E66" s="91" t="s">
        <v>104</v>
      </c>
    </row>
    <row r="67" spans="1:5">
      <c r="A67" s="21">
        <f t="shared" si="0"/>
        <v>66</v>
      </c>
      <c r="B67" s="85" t="str">
        <f ca="1">IFERROR(__xludf.DUMMYFUNCTION("GOOGLETRANSLATE(B526:B541,""RU"",""UK"")"),"Круг  шліф. 92А(бузковий) 80х60х20F46СМ1")</f>
        <v>Круг  шліф. 92А(бузковий) 80х60х20F46СМ1</v>
      </c>
      <c r="C67" s="59" t="s">
        <v>6</v>
      </c>
      <c r="D67" s="59">
        <v>4</v>
      </c>
      <c r="E67" s="91" t="s">
        <v>338</v>
      </c>
    </row>
    <row r="68" spans="1:5">
      <c r="A68" s="21">
        <f t="shared" si="0"/>
        <v>67</v>
      </c>
      <c r="B68" s="85" t="str">
        <f ca="1">IFERROR(__xludf.DUMMYFUNCTION("GOOGLETRANSLATE(B527:B542,""RU"",""UK"")"),"Круг  шліф. 34А 80х60х20F46СМ1")</f>
        <v>Круг  шліф. 34А 80х60х20F46СМ1</v>
      </c>
      <c r="C68" s="59" t="s">
        <v>6</v>
      </c>
      <c r="D68" s="59">
        <v>2</v>
      </c>
      <c r="E68" s="91" t="s">
        <v>338</v>
      </c>
    </row>
    <row r="69" spans="1:5">
      <c r="A69" s="21">
        <f t="shared" si="0"/>
        <v>68</v>
      </c>
      <c r="B69" s="85" t="str">
        <f ca="1">IFERROR(__xludf.DUMMYFUNCTION("GOOGLETRANSLATE(B528:B543,""RU"",""UK"")"),"Круг  шліф. 24А 80х60х20 (внутр.50х30)")</f>
        <v>Круг  шліф. 24А 80х60х20 (внутр.50х30)</v>
      </c>
      <c r="C69" s="59" t="s">
        <v>6</v>
      </c>
      <c r="D69" s="59">
        <v>4</v>
      </c>
      <c r="E69" s="91" t="s">
        <v>338</v>
      </c>
    </row>
    <row r="70" spans="1:5">
      <c r="A70" s="21">
        <f t="shared" si="0"/>
        <v>69</v>
      </c>
      <c r="B70" s="85" t="str">
        <f ca="1">IFERROR(__xludf.DUMMYFUNCTION("GOOGLETRANSLATE(B529:B544,""RU"",""UK"")"),"Круг  шліф. 25А(білий) 100х13х20")</f>
        <v>Круг  шліф. 25А(білий) 100х13х20</v>
      </c>
      <c r="C70" s="59" t="s">
        <v>6</v>
      </c>
      <c r="D70" s="59">
        <v>20</v>
      </c>
      <c r="E70" s="91" t="s">
        <v>319</v>
      </c>
    </row>
    <row r="71" spans="1:5">
      <c r="A71" s="21">
        <f t="shared" si="0"/>
        <v>70</v>
      </c>
      <c r="B71" s="85" t="str">
        <f ca="1">IFERROR(__xludf.DUMMYFUNCTION("GOOGLETRANSLATE(B530:B545,""RU"",""UK"")"),"Круг  шліф. 25А (білий) 100х20х20")</f>
        <v>Круг  шліф. 25А (білий) 100х20х20</v>
      </c>
      <c r="C71" s="59" t="s">
        <v>6</v>
      </c>
      <c r="D71" s="59">
        <v>40</v>
      </c>
      <c r="E71" s="91" t="s">
        <v>119</v>
      </c>
    </row>
    <row r="72" spans="1:5">
      <c r="A72" s="21">
        <f t="shared" si="0"/>
        <v>71</v>
      </c>
      <c r="B72" s="85" t="str">
        <f ca="1">IFERROR(__xludf.DUMMYFUNCTION("GOOGLETRANSLATE(B530:B545,""RU"",""UK"")"),"Круг  шліф. 25А (білий) 100х40х20")</f>
        <v>Круг  шліф. 25А (білий) 100х40х20</v>
      </c>
      <c r="C72" s="59" t="s">
        <v>6</v>
      </c>
      <c r="D72" s="59">
        <v>1</v>
      </c>
      <c r="E72" s="91" t="s">
        <v>119</v>
      </c>
    </row>
    <row r="73" spans="1:5">
      <c r="A73" s="21">
        <f t="shared" ref="A73" si="1">A72+1</f>
        <v>72</v>
      </c>
      <c r="B73" s="85" t="str">
        <f ca="1">IFERROR(__xludf.DUMMYFUNCTION("GOOGLETRANSLATE(B531:B546,""RU"",""UK"")"),"Круг  шліф. 25А(білий) 100х50х20")</f>
        <v>Круг  шліф. 25А(білий) 100х50х20</v>
      </c>
      <c r="C73" s="59" t="s">
        <v>6</v>
      </c>
      <c r="D73" s="59">
        <v>2</v>
      </c>
      <c r="E73" s="91" t="s">
        <v>327</v>
      </c>
    </row>
    <row r="74" spans="1:5">
      <c r="A74" s="21">
        <f t="shared" ref="A74:A143" si="2">A73+1</f>
        <v>73</v>
      </c>
      <c r="B74" s="85" t="str">
        <f ca="1">IFERROR(__xludf.DUMMYFUNCTION("GOOGLETRANSLATE(B532:B547,""RU"",""UK"")"),"Круг  шліф. 25А(білий) 125х6х20")</f>
        <v>Круг  шліф. 25А(білий) 125х6х20</v>
      </c>
      <c r="C74" s="59" t="s">
        <v>6</v>
      </c>
      <c r="D74" s="59">
        <v>12</v>
      </c>
      <c r="E74" s="91" t="s">
        <v>338</v>
      </c>
    </row>
    <row r="75" spans="1:5">
      <c r="A75" s="21">
        <f t="shared" si="2"/>
        <v>74</v>
      </c>
      <c r="B75" s="85" t="str">
        <f ca="1">IFERROR(__xludf.DUMMYFUNCTION("GOOGLETRANSLATE(B533:B548,""RU"",""UK"")"),"Круг  шліф. 14А (вулканіт) 125х3х32")</f>
        <v>Круг  шліф. 14А (вулканіт) 125х3х32</v>
      </c>
      <c r="C75" s="59" t="s">
        <v>6</v>
      </c>
      <c r="D75" s="59">
        <v>1</v>
      </c>
      <c r="E75" s="91" t="s">
        <v>255</v>
      </c>
    </row>
    <row r="76" spans="1:5">
      <c r="A76" s="21">
        <f t="shared" si="2"/>
        <v>75</v>
      </c>
      <c r="B76" s="85" t="str">
        <f ca="1">IFERROR(__xludf.DUMMYFUNCTION("GOOGLETRANSLATE(B534:B549,""RU"",""UK"")"),"Круг  шліф. 14А40П (F46) (сірий) 125х20х32 СМ2")</f>
        <v>Круг  шліф. 14А40П (F46) (сірий) 125х20х32 СМ2</v>
      </c>
      <c r="C76" s="59" t="s">
        <v>6</v>
      </c>
      <c r="D76" s="59">
        <v>10</v>
      </c>
      <c r="E76" s="91" t="s">
        <v>760</v>
      </c>
    </row>
    <row r="77" spans="1:5">
      <c r="A77" s="21">
        <f t="shared" si="2"/>
        <v>76</v>
      </c>
      <c r="B77" s="164" t="str">
        <f ca="1">IFERROR(__xludf.DUMMYFUNCTION("GOOGLETRANSLATE(B535:B550,""RU"",""UK"")"),"Круг  шліф.64С25П (зелене) 125х20х32")</f>
        <v>Круг  шліф.64С25П (зелене) 125х20х32</v>
      </c>
      <c r="C77" s="59" t="s">
        <v>6</v>
      </c>
      <c r="D77" s="59">
        <v>0</v>
      </c>
      <c r="E77" s="91" t="s">
        <v>760</v>
      </c>
    </row>
    <row r="78" spans="1:5">
      <c r="A78" s="21">
        <f t="shared" si="2"/>
        <v>77</v>
      </c>
      <c r="B78" s="85" t="str">
        <f ca="1">IFERROR(__xludf.DUMMYFUNCTION("GOOGLETRANSLATE(B536:B551,""RU"",""UK"")"),"Круг  шліф. 64С25П 125х25х32")</f>
        <v>Круг  шліф. 64С25П 125х25х32</v>
      </c>
      <c r="C78" s="59" t="s">
        <v>6</v>
      </c>
      <c r="D78" s="59">
        <v>1</v>
      </c>
      <c r="E78" s="91" t="s">
        <v>20</v>
      </c>
    </row>
    <row r="79" spans="1:5">
      <c r="A79" s="21">
        <f t="shared" si="2"/>
        <v>78</v>
      </c>
      <c r="B79" s="85" t="str">
        <f ca="1">IFERROR(__xludf.DUMMYFUNCTION("GOOGLETRANSLATE(B537:B552,""RU"",""UK"")"),"Круг  шліф. 25А40П (біле) 125х20х32")</f>
        <v>Круг  шліф. 25А40П (біле) 125х20х32</v>
      </c>
      <c r="C79" s="59" t="s">
        <v>6</v>
      </c>
      <c r="D79" s="59">
        <v>11</v>
      </c>
      <c r="E79" s="91" t="s">
        <v>760</v>
      </c>
    </row>
    <row r="80" spans="1:5">
      <c r="A80" s="21">
        <f t="shared" si="2"/>
        <v>79</v>
      </c>
      <c r="B80" s="85" t="str">
        <f ca="1">IFERROR(__xludf.DUMMYFUNCTION("GOOGLETRANSLATE(B538:B553,""RU"",""UK"")"),"Круг  шліф. 92А40П (біле) 125х16х32 СМ1")</f>
        <v>Круг  шліф. 92А40П (біле) 125х16х32 СМ1</v>
      </c>
      <c r="C80" s="59" t="s">
        <v>6</v>
      </c>
      <c r="D80" s="59">
        <v>2</v>
      </c>
      <c r="E80" s="91">
        <v>240</v>
      </c>
    </row>
    <row r="81" spans="1:5">
      <c r="A81" s="21">
        <f t="shared" si="2"/>
        <v>80</v>
      </c>
      <c r="B81" s="85" t="str">
        <f ca="1">IFERROR(__xludf.DUMMYFUNCTION("GOOGLETRANSLATE(B538:B553,""RU"",""UK"")"),"Круг  шліф. 92А40П (біле) 125х25х32 СМ1")</f>
        <v>Круг  шліф. 92А40П (біле) 125х25х32 СМ1</v>
      </c>
      <c r="C81" s="59" t="s">
        <v>6</v>
      </c>
      <c r="D81" s="59">
        <v>1</v>
      </c>
      <c r="E81" s="91" t="s">
        <v>20</v>
      </c>
    </row>
    <row r="82" spans="1:5">
      <c r="A82" s="21">
        <f t="shared" si="2"/>
        <v>81</v>
      </c>
      <c r="B82" s="85" t="str">
        <f ca="1">IFERROR(__xludf.DUMMYFUNCTION("GOOGLETRANSLATE(B539:B554,""RU"",""UK"")"),"Круг  шліф. 14А(вулканіт) 150х3х32/150х4х32")</f>
        <v>Круг  шліф. 14А(вулканіт) 150х3х32/150х4х32</v>
      </c>
      <c r="C82" s="59" t="s">
        <v>6</v>
      </c>
      <c r="D82" s="159" t="s">
        <v>6324</v>
      </c>
      <c r="E82" s="91" t="s">
        <v>255</v>
      </c>
    </row>
    <row r="83" spans="1:5">
      <c r="A83" s="21">
        <f t="shared" si="2"/>
        <v>82</v>
      </c>
      <c r="B83" s="85" t="str">
        <f ca="1">IFERROR(__xludf.DUMMYFUNCTION("GOOGLETRANSLATE(B539:B554,""RU"",""UK"")"),"Круг  шліф. 14А(вулканіт) 150х6х32")</f>
        <v>Круг  шліф. 14А(вулканіт) 150х6х32</v>
      </c>
      <c r="C83" s="59" t="s">
        <v>6</v>
      </c>
      <c r="D83" s="59">
        <v>5</v>
      </c>
      <c r="E83" s="91">
        <v>120</v>
      </c>
    </row>
    <row r="84" spans="1:5">
      <c r="A84" s="21">
        <f t="shared" si="2"/>
        <v>83</v>
      </c>
      <c r="B84" s="85" t="str">
        <f ca="1">IFERROR(__xludf.DUMMYFUNCTION("GOOGLETRANSLATE(B540:B555,""RU"",""UK"")"),"Круг  шліф. 25А (біле) 150х6х32")</f>
        <v>Круг  шліф. 25А (біле) 150х6х32</v>
      </c>
      <c r="C84" s="59" t="s">
        <v>6</v>
      </c>
      <c r="D84" s="59">
        <v>27</v>
      </c>
      <c r="E84" s="91" t="s">
        <v>319</v>
      </c>
    </row>
    <row r="85" spans="1:5">
      <c r="A85" s="21">
        <f t="shared" si="2"/>
        <v>84</v>
      </c>
      <c r="B85" s="85" t="str">
        <f ca="1">IFERROR(__xludf.DUMMYFUNCTION("GOOGLETRANSLATE(B541:B556,""RU"",""UK"")"),"Круг  шліф. 25А (біле) 150х8х32")</f>
        <v>Круг  шліф. 25А (біле) 150х8х32</v>
      </c>
      <c r="C85" s="59" t="s">
        <v>6</v>
      </c>
      <c r="D85" s="59">
        <v>9</v>
      </c>
      <c r="E85" s="91" t="s">
        <v>119</v>
      </c>
    </row>
    <row r="86" spans="1:5">
      <c r="A86" s="21">
        <f t="shared" si="2"/>
        <v>85</v>
      </c>
      <c r="B86" s="85" t="str">
        <f ca="1">IFERROR(__xludf.DUMMYFUNCTION("GOOGLETRANSLATE(B542:B557,""RU"",""UK"")"),"Круг  шліф. 25А (біле) 150х10х32")</f>
        <v>Круг  шліф. 25А (біле) 150х10х32</v>
      </c>
      <c r="C86" s="59" t="s">
        <v>6</v>
      </c>
      <c r="D86" s="59">
        <v>13</v>
      </c>
      <c r="E86" s="91" t="s">
        <v>327</v>
      </c>
    </row>
    <row r="87" spans="1:5">
      <c r="A87" s="21">
        <f t="shared" si="2"/>
        <v>86</v>
      </c>
      <c r="B87" s="85" t="str">
        <f ca="1">IFERROR(__xludf.DUMMYFUNCTION("GOOGLETRANSLATE(B543:B558,""RU"",""UK"")"),"Круг  шліф. 25А25П С1/СМ1 150х13х32")</f>
        <v>Круг  шліф. 25А25П С1/СМ1 150х13х32</v>
      </c>
      <c r="C87" s="59" t="s">
        <v>6</v>
      </c>
      <c r="D87" s="160">
        <v>16</v>
      </c>
      <c r="E87" s="91" t="s">
        <v>140</v>
      </c>
    </row>
    <row r="88" spans="1:5">
      <c r="A88" s="21">
        <f t="shared" si="2"/>
        <v>87</v>
      </c>
      <c r="B88" s="85" t="str">
        <f ca="1">IFERROR(__xludf.DUMMYFUNCTION("GOOGLETRANSLATE(B544:B559,""RU"",""UK"")"),"Круг  шліф. 25А25Псм1 150х16х32")</f>
        <v>Круг  шліф. 25А25Псм1 150х16х32</v>
      </c>
      <c r="C88" s="59" t="s">
        <v>6</v>
      </c>
      <c r="D88" s="59">
        <v>2</v>
      </c>
      <c r="E88" s="91" t="s">
        <v>20</v>
      </c>
    </row>
    <row r="89" spans="1:5">
      <c r="A89" s="21">
        <f t="shared" si="2"/>
        <v>88</v>
      </c>
      <c r="B89" s="85" t="str">
        <f ca="1">IFERROR(__xludf.DUMMYFUNCTION("GOOGLETRANSLATE(B545:B560,""RU"",""UK"")"),"Круг  шліф. 25А 25П (білий) 150х20х32 СМ2")</f>
        <v>Круг  шліф. 25А 25П (білий) 150х20х32 СМ2</v>
      </c>
      <c r="C89" s="59" t="s">
        <v>6</v>
      </c>
      <c r="D89" s="160">
        <v>5</v>
      </c>
      <c r="E89" s="91" t="s">
        <v>24</v>
      </c>
    </row>
    <row r="90" spans="1:5">
      <c r="A90" s="21">
        <f t="shared" si="2"/>
        <v>89</v>
      </c>
      <c r="B90" s="85" t="str">
        <f ca="1">IFERROR(__xludf.DUMMYFUNCTION("GOOGLETRANSLATE(B545:B560,""RU"",""UK"")"),"Круг  шліф. 25А 40П (білий) 150х20х32 СМ2")</f>
        <v>Круг  шліф. 25А 40П (білий) 150х20х32 СМ2</v>
      </c>
      <c r="C90" s="59" t="s">
        <v>6</v>
      </c>
      <c r="D90" s="160">
        <v>3</v>
      </c>
      <c r="E90" s="91" t="s">
        <v>24</v>
      </c>
    </row>
    <row r="91" spans="1:5">
      <c r="A91" s="21">
        <f t="shared" si="2"/>
        <v>90</v>
      </c>
      <c r="B91" s="85" t="str">
        <f ca="1">IFERROR(__xludf.DUMMYFUNCTION("GOOGLETRANSLATE(B546:B561,""RU"",""UK"")"),"Круг  шліф. 25А 40П (біле) 150х25х32 СМ2")</f>
        <v>Круг  шліф. 25А 40П (біле) 150х25х32 СМ2</v>
      </c>
      <c r="C91" s="59" t="s">
        <v>6</v>
      </c>
      <c r="D91" s="59">
        <v>32</v>
      </c>
      <c r="E91" s="91" t="s">
        <v>162</v>
      </c>
    </row>
    <row r="92" spans="1:5">
      <c r="A92" s="21">
        <f t="shared" si="2"/>
        <v>91</v>
      </c>
      <c r="B92" s="85" t="str">
        <f ca="1">IFERROR(__xludf.DUMMYFUNCTION("GOOGLETRANSLATE(B546:B561,""RU"",""UK"")"),"Круг  шліф. 25А 40П (біле) 150х25х32 СТ2")</f>
        <v>Круг  шліф. 25А 40П (біле) 150х25х32 СТ2</v>
      </c>
      <c r="C92" s="59" t="s">
        <v>6</v>
      </c>
      <c r="D92" s="59">
        <v>13</v>
      </c>
      <c r="E92" s="91" t="s">
        <v>162</v>
      </c>
    </row>
    <row r="93" spans="1:5">
      <c r="A93" s="21">
        <f t="shared" si="2"/>
        <v>92</v>
      </c>
      <c r="B93" s="85" t="str">
        <f ca="1">IFERROR(__xludf.DUMMYFUNCTION("GOOGLETRANSLATE(B547:B562,""RU"",""UK"")"),"Круг  шліф. 24А 25П (білий) 150х32х32")</f>
        <v>Круг  шліф. 24А 25П (білий) 150х32х32</v>
      </c>
      <c r="C93" s="59" t="s">
        <v>6</v>
      </c>
      <c r="D93" s="59">
        <v>8</v>
      </c>
      <c r="E93" s="91" t="s">
        <v>779</v>
      </c>
    </row>
    <row r="94" spans="1:5">
      <c r="A94" s="21">
        <f t="shared" si="2"/>
        <v>93</v>
      </c>
      <c r="B94" s="85" t="str">
        <f ca="1">IFERROR(__xludf.DUMMYFUNCTION("GOOGLETRANSLATE(B547:B562,""RU"",""UK"")"),"Круг  шліф. 24А 40П (білий) 150х32х32")</f>
        <v>Круг  шліф. 24А 40П (білий) 150х32х32</v>
      </c>
      <c r="C94" s="59" t="s">
        <v>6</v>
      </c>
      <c r="D94" s="59">
        <v>27</v>
      </c>
      <c r="E94" s="91" t="s">
        <v>779</v>
      </c>
    </row>
    <row r="95" spans="1:5">
      <c r="A95" s="21">
        <f t="shared" si="2"/>
        <v>94</v>
      </c>
      <c r="B95" s="164" t="str">
        <f ca="1">IFERROR(__xludf.DUMMYFUNCTION("GOOGLETRANSLATE(B548:B563,""RU"",""UK"")"),"Круг  шліф. 64С 40П 150х20х32")</f>
        <v>Круг  шліф. 64С 40П 150х20х32</v>
      </c>
      <c r="C95" s="59" t="s">
        <v>6</v>
      </c>
      <c r="D95" s="59">
        <v>0</v>
      </c>
      <c r="E95" s="91" t="s">
        <v>631</v>
      </c>
    </row>
    <row r="96" spans="1:5">
      <c r="A96" s="21">
        <f t="shared" si="2"/>
        <v>95</v>
      </c>
      <c r="B96" s="85" t="str">
        <f ca="1">IFERROR(__xludf.DUMMYFUNCTION("GOOGLETRANSLATE(B549:B564,""RU"",""UK"")"),"Круг  шліф. 92А 40П СТ1 150х20х32")</f>
        <v>Круг  шліф. 92А 40П СТ1 150х20х32</v>
      </c>
      <c r="C96" s="35" t="s">
        <v>6</v>
      </c>
      <c r="D96" s="35">
        <v>1</v>
      </c>
      <c r="E96" s="96" t="s">
        <v>24</v>
      </c>
    </row>
    <row r="97" spans="1:5">
      <c r="A97" s="21">
        <f t="shared" si="2"/>
        <v>96</v>
      </c>
      <c r="B97" s="85" t="str">
        <f ca="1">IFERROR(__xludf.DUMMYFUNCTION("GOOGLETRANSLATE(B550:B565,""RU"",""UK"")"),"Круг полірувальний вулканитовий ПФ 150х20х32")</f>
        <v>Круг полірувальний вулканитовий ПФ 150х20х32</v>
      </c>
      <c r="C97" s="59" t="s">
        <v>6</v>
      </c>
      <c r="D97" s="59">
        <v>8</v>
      </c>
      <c r="E97" s="91">
        <v>330</v>
      </c>
    </row>
    <row r="98" spans="1:5">
      <c r="A98" s="21">
        <f t="shared" si="2"/>
        <v>97</v>
      </c>
      <c r="B98" s="85" t="str">
        <f ca="1">IFERROR(__xludf.DUMMYFUNCTION("GOOGLETRANSLATE(B550:B565,""RU"",""UK"")"),"Круг полірувальний вулканітовий 14А F90 СТВ 150х20х32")</f>
        <v>Круг полірувальний вулканітовий 14А F90 СТВ 150х20х32</v>
      </c>
      <c r="C98" s="59" t="s">
        <v>6</v>
      </c>
      <c r="D98" s="59">
        <v>27</v>
      </c>
      <c r="E98" s="91">
        <v>330</v>
      </c>
    </row>
    <row r="99" spans="1:5">
      <c r="A99" s="21">
        <f t="shared" si="2"/>
        <v>98</v>
      </c>
      <c r="B99" s="169" t="str">
        <f ca="1">IFERROR(__xludf.DUMMYFUNCTION("GOOGLETRANSLATE(B551:B566,""RU"",""UK"")"),"Круг полірувальний гумов. 14А25п 60F 150х20х32 СМ2")</f>
        <v>Круг полірувальний гумов. 14А25п 60F 150х20х32 СМ2</v>
      </c>
      <c r="C99" s="59" t="s">
        <v>6</v>
      </c>
      <c r="D99" s="59">
        <v>1</v>
      </c>
      <c r="E99" s="91">
        <v>330</v>
      </c>
    </row>
    <row r="100" spans="1:5">
      <c r="A100" s="21">
        <f t="shared" si="2"/>
        <v>99</v>
      </c>
      <c r="B100" s="228" t="str">
        <f ca="1">IFERROR(__xludf.DUMMYFUNCTION("GOOGLETRANSLATE(B552:B567,""RU"",""UK"")"),"Круг  шліф. 14А 40П (46F) 150х10х32 СМ2")</f>
        <v>Круг  шліф. 14А 40П (46F) 150х10х32 СМ2</v>
      </c>
      <c r="C100" s="59" t="s">
        <v>6</v>
      </c>
      <c r="D100" s="59">
        <v>3</v>
      </c>
      <c r="E100" s="91">
        <v>200</v>
      </c>
    </row>
    <row r="101" spans="1:5">
      <c r="A101" s="21">
        <f t="shared" si="2"/>
        <v>100</v>
      </c>
      <c r="B101" s="85" t="str">
        <f ca="1">IFERROR(__xludf.DUMMYFUNCTION("GOOGLETRANSLATE(B552:B567,""RU"",""UK"")"),"Круг  шліф. 14А 40П (46F) 150х25х32 СМ2")</f>
        <v>Круг  шліф. 14А 40П (46F) 150х25х32 СМ2</v>
      </c>
      <c r="C101" s="59" t="s">
        <v>6</v>
      </c>
      <c r="D101" s="59">
        <v>1</v>
      </c>
      <c r="E101" s="91" t="s">
        <v>20</v>
      </c>
    </row>
    <row r="102" spans="1:5">
      <c r="A102" s="21">
        <f t="shared" si="2"/>
        <v>101</v>
      </c>
      <c r="B102" s="85" t="str">
        <f ca="1">IFERROR(__xludf.DUMMYFUNCTION("GOOGLETRANSLATE(B553:B568,""RU"",""UK"")"),"Круг  шліф. 14А обдир. 150х25х32 бакеліт")</f>
        <v>Круг  шліф. 14А обдир. 150х25х32 бакеліт</v>
      </c>
      <c r="C102" s="59" t="s">
        <v>6</v>
      </c>
      <c r="D102" s="59">
        <v>6</v>
      </c>
      <c r="E102" s="91" t="s">
        <v>140</v>
      </c>
    </row>
    <row r="103" spans="1:5">
      <c r="A103" s="21">
        <f t="shared" si="2"/>
        <v>102</v>
      </c>
      <c r="B103" s="85" t="str">
        <f ca="1">IFERROR(__xludf.DUMMYFUNCTION("GOOGLETRANSLATE(B554:B569,""RU"",""UK"")"),"Круг  шліф. 14А 150х32х32")</f>
        <v>Круг  шліф. 14А 150х32х32</v>
      </c>
      <c r="C103" s="59" t="s">
        <v>6</v>
      </c>
      <c r="D103" s="59">
        <v>23</v>
      </c>
      <c r="E103" s="91" t="s">
        <v>24</v>
      </c>
    </row>
    <row r="104" spans="1:5">
      <c r="A104" s="21">
        <f t="shared" si="2"/>
        <v>103</v>
      </c>
      <c r="B104" s="85" t="str">
        <f ca="1">IFERROR(__xludf.DUMMYFUNCTION("GOOGLETRANSLATE(B555:B570,""RU"",""UK"")"),"Круг  шліф. 64С 150х32х32")</f>
        <v>Круг  шліф. 64С 150х32х32</v>
      </c>
      <c r="C104" s="59" t="s">
        <v>6</v>
      </c>
      <c r="D104" s="59">
        <v>2</v>
      </c>
      <c r="E104" s="91" t="s">
        <v>16</v>
      </c>
    </row>
    <row r="105" spans="1:5">
      <c r="A105" s="21">
        <f t="shared" si="2"/>
        <v>104</v>
      </c>
      <c r="B105" s="85" t="str">
        <f ca="1">IFERROR(__xludf.DUMMYFUNCTION("GOOGLETRANSLATE(B556:B571,""RU"",""UK"")"),"Круг  шліф. 14С 40СМ 175х16х32")</f>
        <v>Круг  шліф. 14С 40СМ 175х16х32</v>
      </c>
      <c r="C105" s="59" t="s">
        <v>6</v>
      </c>
      <c r="D105" s="59">
        <v>4</v>
      </c>
      <c r="E105" s="91" t="s">
        <v>140</v>
      </c>
    </row>
    <row r="106" spans="1:5">
      <c r="A106" s="21">
        <f t="shared" si="2"/>
        <v>105</v>
      </c>
      <c r="B106" s="228" t="str">
        <f ca="1">IFERROR(__xludf.DUMMYFUNCTION("GOOGLETRANSLATE(B557:B572,""RU"",""UK"")"),"Круг  шліф. 14А F46 (40)СМ2 (сірий) 175х20х32")</f>
        <v>Круг  шліф. 14А F46 (40)СМ2 (сірий) 175х20х32</v>
      </c>
      <c r="C106" s="59" t="s">
        <v>6</v>
      </c>
      <c r="D106" s="59">
        <v>4</v>
      </c>
      <c r="E106" s="91" t="s">
        <v>24</v>
      </c>
    </row>
    <row r="107" spans="1:5">
      <c r="A107" s="21">
        <f t="shared" si="2"/>
        <v>106</v>
      </c>
      <c r="B107" s="85" t="str">
        <f ca="1">IFERROR(__xludf.DUMMYFUNCTION("GOOGLETRANSLATE(B558:B573,""RU"",""UK"")"),"Круг  шліф. 14А 40 СМ (сірий) 175х25х32")</f>
        <v>Круг  шліф. 14А 40 СМ (сірий) 175х25х32</v>
      </c>
      <c r="C107" s="59" t="s">
        <v>6</v>
      </c>
      <c r="D107" s="59">
        <v>20</v>
      </c>
      <c r="E107" s="91" t="s">
        <v>162</v>
      </c>
    </row>
    <row r="108" spans="1:5">
      <c r="A108" s="21">
        <f t="shared" si="2"/>
        <v>107</v>
      </c>
      <c r="B108" s="85" t="str">
        <f ca="1">IFERROR(__xludf.DUMMYFUNCTION("GOOGLETRANSLATE(B559:B574,""RU"",""UK"")"),"Круг  шліф. 25А 40СМ 175х8х32")</f>
        <v>Круг  шліф. 25А 40СМ 175х8х32</v>
      </c>
      <c r="C108" s="59" t="s">
        <v>6</v>
      </c>
      <c r="D108" s="59">
        <v>1</v>
      </c>
      <c r="E108" s="91" t="s">
        <v>140</v>
      </c>
    </row>
    <row r="109" spans="1:5">
      <c r="A109" s="21">
        <f t="shared" si="2"/>
        <v>108</v>
      </c>
      <c r="B109" s="85" t="str">
        <f ca="1">IFERROR(__xludf.DUMMYFUNCTION("GOOGLETRANSLATE(B560:B575,""RU"",""UK"")"),"Круг  шліф. 25А 40СМ /23ПСМ1 175х14х32")</f>
        <v>Круг  шліф. 25А 40СМ /23ПСМ1 175х14х32</v>
      </c>
      <c r="C109" s="59" t="s">
        <v>6</v>
      </c>
      <c r="D109" s="59" t="s">
        <v>793</v>
      </c>
      <c r="E109" s="91" t="s">
        <v>20</v>
      </c>
    </row>
    <row r="110" spans="1:5">
      <c r="A110" s="21">
        <f t="shared" si="2"/>
        <v>109</v>
      </c>
      <c r="B110" s="85" t="str">
        <f ca="1">IFERROR(__xludf.DUMMYFUNCTION("GOOGLETRANSLATE(B561:B576,""RU"",""UK"")"),"Круг  шліф. 25А 40СМ2 175х16х32")</f>
        <v>Круг  шліф. 25А 40СМ2 175х16х32</v>
      </c>
      <c r="C110" s="59" t="s">
        <v>6</v>
      </c>
      <c r="D110" s="59">
        <v>2</v>
      </c>
      <c r="E110" s="91">
        <v>300</v>
      </c>
    </row>
    <row r="111" spans="1:5">
      <c r="A111" s="21">
        <f t="shared" si="2"/>
        <v>110</v>
      </c>
      <c r="B111" s="85" t="str">
        <f ca="1">IFERROR(__xludf.DUMMYFUNCTION("GOOGLETRANSLATE(B561:B576,""RU"",""UK"")"),"Круг  шліф. 25А 40СМ2 175х20х32")</f>
        <v>Круг  шліф. 25А 40СМ2 175х20х32</v>
      </c>
      <c r="C111" s="59" t="s">
        <v>6</v>
      </c>
      <c r="D111" s="59">
        <v>24</v>
      </c>
      <c r="E111" s="91">
        <v>345</v>
      </c>
    </row>
    <row r="112" spans="1:5">
      <c r="A112" s="21">
        <f t="shared" si="2"/>
        <v>111</v>
      </c>
      <c r="B112" s="85" t="str">
        <f ca="1">IFERROR(__xludf.DUMMYFUNCTION("GOOGLETRANSLATE(B562:B577,""RU"",""UK"")"),"Круг  шліф. 92А 25П 175х32х32")</f>
        <v>Круг  шліф. 92А 25П 175х32х32</v>
      </c>
      <c r="C112" s="35" t="s">
        <v>6</v>
      </c>
      <c r="D112" s="35">
        <v>25</v>
      </c>
      <c r="E112" s="96" t="s">
        <v>106</v>
      </c>
    </row>
    <row r="113" spans="1:5">
      <c r="A113" s="21">
        <f t="shared" si="2"/>
        <v>112</v>
      </c>
      <c r="B113" s="85" t="str">
        <f ca="1">IFERROR(__xludf.DUMMYFUNCTION("GOOGLETRANSLATE(B563:B578,""RU"",""UK"")"),"Круг  шліф. 54С 40СМ 175х20х32")</f>
        <v>Круг  шліф. 54С 40СМ 175х20х32</v>
      </c>
      <c r="C113" s="59" t="s">
        <v>6</v>
      </c>
      <c r="D113" s="59">
        <v>1</v>
      </c>
      <c r="E113" s="91" t="s">
        <v>162</v>
      </c>
    </row>
    <row r="114" spans="1:5">
      <c r="A114" s="21">
        <f t="shared" si="2"/>
        <v>113</v>
      </c>
      <c r="B114" s="85" t="str">
        <f ca="1">IFERROR(__xludf.DUMMYFUNCTION("GOOGLETRANSLATE(B564:B579,""RU"",""UK"")"),"Круг  шліф. 63С 40СМ 175х10х32")</f>
        <v>Круг  шліф. 63С 40СМ 175х10х32</v>
      </c>
      <c r="C114" s="59" t="s">
        <v>6</v>
      </c>
      <c r="D114" s="59">
        <v>3</v>
      </c>
      <c r="E114" s="91" t="s">
        <v>327</v>
      </c>
    </row>
    <row r="115" spans="1:5">
      <c r="A115" s="21">
        <f t="shared" si="2"/>
        <v>114</v>
      </c>
      <c r="B115" s="85" t="str">
        <f ca="1">IFERROR(__xludf.DUMMYFUNCTION("GOOGLETRANSLATE(B565:B580,""RU"",""UK"")"),"Круг  шліф. 63С 40 СМ 175х14х32")</f>
        <v>Круг  шліф. 63С 40 СМ 175х14х32</v>
      </c>
      <c r="C115" s="59" t="s">
        <v>6</v>
      </c>
      <c r="D115" s="59">
        <v>1</v>
      </c>
      <c r="E115" s="91" t="s">
        <v>140</v>
      </c>
    </row>
    <row r="116" spans="1:5">
      <c r="A116" s="21">
        <f t="shared" si="2"/>
        <v>115</v>
      </c>
      <c r="B116" s="85" t="str">
        <f ca="1">IFERROR(__xludf.DUMMYFUNCTION("GOOGLETRANSLATE(B566:B581,""RU"",""UK"")"),"Круг  шліф. 64С 40СМ (зелене) 175х20х32")</f>
        <v>Круг  шліф. 64С 40СМ (зелене) 175х20х32</v>
      </c>
      <c r="C116" s="59" t="s">
        <v>6</v>
      </c>
      <c r="D116" s="59">
        <v>0</v>
      </c>
      <c r="E116" s="91" t="s">
        <v>106</v>
      </c>
    </row>
    <row r="117" spans="1:5">
      <c r="A117" s="21">
        <f t="shared" si="2"/>
        <v>116</v>
      </c>
      <c r="B117" s="85" t="str">
        <f ca="1">IFERROR(__xludf.DUMMYFUNCTION("GOOGLETRANSLATE(B567:B582,""RU"",""UK"")"),"Круг  шліф. 14А 25СМ (сірий) 200х10х32")</f>
        <v>Круг  шліф. 14А 25СМ (сірий) 200х10х32</v>
      </c>
      <c r="C117" s="59" t="s">
        <v>6</v>
      </c>
      <c r="D117" s="59">
        <v>1</v>
      </c>
      <c r="E117" s="91" t="s">
        <v>119</v>
      </c>
    </row>
    <row r="118" spans="1:5">
      <c r="A118" s="21">
        <f t="shared" si="2"/>
        <v>117</v>
      </c>
      <c r="B118" s="85" t="str">
        <f ca="1">IFERROR(__xludf.DUMMYFUNCTION("GOOGLETRANSLATE(B567:B582,""RU"",""UK"")"),"Круг  шліф. 14А 40П (сірий) 200х16х32")</f>
        <v>Круг  шліф. 14А 40П (сірий) 200х16х32</v>
      </c>
      <c r="C118" s="59" t="s">
        <v>6</v>
      </c>
      <c r="D118" s="59">
        <v>2</v>
      </c>
      <c r="E118" s="91">
        <v>270</v>
      </c>
    </row>
    <row r="119" spans="1:5">
      <c r="A119" s="21">
        <f t="shared" si="2"/>
        <v>118</v>
      </c>
      <c r="B119" s="85" t="str">
        <f ca="1">IFERROR(__xludf.DUMMYFUNCTION("GOOGLETRANSLATE(B568:B583,""RU"",""UK"")"),"Круг  шліф. 25А40П 200х10х32")</f>
        <v>Круг  шліф. 25А40П 200х10х32</v>
      </c>
      <c r="C119" s="59" t="s">
        <v>6</v>
      </c>
      <c r="D119" s="59">
        <v>55</v>
      </c>
      <c r="E119" s="91" t="s">
        <v>140</v>
      </c>
    </row>
    <row r="120" spans="1:5">
      <c r="A120" s="21">
        <f t="shared" si="2"/>
        <v>119</v>
      </c>
      <c r="B120" s="85" t="str">
        <f ca="1">IFERROR(__xludf.DUMMYFUNCTION("GOOGLETRANSLATE(B569:B584,""RU"",""UK"")"),"Круг  шліф. 14АБ 50Н СТ (бакеліт) 200х10х32")</f>
        <v>Круг  шліф. 14АБ 50Н СТ (бакеліт) 200х10х32</v>
      </c>
      <c r="C120" s="59" t="s">
        <v>6</v>
      </c>
      <c r="D120" s="59">
        <v>4</v>
      </c>
      <c r="E120" s="91" t="s">
        <v>119</v>
      </c>
    </row>
    <row r="121" spans="1:5">
      <c r="A121" s="21">
        <f t="shared" si="2"/>
        <v>120</v>
      </c>
      <c r="B121" s="85" t="str">
        <f ca="1">IFERROR(__xludf.DUMMYFUNCTION("GOOGLETRANSLATE(B570:B585,""RU"",""UK"")"),"Круг  шліф. 14АБ 80Н СТ3 (бакеліт) 200х25х32")</f>
        <v>Круг  шліф. 14АБ 80Н СТ3 (бакеліт) 200х25х32</v>
      </c>
      <c r="C121" s="59" t="s">
        <v>6</v>
      </c>
      <c r="D121" s="59">
        <v>1</v>
      </c>
      <c r="E121" s="91" t="s">
        <v>24</v>
      </c>
    </row>
    <row r="122" spans="1:5">
      <c r="A122" s="21">
        <f t="shared" si="2"/>
        <v>121</v>
      </c>
      <c r="B122" s="164" t="str">
        <f ca="1">IFERROR(__xludf.DUMMYFUNCTION("GOOGLETRANSLATE(B571:B586,""RU"",""UK"")"),"Круг  шліф. 64С 25П К 200х20х32")</f>
        <v>Круг  шліф. 64С 25П К 200х20х32</v>
      </c>
      <c r="C122" s="59" t="s">
        <v>6</v>
      </c>
      <c r="D122" s="59">
        <v>0</v>
      </c>
      <c r="E122" s="91" t="s">
        <v>16</v>
      </c>
    </row>
    <row r="123" spans="1:5">
      <c r="A123" s="21">
        <f t="shared" si="2"/>
        <v>122</v>
      </c>
      <c r="B123" s="164" t="str">
        <f ca="1">IFERROR(__xludf.DUMMYFUNCTION("GOOGLETRANSLATE(B571:B586,""RU"",""UK"")"),"Круг  шліф. 64С 40П 200х32х32 СМ2")</f>
        <v>Круг  шліф. 64С 40П 200х32х32 СМ2</v>
      </c>
      <c r="C123" s="59" t="s">
        <v>6</v>
      </c>
      <c r="D123" s="59">
        <v>0</v>
      </c>
      <c r="E123" s="91">
        <v>450</v>
      </c>
    </row>
    <row r="124" spans="1:5">
      <c r="A124" s="21">
        <f t="shared" si="2"/>
        <v>123</v>
      </c>
      <c r="B124" s="85" t="str">
        <f ca="1">IFERROR(__xludf.DUMMYFUNCTION("GOOGLETRANSLATE(B572:B587,""RU"",""UK"")"),"Круг  шліф. 54С 200х25х32")</f>
        <v>Круг  шліф. 54С 200х25х32</v>
      </c>
      <c r="C124" s="59" t="s">
        <v>6</v>
      </c>
      <c r="D124" s="59">
        <v>1</v>
      </c>
      <c r="E124" s="91" t="s">
        <v>22</v>
      </c>
    </row>
    <row r="125" spans="1:5">
      <c r="A125" s="21">
        <f t="shared" si="2"/>
        <v>124</v>
      </c>
      <c r="B125" s="85" t="str">
        <f ca="1">IFERROR(__xludf.DUMMYFUNCTION("GOOGLETRANSLATE(B573:B588,""RU"",""UK"")"),"Круг  шліф. 92А 40П 200х20х32 СМ2")</f>
        <v>Круг  шліф. 92А 40П 200х20х32 СМ2</v>
      </c>
      <c r="C125" s="35" t="s">
        <v>6</v>
      </c>
      <c r="D125" s="35">
        <v>61</v>
      </c>
      <c r="E125" s="96" t="s">
        <v>162</v>
      </c>
    </row>
    <row r="126" spans="1:5">
      <c r="A126" s="21">
        <f t="shared" si="2"/>
        <v>125</v>
      </c>
      <c r="B126" s="85" t="str">
        <f ca="1">IFERROR(__xludf.DUMMYFUNCTION("GOOGLETRANSLATE(B574:B589,""RU"",""UK"")"),"Круг  шліф. 92А 40П 200х20х32 С1")</f>
        <v>Круг  шліф. 92А 40П 200х20х32 С1</v>
      </c>
      <c r="C126" s="35" t="s">
        <v>6</v>
      </c>
      <c r="D126" s="35">
        <v>54</v>
      </c>
      <c r="E126" s="96" t="s">
        <v>162</v>
      </c>
    </row>
    <row r="127" spans="1:5">
      <c r="A127" s="21">
        <f t="shared" si="2"/>
        <v>126</v>
      </c>
      <c r="B127" s="85" t="str">
        <f ca="1">IFERROR(__xludf.DUMMYFUNCTION("GOOGLETRANSLATE(B575:B590,""RU"",""UK"")"),"Круг  шліф. 92А 40П 200х20х32 СТ")</f>
        <v>Круг  шліф. 92А 40П 200х20х32 СТ</v>
      </c>
      <c r="C127" s="35" t="s">
        <v>6</v>
      </c>
      <c r="D127" s="35">
        <v>136</v>
      </c>
      <c r="E127" s="96" t="s">
        <v>162</v>
      </c>
    </row>
    <row r="128" spans="1:5">
      <c r="A128" s="21">
        <f t="shared" si="2"/>
        <v>127</v>
      </c>
      <c r="B128" s="85" t="str">
        <f ca="1">IFERROR(__xludf.DUMMYFUNCTION("GOOGLETRANSLATE(B576:B591,""RU"",""UK"")"),"Круг  шліф. 14А F46 (40П) 200х20х32 CM1")</f>
        <v>Круг  шліф. 14А F46 (40П) 200х20х32 CM1</v>
      </c>
      <c r="C128" s="59" t="s">
        <v>6</v>
      </c>
      <c r="D128" s="59">
        <v>3</v>
      </c>
      <c r="E128" s="91" t="s">
        <v>162</v>
      </c>
    </row>
    <row r="129" spans="1:5">
      <c r="A129" s="21">
        <f t="shared" si="2"/>
        <v>128</v>
      </c>
      <c r="B129" s="85" t="str">
        <f ca="1">IFERROR(__xludf.DUMMYFUNCTION("GOOGLETRANSLATE(B550:B565,""RU"",""UK"")"),"Круг полірувальний вулканітовий 14А 20НВГСМ 200х20х32")</f>
        <v>Круг полірувальний вулканітовий 14А 20НВГСМ 200х20х32</v>
      </c>
      <c r="C129" s="59" t="s">
        <v>6</v>
      </c>
      <c r="D129" s="59">
        <v>2</v>
      </c>
      <c r="E129" s="91">
        <v>390</v>
      </c>
    </row>
    <row r="130" spans="1:5">
      <c r="A130" s="21">
        <f t="shared" si="2"/>
        <v>129</v>
      </c>
      <c r="B130" s="85" t="str">
        <f ca="1">IFERROR(__xludf.DUMMYFUNCTION("GOOGLETRANSLATE(B577:B592,""RU"",""UK"")"),"Круг  шліф. 14А F46 (40П) 200х25х32 CM")</f>
        <v>Круг  шліф. 14А F46 (40П) 200х25х32 CM</v>
      </c>
      <c r="C130" s="59" t="s">
        <v>6</v>
      </c>
      <c r="D130" s="59">
        <v>107</v>
      </c>
      <c r="E130" s="91" t="s">
        <v>106</v>
      </c>
    </row>
    <row r="131" spans="1:5">
      <c r="A131" s="21">
        <f t="shared" si="2"/>
        <v>130</v>
      </c>
      <c r="B131" s="85" t="str">
        <f ca="1">IFERROR(__xludf.DUMMYFUNCTION("GOOGLETRANSLATE(B577:B592,""RU"",""UK"")"),"Круг  шліф. 14А F46 (25П) 200х32х32 CM")</f>
        <v>Круг  шліф. 14А F46 (25П) 200х32х32 CM</v>
      </c>
      <c r="C131" s="59" t="s">
        <v>6</v>
      </c>
      <c r="D131" s="59">
        <v>3</v>
      </c>
      <c r="E131" s="91">
        <v>500</v>
      </c>
    </row>
    <row r="132" spans="1:5">
      <c r="A132" s="21">
        <f t="shared" si="2"/>
        <v>131</v>
      </c>
      <c r="B132" s="85" t="str">
        <f ca="1">IFERROR(__xludf.DUMMYFUNCTION("GOOGLETRANSLATE(B578:B593,""RU"",""UK"")"),"Круг  шліф. 92-94А 200х25х32 бакеліт")</f>
        <v>Круг  шліф. 92-94А 200х25х32 бакеліт</v>
      </c>
      <c r="C132" s="59" t="s">
        <v>6</v>
      </c>
      <c r="D132" s="59">
        <v>20</v>
      </c>
      <c r="E132" s="91">
        <v>330</v>
      </c>
    </row>
    <row r="133" spans="1:5">
      <c r="A133" s="21">
        <f t="shared" si="2"/>
        <v>132</v>
      </c>
      <c r="B133" s="85" t="str">
        <f ca="1">IFERROR(__xludf.DUMMYFUNCTION("GOOGLETRANSLATE(B579:B594,""RU"",""UK"")"),"Круг  шліф. 92А 25П 200х25х76")</f>
        <v>Круг  шліф. 92А 25П 200х25х76</v>
      </c>
      <c r="C133" s="35" t="s">
        <v>6</v>
      </c>
      <c r="D133" s="35">
        <v>2</v>
      </c>
      <c r="E133" s="96" t="s">
        <v>162</v>
      </c>
    </row>
    <row r="134" spans="1:5">
      <c r="A134" s="21">
        <f t="shared" si="2"/>
        <v>133</v>
      </c>
      <c r="B134" s="85" t="str">
        <f ca="1">IFERROR(__xludf.DUMMYFUNCTION("GOOGLETRANSLATE(B580:B595,""RU"",""UK"")"),"Круг  шліф. 25А 25СМ 200х25х76")</f>
        <v>Круг  шліф. 25А 25СМ 200х25х76</v>
      </c>
      <c r="C134" s="59" t="s">
        <v>6</v>
      </c>
      <c r="D134" s="59">
        <v>1</v>
      </c>
      <c r="E134" s="91" t="s">
        <v>162</v>
      </c>
    </row>
    <row r="135" spans="1:5">
      <c r="A135" s="21">
        <f t="shared" si="2"/>
        <v>134</v>
      </c>
      <c r="B135" s="85" t="str">
        <f ca="1">IFERROR(__xludf.DUMMYFUNCTION("GOOGLETRANSLATE(B581:B596,""RU"",""UK"")"),"Круг  шліф. 64С 200х20х76 вулканіт.")</f>
        <v>Круг  шліф. 64С 200х20х76 вулканіт.</v>
      </c>
      <c r="C135" s="59" t="s">
        <v>6</v>
      </c>
      <c r="D135" s="59">
        <v>6</v>
      </c>
      <c r="E135" s="91" t="s">
        <v>140</v>
      </c>
    </row>
    <row r="136" spans="1:5">
      <c r="A136" s="21">
        <f t="shared" si="2"/>
        <v>135</v>
      </c>
      <c r="B136" s="85" t="str">
        <f ca="1">IFERROR(__xludf.DUMMYFUNCTION("GOOGLETRANSLATE(B582:B597,""RU"",""UK"")"),"Круг  шліф. 64С 200х32х76")</f>
        <v>Круг  шліф. 64С 200х32х76</v>
      </c>
      <c r="C136" s="59" t="s">
        <v>6</v>
      </c>
      <c r="D136" s="59">
        <v>8</v>
      </c>
      <c r="E136" s="91" t="s">
        <v>106</v>
      </c>
    </row>
    <row r="137" spans="1:5">
      <c r="A137" s="21">
        <f t="shared" si="2"/>
        <v>136</v>
      </c>
      <c r="B137" s="85" t="str">
        <f ca="1">IFERROR(__xludf.DUMMYFUNCTION("GOOGLETRANSLATE(B583:B598,""RU"",""UK"")"),"Круг  шліф. 25А / 92А25П 200х32х76")</f>
        <v>Круг  шліф. 25А / 92А25П 200х32х76</v>
      </c>
      <c r="C137" s="59" t="s">
        <v>6</v>
      </c>
      <c r="D137" s="59" t="s">
        <v>6184</v>
      </c>
      <c r="E137" s="91" t="s">
        <v>106</v>
      </c>
    </row>
    <row r="138" spans="1:5">
      <c r="A138" s="21">
        <f t="shared" si="2"/>
        <v>137</v>
      </c>
      <c r="B138" s="85" t="str">
        <f ca="1">IFERROR(__xludf.DUMMYFUNCTION("GOOGLETRANSLATE(B584:B599,""RU"",""UK"")"),"Круг  шліф. 25А 16П/25П/40П 200х40х76")</f>
        <v>Круг  шліф. 25А 16П/25П/40П 200х40х76</v>
      </c>
      <c r="C138" s="59" t="s">
        <v>6</v>
      </c>
      <c r="D138" s="59" t="s">
        <v>820</v>
      </c>
      <c r="E138" s="91" t="s">
        <v>22</v>
      </c>
    </row>
    <row r="139" spans="1:5">
      <c r="A139" s="21">
        <f t="shared" si="2"/>
        <v>138</v>
      </c>
      <c r="B139" s="85" t="str">
        <f ca="1">IFERROR(__xludf.DUMMYFUNCTION("GOOGLETRANSLATE(B585:B600,""RU"",""UK"")"),"Круг  шліф. 14А 200х40х76")</f>
        <v>Круг  шліф. 14А 200х40х76</v>
      </c>
      <c r="C139" s="59" t="s">
        <v>6</v>
      </c>
      <c r="D139" s="59">
        <v>2</v>
      </c>
      <c r="E139" s="91" t="s">
        <v>20</v>
      </c>
    </row>
    <row r="140" spans="1:5">
      <c r="A140" s="21">
        <f t="shared" si="2"/>
        <v>139</v>
      </c>
      <c r="B140" s="85" t="str">
        <f ca="1">IFERROR(__xludf.DUMMYFUNCTION("GOOGLETRANSLATE(B586:B601,""RU"",""UK"")"),"Круг  шліф. 14А40п / 14А25п (сірий) 250х13х76")</f>
        <v>Круг  шліф. 14А40п / 14А25п (сірий) 250х13х76</v>
      </c>
      <c r="C140" s="59" t="s">
        <v>6</v>
      </c>
      <c r="D140" s="59" t="s">
        <v>710</v>
      </c>
      <c r="E140" s="91" t="s">
        <v>20</v>
      </c>
    </row>
    <row r="141" spans="1:5">
      <c r="A141" s="21">
        <f t="shared" si="2"/>
        <v>140</v>
      </c>
      <c r="B141" s="85" t="str">
        <f ca="1">IFERROR(__xludf.DUMMYFUNCTION("GOOGLETRANSLATE(B587:B602,""RU"",""UK"")"),"Круг  шліф. 14А25п (сірий) 250х13х32")</f>
        <v>Круг  шліф. 14А25п (сірий) 250х13х32</v>
      </c>
      <c r="C141" s="59" t="s">
        <v>6</v>
      </c>
      <c r="D141" s="59">
        <v>2</v>
      </c>
      <c r="E141" s="91" t="s">
        <v>20</v>
      </c>
    </row>
    <row r="142" spans="1:5">
      <c r="A142" s="21">
        <f t="shared" si="2"/>
        <v>141</v>
      </c>
      <c r="B142" s="85" t="str">
        <f ca="1">IFERROR(__xludf.DUMMYFUNCTION("GOOGLETRANSLATE(B588:B603,""RU"",""UK"")"),"Круг  шліф. 14А25п СМ (сірий) 250х20х32")</f>
        <v>Круг  шліф. 14А25п СМ (сірий) 250х20х32</v>
      </c>
      <c r="C142" s="59" t="s">
        <v>6</v>
      </c>
      <c r="D142" s="59">
        <v>7</v>
      </c>
      <c r="E142" s="91" t="s">
        <v>53</v>
      </c>
    </row>
    <row r="143" spans="1:5">
      <c r="A143" s="21">
        <f t="shared" si="2"/>
        <v>142</v>
      </c>
      <c r="B143" s="85" t="str">
        <f ca="1">IFERROR(__xludf.DUMMYFUNCTION("GOOGLETRANSLATE(B588:B603,""RU"",""UK"")"),"Круг  шліф. 14А40п СМ (сірий) 250х20х32")</f>
        <v>Круг  шліф. 14А40п СМ (сірий) 250х20х32</v>
      </c>
      <c r="C143" s="59" t="s">
        <v>6</v>
      </c>
      <c r="D143" s="59">
        <v>4</v>
      </c>
      <c r="E143" s="91" t="s">
        <v>53</v>
      </c>
    </row>
    <row r="144" spans="1:5">
      <c r="A144" s="21">
        <f t="shared" ref="A144" si="3">A143+1</f>
        <v>143</v>
      </c>
      <c r="B144" s="85" t="str">
        <f ca="1">IFERROR(__xludf.DUMMYFUNCTION("GOOGLETRANSLATE(B588:B603,""RU"",""UK"")"),"Круг  шліф. 14А25п СМ2 (сірий) 250х25х32")</f>
        <v>Круг  шліф. 14А25п СМ2 (сірий) 250х25х32</v>
      </c>
      <c r="C144" s="59" t="s">
        <v>6</v>
      </c>
      <c r="D144" s="59">
        <v>3</v>
      </c>
      <c r="E144" s="91">
        <v>570</v>
      </c>
    </row>
    <row r="145" spans="1:5">
      <c r="A145" s="21">
        <f t="shared" ref="A145:A210" si="4">A144+1</f>
        <v>144</v>
      </c>
      <c r="B145" s="85" t="str">
        <f ca="1">IFERROR(__xludf.DUMMYFUNCTION("GOOGLETRANSLATE(B589:B604,""RU"",""UK"")"),"Круг  шліф. 14А F22 СТ2 бакеліт 250х25х32")</f>
        <v>Круг  шліф. 14А F22 СТ2 бакеліт 250х25х32</v>
      </c>
      <c r="C145" s="59" t="s">
        <v>6</v>
      </c>
      <c r="D145" s="59">
        <v>2</v>
      </c>
      <c r="E145" s="91" t="s">
        <v>53</v>
      </c>
    </row>
    <row r="146" spans="1:5">
      <c r="A146" s="21">
        <f t="shared" si="4"/>
        <v>145</v>
      </c>
      <c r="B146" s="85" t="str">
        <f ca="1">IFERROR(__xludf.DUMMYFUNCTION("GOOGLETRANSLATE(B590:B605,""RU"",""UK"")"),"Круг  шліф. 63С 25п СМ2 (зелений) 250х20х76")</f>
        <v>Круг  шліф. 63С 25п СМ2 (зелений) 250х20х76</v>
      </c>
      <c r="C146" s="59" t="s">
        <v>6</v>
      </c>
      <c r="D146" s="59">
        <v>1</v>
      </c>
      <c r="E146" s="91" t="s">
        <v>27</v>
      </c>
    </row>
    <row r="147" spans="1:5">
      <c r="A147" s="21">
        <f t="shared" si="4"/>
        <v>146</v>
      </c>
      <c r="B147" s="85" t="str">
        <f ca="1">IFERROR(__xludf.DUMMYFUNCTION("GOOGLETRANSLATE(B591:B606,""RU"",""UK"")"),"Круг  шліф. 64С 40п (зелене) 250х25х76")</f>
        <v>Круг  шліф. 64С 40п (зелене) 250х25х76</v>
      </c>
      <c r="C147" s="59" t="s">
        <v>6</v>
      </c>
      <c r="D147" s="59">
        <v>23</v>
      </c>
      <c r="E147" s="91" t="s">
        <v>63</v>
      </c>
    </row>
    <row r="148" spans="1:5">
      <c r="A148" s="21">
        <f t="shared" si="4"/>
        <v>147</v>
      </c>
      <c r="B148" s="85" t="str">
        <f ca="1">IFERROR(__xludf.DUMMYFUNCTION("GOOGLETRANSLATE(B592:B607,""RU"",""UK"")"),"Круг  шліф. 54С 40П(зелений) 250х25х76")</f>
        <v>Круг  шліф. 54С 40П(зелений) 250х25х76</v>
      </c>
      <c r="C148" s="59" t="s">
        <v>6</v>
      </c>
      <c r="D148" s="59">
        <v>6</v>
      </c>
      <c r="E148" s="91" t="s">
        <v>63</v>
      </c>
    </row>
    <row r="149" spans="1:5">
      <c r="A149" s="21">
        <f t="shared" si="4"/>
        <v>148</v>
      </c>
      <c r="B149" s="85" t="str">
        <f ca="1">IFERROR(__xludf.DUMMYFUNCTION("GOOGLETRANSLATE(B593:B608,""RU"",""UK"")"),"Круг  шліф.  54С40П 250х32х76")</f>
        <v>Круг  шліф.  54С40П 250х32х76</v>
      </c>
      <c r="C149" s="59" t="s">
        <v>6</v>
      </c>
      <c r="D149" s="160">
        <v>6</v>
      </c>
      <c r="E149" s="91" t="s">
        <v>102</v>
      </c>
    </row>
    <row r="150" spans="1:5">
      <c r="A150" s="21">
        <f t="shared" si="4"/>
        <v>149</v>
      </c>
      <c r="B150" s="85" t="str">
        <f ca="1">IFERROR(__xludf.DUMMYFUNCTION("GOOGLETRANSLATE(B593:B608,""RU"",""UK"")"),"Круг  шліф. 64С 40П(зелений) 250х32х76")</f>
        <v>Круг  шліф. 64С 40П(зелений) 250х32х76</v>
      </c>
      <c r="C150" s="59" t="s">
        <v>6</v>
      </c>
      <c r="D150" s="160">
        <v>29</v>
      </c>
      <c r="E150" s="91" t="s">
        <v>102</v>
      </c>
    </row>
    <row r="151" spans="1:5">
      <c r="A151" s="21">
        <f t="shared" si="4"/>
        <v>150</v>
      </c>
      <c r="B151" s="85" t="str">
        <f ca="1">IFERROR(__xludf.DUMMYFUNCTION("GOOGLETRANSLATE(B594:B609,""RU"",""UK"")"),"Круг  шліф. 92А25П см1 250х13х32")</f>
        <v>Круг  шліф. 92А25П см1 250х13х32</v>
      </c>
      <c r="C151" s="35" t="s">
        <v>6</v>
      </c>
      <c r="D151" s="35">
        <v>11</v>
      </c>
      <c r="E151" s="96" t="s">
        <v>162</v>
      </c>
    </row>
    <row r="152" spans="1:5">
      <c r="A152" s="21">
        <f t="shared" si="4"/>
        <v>151</v>
      </c>
      <c r="B152" s="85" t="str">
        <f ca="1">IFERROR(__xludf.DUMMYFUNCTION("GOOGLETRANSLATE(B595:B610,""RU"",""UK"")"),"Круг  шліф. 92А25П см1 250х16х76")</f>
        <v>Круг  шліф. 92А25П см1 250х16х76</v>
      </c>
      <c r="C152" s="35" t="s">
        <v>6</v>
      </c>
      <c r="D152" s="35">
        <v>6</v>
      </c>
      <c r="E152" s="96" t="s">
        <v>22</v>
      </c>
    </row>
    <row r="153" spans="1:5">
      <c r="A153" s="21">
        <f t="shared" si="4"/>
        <v>152</v>
      </c>
      <c r="B153" s="85" t="str">
        <f ca="1">IFERROR(__xludf.DUMMYFUNCTION("GOOGLETRANSLATE(B596:B611,""RU"",""UK"")"),"Круг  шліф. 92А40П см1 250х16х76")</f>
        <v>Круг  шліф. 92А40П см1 250х16х76</v>
      </c>
      <c r="C153" s="35" t="s">
        <v>6</v>
      </c>
      <c r="D153" s="35">
        <v>3</v>
      </c>
      <c r="E153" s="96" t="s">
        <v>22</v>
      </c>
    </row>
    <row r="154" spans="1:5">
      <c r="A154" s="21">
        <f t="shared" si="4"/>
        <v>153</v>
      </c>
      <c r="B154" s="85" t="str">
        <f ca="1">IFERROR(__xludf.DUMMYFUNCTION("GOOGLETRANSLATE(B601:B616,""RU"",""UK"")"),"Круг  шліф. 91А 40П СМ1 250х32х76")</f>
        <v>Круг  шліф. 91А 40П СМ1 250х32х76</v>
      </c>
      <c r="C154" s="35" t="s">
        <v>6</v>
      </c>
      <c r="D154" s="35">
        <v>1</v>
      </c>
      <c r="E154" s="96" t="s">
        <v>840</v>
      </c>
    </row>
    <row r="155" spans="1:5">
      <c r="A155" s="21">
        <f t="shared" si="4"/>
        <v>154</v>
      </c>
      <c r="B155" s="85" t="str">
        <f ca="1">IFERROR(__xludf.DUMMYFUNCTION("GOOGLETRANSLATE(B602:B617,""RU"",""UK"")"),"Круг  шліф. 39А 250х25х76")</f>
        <v>Круг  шліф. 39А 250х25х76</v>
      </c>
      <c r="C155" s="59" t="s">
        <v>6</v>
      </c>
      <c r="D155" s="59">
        <v>2</v>
      </c>
      <c r="E155" s="91" t="s">
        <v>842</v>
      </c>
    </row>
    <row r="156" spans="1:5">
      <c r="A156" s="21">
        <f t="shared" si="4"/>
        <v>155</v>
      </c>
      <c r="B156" s="85" t="str">
        <f ca="1">IFERROR(__xludf.DUMMYFUNCTION("GOOGLETRANSLATE(B603:B618,""RU"",""UK"")"),"Круг  шліф. 14А 40П СТ 250х20х76/14А40П СТ2")</f>
        <v>Круг  шліф. 14А 40П СТ 250х20х76/14А40П СТ2</v>
      </c>
      <c r="C156" s="37" t="s">
        <v>6</v>
      </c>
      <c r="D156" s="206" t="s">
        <v>6120</v>
      </c>
      <c r="E156" s="92" t="s">
        <v>413</v>
      </c>
    </row>
    <row r="157" spans="1:5">
      <c r="A157" s="21">
        <f t="shared" si="4"/>
        <v>156</v>
      </c>
      <c r="B157" s="85" t="str">
        <f ca="1">IFERROR(__xludf.DUMMYFUNCTION("GOOGLETRANSLATE(B604:B619,""RU"",""UK"")"),"Круг  шліф. 14А 40П С2 250х20х76")</f>
        <v>Круг  шліф. 14А 40П С2 250х20х76</v>
      </c>
      <c r="C157" s="37" t="s">
        <v>6</v>
      </c>
      <c r="D157" s="37">
        <v>6</v>
      </c>
      <c r="E157" s="92" t="s">
        <v>413</v>
      </c>
    </row>
    <row r="158" spans="1:5">
      <c r="A158" s="21">
        <f t="shared" si="4"/>
        <v>157</v>
      </c>
      <c r="B158" s="85" t="str">
        <f ca="1">IFERROR(__xludf.DUMMYFUNCTION("GOOGLETRANSLATE(B605:B620,""RU"",""UK"")"),"Круг  шліф. 14А 25П См2 250х20х76")</f>
        <v>Круг  шліф. 14А 25П См2 250х20х76</v>
      </c>
      <c r="C158" s="37" t="s">
        <v>6</v>
      </c>
      <c r="D158" s="37">
        <v>16</v>
      </c>
      <c r="E158" s="92" t="s">
        <v>413</v>
      </c>
    </row>
    <row r="159" spans="1:5">
      <c r="A159" s="21">
        <f t="shared" si="4"/>
        <v>158</v>
      </c>
      <c r="B159" s="85" t="str">
        <f ca="1">IFERROR(__xludf.DUMMYFUNCTION("GOOGLETRANSLATE(B605:B620,""RU"",""UK"")"),"Круг  шліф. 14А 25П С1/С2 250х20х76")</f>
        <v>Круг  шліф. 14А 25П С1/С2 250х20х76</v>
      </c>
      <c r="C159" s="37" t="s">
        <v>6</v>
      </c>
      <c r="D159" s="207" t="s">
        <v>6325</v>
      </c>
      <c r="E159" s="92" t="s">
        <v>413</v>
      </c>
    </row>
    <row r="160" spans="1:5">
      <c r="A160" s="21">
        <f t="shared" si="4"/>
        <v>159</v>
      </c>
      <c r="B160" s="85" t="str">
        <f ca="1">IFERROR(__xludf.DUMMYFUNCTION("GOOGLETRANSLATE(B606:B621,""RU"",""UK"")"),"Круг  шліф. 14А 16П См1 250х20х76")</f>
        <v>Круг  шліф. 14А 16П См1 250х20х76</v>
      </c>
      <c r="C160" s="37" t="s">
        <v>6</v>
      </c>
      <c r="D160" s="37">
        <v>1</v>
      </c>
      <c r="E160" s="92" t="s">
        <v>413</v>
      </c>
    </row>
    <row r="161" spans="1:5">
      <c r="A161" s="21">
        <f t="shared" si="4"/>
        <v>160</v>
      </c>
      <c r="B161" s="85" t="str">
        <f ca="1">IFERROR(__xludf.DUMMYFUNCTION("GOOGLETRANSLATE(B607:B622,""RU"",""UK"")"),"Круг  шліф. 14А 40П См1,2/С1/СТ1 250х25х76")</f>
        <v>Круг  шліф. 14А 40П См1,2/С1/СТ1 250х25х76</v>
      </c>
      <c r="C161" s="37" t="s">
        <v>6</v>
      </c>
      <c r="D161" s="37" t="s">
        <v>850</v>
      </c>
      <c r="E161" s="92" t="s">
        <v>851</v>
      </c>
    </row>
    <row r="162" spans="1:5">
      <c r="A162" s="21">
        <f t="shared" si="4"/>
        <v>161</v>
      </c>
      <c r="B162" s="85" t="str">
        <f ca="1">IFERROR(__xludf.DUMMYFUNCTION("GOOGLETRANSLATE(B608:B623,""RU"",""UK"")"),"Круг  шліф. 14А 25П СМ1,2 250х25х76")</f>
        <v>Круг  шліф. 14А 25П СМ1,2 250х25х76</v>
      </c>
      <c r="C162" s="37" t="s">
        <v>6</v>
      </c>
      <c r="D162" s="37">
        <v>22</v>
      </c>
      <c r="E162" s="92" t="s">
        <v>851</v>
      </c>
    </row>
    <row r="163" spans="1:5">
      <c r="A163" s="21">
        <f t="shared" si="4"/>
        <v>162</v>
      </c>
      <c r="B163" s="85" t="str">
        <f ca="1">IFERROR(__xludf.DUMMYFUNCTION("GOOGLETRANSLATE(B609:B624,""RU"",""UK"")"),"Круг  шліф. 14А П40 250х32х76 СМ2")</f>
        <v>Круг  шліф. 14А П40 250х32х76 СМ2</v>
      </c>
      <c r="C163" s="37" t="s">
        <v>6</v>
      </c>
      <c r="D163" s="167">
        <v>24</v>
      </c>
      <c r="E163" s="92" t="s">
        <v>102</v>
      </c>
    </row>
    <row r="164" spans="1:5">
      <c r="A164" s="21">
        <f t="shared" si="4"/>
        <v>163</v>
      </c>
      <c r="B164" s="85" t="str">
        <f ca="1">IFERROR(__xludf.DUMMYFUNCTION("GOOGLETRANSLATE(B609:B624,""RU"",""UK"")"),"Круг  шліф. 14А П40 250х32х76 СМ1")</f>
        <v>Круг  шліф. 14А П40 250х32х76 СМ1</v>
      </c>
      <c r="C164" s="37" t="s">
        <v>6</v>
      </c>
      <c r="D164" s="167">
        <v>3</v>
      </c>
      <c r="E164" s="92" t="s">
        <v>102</v>
      </c>
    </row>
    <row r="165" spans="1:5">
      <c r="A165" s="21">
        <f t="shared" si="4"/>
        <v>164</v>
      </c>
      <c r="B165" s="85" t="str">
        <f ca="1">IFERROR(__xludf.DUMMYFUNCTION("GOOGLETRANSLATE(B610:B625,""RU"",""UK"")"),"Круг  шліф. 14А П25 250х32х76 СТ2/СМ1")</f>
        <v>Круг  шліф. 14А П25 250х32х76 СТ2/СМ1</v>
      </c>
      <c r="C165" s="37" t="s">
        <v>6</v>
      </c>
      <c r="D165" s="37" t="s">
        <v>438</v>
      </c>
      <c r="E165" s="92" t="s">
        <v>102</v>
      </c>
    </row>
    <row r="166" spans="1:5">
      <c r="A166" s="21">
        <f t="shared" si="4"/>
        <v>165</v>
      </c>
      <c r="B166" s="85" t="str">
        <f ca="1">IFERROR(__xludf.DUMMYFUNCTION("GOOGLETRANSLATE(B611:B626,""RU"",""UK"")"),"Круг  шліф. 25А 25П СМ1 250х16х76")</f>
        <v>Круг  шліф. 25А 25П СМ1 250х16х76</v>
      </c>
      <c r="C166" s="37" t="s">
        <v>6</v>
      </c>
      <c r="D166" s="37">
        <v>6</v>
      </c>
      <c r="E166" s="92" t="s">
        <v>272</v>
      </c>
    </row>
    <row r="167" spans="1:5">
      <c r="A167" s="21">
        <f t="shared" si="4"/>
        <v>166</v>
      </c>
      <c r="B167" s="85" t="str">
        <f ca="1">IFERROR(__xludf.DUMMYFUNCTION("GOOGLETRANSLATE(B612:B627,""RU"",""UK"")"),"Круг  шліф. 24А 25П СМ2 250х20х76")</f>
        <v>Круг  шліф. 24А 25П СМ2 250х20х76</v>
      </c>
      <c r="C167" s="37" t="s">
        <v>6</v>
      </c>
      <c r="D167" s="37">
        <v>2</v>
      </c>
      <c r="E167" s="92">
        <v>720</v>
      </c>
    </row>
    <row r="168" spans="1:5">
      <c r="A168" s="21">
        <f t="shared" si="4"/>
        <v>167</v>
      </c>
      <c r="B168" s="85" t="str">
        <f ca="1">IFERROR(__xludf.DUMMYFUNCTION("GOOGLETRANSLATE(B613:B628,""RU"",""UK"")"),"Круг  шліф. 25А 40П СМ1 250х20х76")</f>
        <v>Круг  шліф. 25А 40П СМ1 250х20х76</v>
      </c>
      <c r="C168" s="37" t="s">
        <v>6</v>
      </c>
      <c r="D168" s="37">
        <v>1</v>
      </c>
      <c r="E168" s="92">
        <v>720</v>
      </c>
    </row>
    <row r="169" spans="1:5">
      <c r="A169" s="21">
        <f t="shared" si="4"/>
        <v>168</v>
      </c>
      <c r="B169" s="85" t="str">
        <f ca="1">IFERROR(__xludf.DUMMYFUNCTION("GOOGLETRANSLATE(B614:B629,""RU"",""UK"")"),"Круг  шліф. 24А (біле) 250х20х76 ПВД")</f>
        <v>Круг  шліф. 24А (біле) 250х20х76 ПВД</v>
      </c>
      <c r="C169" s="37" t="s">
        <v>6</v>
      </c>
      <c r="D169" s="37">
        <v>4</v>
      </c>
      <c r="E169" s="92" t="s">
        <v>162</v>
      </c>
    </row>
    <row r="170" spans="1:5">
      <c r="A170" s="21">
        <f t="shared" si="4"/>
        <v>169</v>
      </c>
      <c r="B170" s="85" t="str">
        <f ca="1">IFERROR(__xludf.DUMMYFUNCTION("GOOGLETRANSLATE(B615:B630,""RU"",""UK"")"),"Круг  шліф. 25А 16П С1 250х25х76")</f>
        <v>Круг  шліф. 25А 16П С1 250х25х76</v>
      </c>
      <c r="C170" s="37" t="s">
        <v>6</v>
      </c>
      <c r="D170" s="37">
        <v>1</v>
      </c>
      <c r="E170" s="92" t="s">
        <v>63</v>
      </c>
    </row>
    <row r="171" spans="1:5">
      <c r="A171" s="21">
        <f t="shared" si="4"/>
        <v>170</v>
      </c>
      <c r="B171" s="85" t="str">
        <f ca="1">IFERROR(__xludf.DUMMYFUNCTION("GOOGLETRANSLATE(B616:B631,""RU"",""UK"")"),"Круг  шліф. 25А М50П 250х25х76")</f>
        <v>Круг  шліф. 25А М50П 250х25х76</v>
      </c>
      <c r="C171" s="59" t="s">
        <v>6</v>
      </c>
      <c r="D171" s="59">
        <v>12</v>
      </c>
      <c r="E171" s="91" t="s">
        <v>63</v>
      </c>
    </row>
    <row r="172" spans="1:5">
      <c r="A172" s="21">
        <f t="shared" si="4"/>
        <v>171</v>
      </c>
      <c r="B172" s="85" t="str">
        <f ca="1">IFERROR(__xludf.DUMMYFUNCTION("GOOGLETRANSLATE(B617:B632,""RU"",""UK"")"),"Круг  шліф. 14А 40п СT/СМ 250х40х76")</f>
        <v>Круг  шліф. 14А 40п СT/СМ 250х40х76</v>
      </c>
      <c r="C172" s="59" t="s">
        <v>6</v>
      </c>
      <c r="D172" s="59" t="s">
        <v>6217</v>
      </c>
      <c r="E172" s="91" t="s">
        <v>88</v>
      </c>
    </row>
    <row r="173" spans="1:5">
      <c r="A173" s="21">
        <f t="shared" si="4"/>
        <v>172</v>
      </c>
      <c r="B173" s="85" t="str">
        <f ca="1">IFERROR(__xludf.DUMMYFUNCTION("GOOGLETRANSLATE(B618:B633,""RU"",""UK"")"),"Круг  шліф. 14А 25П СМ1 250х40х76")</f>
        <v>Круг  шліф. 14А 25П СМ1 250х40х76</v>
      </c>
      <c r="C173" s="59" t="s">
        <v>6</v>
      </c>
      <c r="D173" s="59">
        <v>1</v>
      </c>
      <c r="E173" s="91" t="s">
        <v>88</v>
      </c>
    </row>
    <row r="174" spans="1:5">
      <c r="A174" s="21">
        <f t="shared" si="4"/>
        <v>173</v>
      </c>
      <c r="B174" s="85" t="str">
        <f ca="1">IFERROR(__xludf.DUMMYFUNCTION("GOOGLETRANSLATE(B619:B634,""RU"",""UK"")"),"Круг  шліф. 25А 40П 250х32х76 C1/C2/СТ1/M3")</f>
        <v>Круг  шліф. 25А 40П 250х32х76 C1/C2/СТ1/M3</v>
      </c>
      <c r="C174" s="59" t="s">
        <v>6</v>
      </c>
      <c r="D174" s="59">
        <v>8</v>
      </c>
      <c r="E174" s="91" t="s">
        <v>102</v>
      </c>
    </row>
    <row r="175" spans="1:5">
      <c r="A175" s="21">
        <f t="shared" si="4"/>
        <v>174</v>
      </c>
      <c r="B175" s="85" t="str">
        <f ca="1">IFERROR(__xludf.DUMMYFUNCTION("GOOGLETRANSLATE(B620:B635,""RU"",""UK"")"),"Круг  шліф. 25А 40П 250х40х76 СМ2")</f>
        <v>Круг  шліф. 25А 40П 250х40х76 СМ2</v>
      </c>
      <c r="C175" s="59" t="s">
        <v>6</v>
      </c>
      <c r="D175" s="59">
        <v>0</v>
      </c>
      <c r="E175" s="91" t="s">
        <v>80</v>
      </c>
    </row>
    <row r="176" spans="1:5">
      <c r="A176" s="21">
        <f t="shared" si="4"/>
        <v>175</v>
      </c>
      <c r="B176" s="85" t="str">
        <f ca="1">IFERROR(__xludf.DUMMYFUNCTION("GOOGLETRANSLATE(B621:B636,""RU"",""UK"")"),"Круг  шліф. 64С 12П 250х40х76")</f>
        <v>Круг  шліф. 64С 12П 250х40х76</v>
      </c>
      <c r="C176" s="59" t="s">
        <v>6</v>
      </c>
      <c r="D176" s="171">
        <v>2</v>
      </c>
      <c r="E176" s="91" t="s">
        <v>80</v>
      </c>
    </row>
    <row r="177" spans="1:5">
      <c r="A177" s="21">
        <f t="shared" si="4"/>
        <v>176</v>
      </c>
      <c r="B177" s="85" t="str">
        <f ca="1">IFERROR(__xludf.DUMMYFUNCTION("GOOGLETRANSLATE(B622:B637,""RU"",""UK"")"),"Круг  шліф. 96А 40П 250х40х76")</f>
        <v>Круг  шліф. 96А 40П 250х40х76</v>
      </c>
      <c r="C177" s="35" t="s">
        <v>6</v>
      </c>
      <c r="D177" s="215">
        <v>3</v>
      </c>
      <c r="E177" s="96" t="s">
        <v>80</v>
      </c>
    </row>
    <row r="178" spans="1:5">
      <c r="A178" s="21">
        <f t="shared" si="4"/>
        <v>177</v>
      </c>
      <c r="B178" s="85" t="str">
        <f ca="1">IFERROR(__xludf.DUMMYFUNCTION("GOOGLETRANSLATE(B622:B637,""RU"",""UK"")"),"Круг  шліф. 92А25СТ1 250х40х76")</f>
        <v>Круг  шліф. 92А25СТ1 250х40х76</v>
      </c>
      <c r="C178" s="35" t="s">
        <v>6</v>
      </c>
      <c r="D178" s="215">
        <v>3</v>
      </c>
      <c r="E178" s="96" t="s">
        <v>80</v>
      </c>
    </row>
    <row r="179" spans="1:5">
      <c r="A179" s="21">
        <f t="shared" si="4"/>
        <v>178</v>
      </c>
      <c r="B179" s="85" t="str">
        <f ca="1">IFERROR(__xludf.DUMMYFUNCTION("GOOGLETRANSLATE(B623:B638,""RU"",""UK"")"),"Круг  шліф. 91А-92А 12П 250х40х76")</f>
        <v>Круг  шліф. 91А-92А 12П 250х40х76</v>
      </c>
      <c r="C179" s="35" t="s">
        <v>6</v>
      </c>
      <c r="D179" s="215">
        <v>8</v>
      </c>
      <c r="E179" s="96" t="s">
        <v>111</v>
      </c>
    </row>
    <row r="180" spans="1:5">
      <c r="A180" s="21">
        <f t="shared" si="4"/>
        <v>179</v>
      </c>
      <c r="B180" s="85" t="str">
        <f ca="1">IFERROR(__xludf.DUMMYFUNCTION("GOOGLETRANSLATE(B623:B638,""RU"",""UK"")"),"Круг  шліф. 91А-92А 16П 250х40х76")</f>
        <v>Круг  шліф. 91А-92А 16П 250х40х76</v>
      </c>
      <c r="C180" s="35" t="s">
        <v>6</v>
      </c>
      <c r="D180" s="215">
        <v>3</v>
      </c>
      <c r="E180" s="96" t="s">
        <v>111</v>
      </c>
    </row>
    <row r="181" spans="1:5">
      <c r="A181" s="21">
        <f t="shared" si="4"/>
        <v>180</v>
      </c>
      <c r="B181" s="85" t="str">
        <f ca="1">IFERROR(__xludf.DUMMYFUNCTION("GOOGLETRANSLATE(B624:B639,""RU"",""UK"")"),"Круг  шліф. 14А25П С2 300х10х76")</f>
        <v>Круг  шліф. 14А25П С2 300х10х76</v>
      </c>
      <c r="C181" s="59" t="s">
        <v>6</v>
      </c>
      <c r="D181" s="59">
        <v>3</v>
      </c>
      <c r="E181" s="91" t="s">
        <v>53</v>
      </c>
    </row>
    <row r="182" spans="1:5">
      <c r="A182" s="21">
        <f t="shared" si="4"/>
        <v>181</v>
      </c>
      <c r="B182" s="85" t="str">
        <f ca="1">IFERROR(__xludf.DUMMYFUNCTION("GOOGLETRANSLATE(B625:B640,""RU"",""UK"")"),"Круг  шліф. 39А 40П 300х25х76")</f>
        <v>Круг  шліф. 39А 40П 300х25х76</v>
      </c>
      <c r="C182" s="59" t="s">
        <v>6</v>
      </c>
      <c r="D182" s="59">
        <v>2</v>
      </c>
      <c r="E182" s="91" t="s">
        <v>33</v>
      </c>
    </row>
    <row r="183" spans="1:5">
      <c r="A183" s="21">
        <f t="shared" si="4"/>
        <v>182</v>
      </c>
      <c r="B183" s="85" t="str">
        <f ca="1">IFERROR(__xludf.DUMMYFUNCTION("GOOGLETRANSLATE(B626:B641,""RU"",""UK"")"),"Круг  шліф. 25А 40П СТ2 300х20х76")</f>
        <v>Круг  шліф. 25А 40П СТ2 300х20х76</v>
      </c>
      <c r="C183" s="59" t="s">
        <v>6</v>
      </c>
      <c r="D183" s="59">
        <v>2</v>
      </c>
      <c r="E183" s="91" t="s">
        <v>78</v>
      </c>
    </row>
    <row r="184" spans="1:5">
      <c r="A184" s="21">
        <f t="shared" si="4"/>
        <v>183</v>
      </c>
      <c r="B184" s="85" t="str">
        <f ca="1">IFERROR(__xludf.DUMMYFUNCTION("GOOGLETRANSLATE(B627:B642,""RU"",""UK"")"),"Круг  шліф. 25А 40П СТ1 300х25х76")</f>
        <v>Круг  шліф. 25А 40П СТ1 300х25х76</v>
      </c>
      <c r="C184" s="59" t="s">
        <v>6</v>
      </c>
      <c r="D184" s="59">
        <v>1</v>
      </c>
      <c r="E184" s="91" t="s">
        <v>283</v>
      </c>
    </row>
    <row r="185" spans="1:5">
      <c r="A185" s="21">
        <f t="shared" si="4"/>
        <v>184</v>
      </c>
      <c r="B185" s="85" t="str">
        <f ca="1">IFERROR(__xludf.DUMMYFUNCTION("GOOGLETRANSLATE(B628:B643,""RU"",""UK"")"),"Круг  шліф. 25А 25П СТ2 300х40х76")</f>
        <v>Круг  шліф. 25А 25П СТ2 300х40х76</v>
      </c>
      <c r="C185" s="59" t="s">
        <v>6</v>
      </c>
      <c r="D185" s="59">
        <v>4</v>
      </c>
      <c r="E185" s="91" t="s">
        <v>38</v>
      </c>
    </row>
    <row r="186" spans="1:5">
      <c r="A186" s="21">
        <f t="shared" si="4"/>
        <v>185</v>
      </c>
      <c r="B186" s="85" t="str">
        <f ca="1">IFERROR(__xludf.DUMMYFUNCTION("GOOGLETRANSLATE(B629:B644,""RU"",""UK"")"),"Круг  шліф. 14А 25П 300х40х76")</f>
        <v>Круг  шліф. 14А 25П 300х40х76</v>
      </c>
      <c r="C186" s="59" t="s">
        <v>6</v>
      </c>
      <c r="D186" s="59">
        <v>9</v>
      </c>
      <c r="E186" s="91" t="s">
        <v>71</v>
      </c>
    </row>
    <row r="187" spans="1:5">
      <c r="A187" s="21">
        <f t="shared" si="4"/>
        <v>186</v>
      </c>
      <c r="B187" s="85" t="str">
        <f ca="1">IFERROR(__xludf.DUMMYFUNCTION("GOOGLETRANSLATE(B629:B644,""RU"",""UK"")"),"Круг  шліф. 14А 40П СТ 300х40х76")</f>
        <v>Круг  шліф. 14А 40П СТ 300х40х76</v>
      </c>
      <c r="C187" s="59" t="s">
        <v>6</v>
      </c>
      <c r="D187" s="59">
        <v>2</v>
      </c>
      <c r="E187" s="91" t="s">
        <v>71</v>
      </c>
    </row>
    <row r="188" spans="1:5">
      <c r="A188" s="21">
        <f t="shared" si="4"/>
        <v>187</v>
      </c>
      <c r="B188" s="85" t="str">
        <f ca="1">IFERROR(__xludf.DUMMYFUNCTION("GOOGLETRANSLATE(B629:B644,""RU"",""UK"")"),"Круг  шліф. 14А 40П СМ1,2 300х40х76")</f>
        <v>Круг  шліф. 14А 40П СМ1,2 300х40х76</v>
      </c>
      <c r="C188" s="59" t="s">
        <v>6</v>
      </c>
      <c r="D188" s="59">
        <v>12</v>
      </c>
      <c r="E188" s="91" t="s">
        <v>71</v>
      </c>
    </row>
    <row r="189" spans="1:5">
      <c r="A189" s="21">
        <f t="shared" si="4"/>
        <v>188</v>
      </c>
      <c r="B189" s="169" t="str">
        <f ca="1">IFERROR(__xludf.DUMMYFUNCTION("GOOGLETRANSLATE(B630:B645,""RU"",""UK"")"),"Круг  шліф. 64С F46 (40П) (зелене) 300х40х76 СМ")</f>
        <v>Круг  шліф. 64С F46 (40П) (зелене) 300х40х76 СМ</v>
      </c>
      <c r="C189" s="59" t="s">
        <v>6</v>
      </c>
      <c r="D189" s="59">
        <v>1</v>
      </c>
      <c r="E189" s="91">
        <v>2500</v>
      </c>
    </row>
    <row r="190" spans="1:5">
      <c r="A190" s="21">
        <f t="shared" si="4"/>
        <v>189</v>
      </c>
      <c r="B190" s="85" t="str">
        <f ca="1">IFERROR(__xludf.DUMMYFUNCTION("GOOGLETRANSLATE(B632:B647,""RU"",""UK"")"),"Круг  шліф. 24А16П СТ2 (білий) 300х10х127")</f>
        <v>Круг  шліф. 24А16П СТ2 (білий) 300х10х127</v>
      </c>
      <c r="C190" s="37" t="s">
        <v>6</v>
      </c>
      <c r="D190" s="37">
        <v>1</v>
      </c>
      <c r="E190" s="92" t="s">
        <v>53</v>
      </c>
    </row>
    <row r="191" spans="1:5">
      <c r="A191" s="21">
        <f t="shared" si="4"/>
        <v>190</v>
      </c>
      <c r="B191" s="85" t="str">
        <f ca="1">IFERROR(__xludf.DUMMYFUNCTION("GOOGLETRANSLATE(B633:B648,""RU"",""UK"")"),"Круг  шліф. 24А (білий)  300х10х127")</f>
        <v>Круг  шліф. 24А (білий)  300х10х127</v>
      </c>
      <c r="C191" s="59" t="s">
        <v>6</v>
      </c>
      <c r="D191" s="59">
        <v>23</v>
      </c>
      <c r="E191" s="91">
        <v>570</v>
      </c>
    </row>
    <row r="192" spans="1:5">
      <c r="A192" s="21">
        <f t="shared" si="4"/>
        <v>191</v>
      </c>
      <c r="B192" s="85" t="str">
        <f ca="1">IFERROR(__xludf.DUMMYFUNCTION("GOOGLETRANSLATE(B633:B648,""RU"",""UK"")"),"Круг  шліф. 14А 300х10х127")</f>
        <v>Круг  шліф. 14А 300х10х127</v>
      </c>
      <c r="C192" s="59" t="s">
        <v>6</v>
      </c>
      <c r="D192" s="59">
        <v>8</v>
      </c>
      <c r="E192" s="91" t="s">
        <v>53</v>
      </c>
    </row>
    <row r="193" spans="1:5">
      <c r="A193" s="21">
        <f t="shared" si="4"/>
        <v>192</v>
      </c>
      <c r="B193" s="85" t="str">
        <f ca="1">IFERROR(__xludf.DUMMYFUNCTION("GOOGLETRANSLATE(B634:B649,""RU"",""UK"")"),"Круг  шліф. 14А25П СМ2 (сірий) 300х10х127")</f>
        <v>Круг  шліф. 14А25П СМ2 (сірий) 300х10х127</v>
      </c>
      <c r="C193" s="37" t="s">
        <v>6</v>
      </c>
      <c r="D193" s="37">
        <v>1</v>
      </c>
      <c r="E193" s="92" t="s">
        <v>53</v>
      </c>
    </row>
    <row r="194" spans="1:5">
      <c r="A194" s="21">
        <f t="shared" si="4"/>
        <v>193</v>
      </c>
      <c r="B194" s="85" t="str">
        <f ca="1">IFERROR(__xludf.DUMMYFUNCTION("GOOGLETRANSLATE(B635:B650,""RU"",""UK"")"),"Круг  шліф. 92-95А 300х13х127")</f>
        <v>Круг  шліф. 92-95А 300х13х127</v>
      </c>
      <c r="C194" s="35" t="s">
        <v>6</v>
      </c>
      <c r="D194" s="35">
        <v>14</v>
      </c>
      <c r="E194" s="96" t="s">
        <v>78</v>
      </c>
    </row>
    <row r="195" spans="1:5">
      <c r="A195" s="21">
        <f t="shared" si="4"/>
        <v>194</v>
      </c>
      <c r="B195" s="85" t="str">
        <f ca="1">IFERROR(__xludf.DUMMYFUNCTION("GOOGLETRANSLATE(B636:B651,""RU"",""UK"")"),"Круг  шліф. 25А 40П СМ2 300х13х127")</f>
        <v>Круг  шліф. 25А 40П СМ2 300х13х127</v>
      </c>
      <c r="C195" s="59" t="s">
        <v>6</v>
      </c>
      <c r="D195" s="59">
        <v>16</v>
      </c>
      <c r="E195" s="91" t="s">
        <v>78</v>
      </c>
    </row>
    <row r="196" spans="1:5">
      <c r="A196" s="21">
        <f t="shared" si="4"/>
        <v>195</v>
      </c>
      <c r="B196" s="85" t="str">
        <f ca="1">IFERROR(__xludf.DUMMYFUNCTION("GOOGLETRANSLATE(B637:B652,""RU"",""UK"")"),"Круг  шліф. 14А 25П 300х20х127")</f>
        <v>Круг  шліф. 14А 25П 300х20х127</v>
      </c>
      <c r="C196" s="59" t="s">
        <v>6</v>
      </c>
      <c r="D196" s="59">
        <v>9</v>
      </c>
      <c r="E196" s="91" t="s">
        <v>663</v>
      </c>
    </row>
    <row r="197" spans="1:5">
      <c r="A197" s="21">
        <f t="shared" si="4"/>
        <v>196</v>
      </c>
      <c r="B197" s="85" t="str">
        <f ca="1">IFERROR(__xludf.DUMMYFUNCTION("GOOGLETRANSLATE(B638:B653,""RU"",""UK"")"),"Круг  шліф. 91А16ПСТ2 300х25х127")</f>
        <v>Круг  шліф. 91А16ПСТ2 300х25х127</v>
      </c>
      <c r="C197" s="59" t="s">
        <v>6</v>
      </c>
      <c r="D197" s="59">
        <v>2</v>
      </c>
      <c r="E197" s="91" t="s">
        <v>102</v>
      </c>
    </row>
    <row r="198" spans="1:5">
      <c r="A198" s="21">
        <f t="shared" si="4"/>
        <v>197</v>
      </c>
      <c r="B198" s="200" t="str">
        <f ca="1">IFERROR(__xludf.DUMMYFUNCTION("GOOGLETRANSLATE(B639:B654,""RU"",""UK"")"),"Круг  шліф. 24А16ПСТ1,2 300х25х127")</f>
        <v>Круг  шліф. 24А16ПСТ1,2 300х25х127</v>
      </c>
      <c r="C198" s="59" t="s">
        <v>6</v>
      </c>
      <c r="D198" s="59">
        <v>0</v>
      </c>
      <c r="E198" s="91" t="s">
        <v>889</v>
      </c>
    </row>
    <row r="199" spans="1:5">
      <c r="A199" s="21">
        <f t="shared" si="4"/>
        <v>198</v>
      </c>
      <c r="B199" s="85" t="str">
        <f ca="1">IFERROR(__xludf.DUMMYFUNCTION("GOOGLETRANSLATE(B640:B655,""RU"",""UK"")"),"Круг  шліф. 25А 25П 300х40х127 СМ1/СТ1 (білий)")</f>
        <v>Круг  шліф. 25А 25П 300х40х127 СМ1/СТ1 (білий)</v>
      </c>
      <c r="C199" s="59" t="s">
        <v>6</v>
      </c>
      <c r="D199" s="59">
        <v>1</v>
      </c>
      <c r="E199" s="91" t="s">
        <v>891</v>
      </c>
    </row>
    <row r="200" spans="1:5">
      <c r="A200" s="21">
        <f t="shared" si="4"/>
        <v>199</v>
      </c>
      <c r="B200" s="85" t="str">
        <f ca="1">IFERROR(__xludf.DUMMYFUNCTION("GOOGLETRANSLATE(B641:B656,""RU"",""UK"")"),"Круг  шліф. 24А 40П 300х40х127 С1/С2 (білий)")</f>
        <v>Круг  шліф. 24А 40П 300х40х127 С1/С2 (білий)</v>
      </c>
      <c r="C200" s="59" t="s">
        <v>6</v>
      </c>
      <c r="D200" s="59" t="s">
        <v>6184</v>
      </c>
      <c r="E200" s="91" t="s">
        <v>891</v>
      </c>
    </row>
    <row r="201" spans="1:5">
      <c r="A201" s="21">
        <f t="shared" si="4"/>
        <v>200</v>
      </c>
      <c r="B201" s="85" t="str">
        <f ca="1">IFERROR(__xludf.DUMMYFUNCTION("GOOGLETRANSLATE(B642:B657,""RU"",""UK"")"),"Круг  шліф. 91А16ПСТ2 300х40х127")</f>
        <v>Круг  шліф. 91А16ПСТ2 300х40х127</v>
      </c>
      <c r="C201" s="35" t="s">
        <v>6</v>
      </c>
      <c r="D201" s="35">
        <v>0</v>
      </c>
      <c r="E201" s="96" t="s">
        <v>38</v>
      </c>
    </row>
    <row r="202" spans="1:5">
      <c r="A202" s="21">
        <f t="shared" si="4"/>
        <v>201</v>
      </c>
      <c r="B202" s="85" t="str">
        <f ca="1">IFERROR(__xludf.DUMMYFUNCTION("GOOGLETRANSLATE(B643:B658,""RU"",""UK"")"),"Круг  шліф. 14А 40П СТ1,2/С1 (сірий) 300х40х127")</f>
        <v>Круг  шліф. 14А 40П СТ1,2/С1 (сірий) 300х40х127</v>
      </c>
      <c r="C202" s="37" t="s">
        <v>6</v>
      </c>
      <c r="D202" s="207" t="s">
        <v>6121</v>
      </c>
      <c r="E202" s="91" t="s">
        <v>71</v>
      </c>
    </row>
    <row r="203" spans="1:5">
      <c r="A203" s="21">
        <f t="shared" si="4"/>
        <v>202</v>
      </c>
      <c r="B203" s="85" t="str">
        <f ca="1">IFERROR(__xludf.DUMMYFUNCTION("GOOGLETRANSLATE(B643:B658,""RU"",""UK"")"),"Круг  шліф. 14А 40П СМ1-2/L (сірий) 300х40х127")</f>
        <v>Круг  шліф. 14А 40П СМ1-2/L (сірий) 300х40х127</v>
      </c>
      <c r="C203" s="37" t="s">
        <v>6</v>
      </c>
      <c r="D203" s="37" t="s">
        <v>6091</v>
      </c>
      <c r="E203" s="91" t="s">
        <v>71</v>
      </c>
    </row>
    <row r="204" spans="1:5">
      <c r="A204" s="21">
        <f t="shared" si="4"/>
        <v>203</v>
      </c>
      <c r="B204" s="85" t="str">
        <f ca="1">IFERROR(__xludf.DUMMYFUNCTION("GOOGLETRANSLATE(B644:B659,""RU"",""UK"")"),"Круг  шліф. 14А25П(сірий) 300х40х127")</f>
        <v>Круг  шліф. 14А25П(сірий) 300х40х127</v>
      </c>
      <c r="C204" s="59" t="s">
        <v>6</v>
      </c>
      <c r="D204" s="59">
        <v>42</v>
      </c>
      <c r="E204" s="91" t="s">
        <v>71</v>
      </c>
    </row>
    <row r="205" spans="1:5">
      <c r="A205" s="21">
        <f t="shared" si="4"/>
        <v>204</v>
      </c>
      <c r="B205" s="85" t="str">
        <f ca="1">IFERROR(__xludf.DUMMYFUNCTION("GOOGLETRANSLATE(B645:B660,""RU"",""UK"")"),"Круг  шліф. 14А 40П/63П бакеліт 300х40х127")</f>
        <v>Круг  шліф. 14А 40П/63П бакеліт 300х40х127</v>
      </c>
      <c r="C205" s="59" t="s">
        <v>6</v>
      </c>
      <c r="D205" s="59" t="s">
        <v>899</v>
      </c>
      <c r="E205" s="91" t="s">
        <v>71</v>
      </c>
    </row>
    <row r="206" spans="1:5">
      <c r="A206" s="21">
        <f t="shared" si="4"/>
        <v>205</v>
      </c>
      <c r="B206" s="85" t="str">
        <f ca="1">IFERROR(__xludf.DUMMYFUNCTION("GOOGLETRANSLATE(B645:B660,""RU"",""UK"")"),"Круг  шліф. 14А F22бакеліт 300х40х127")</f>
        <v>Круг  шліф. 14А F22бакеліт 300х40х127</v>
      </c>
      <c r="C206" s="59" t="s">
        <v>6</v>
      </c>
      <c r="D206" s="59">
        <v>4</v>
      </c>
      <c r="E206" s="91" t="s">
        <v>71</v>
      </c>
    </row>
    <row r="207" spans="1:5">
      <c r="A207" s="21">
        <f t="shared" si="4"/>
        <v>206</v>
      </c>
      <c r="B207" s="228" t="str">
        <f ca="1">IFERROR(__xludf.DUMMYFUNCTION("GOOGLETRANSLATE(B646:B661,""RU"",""UK"")"),"Круг  шліф. 36А 25П (тераккотовий) 300х40х127")</f>
        <v>Круг  шліф. 36А 25П (тераккотовий) 300х40х127</v>
      </c>
      <c r="C207" s="59" t="s">
        <v>6</v>
      </c>
      <c r="D207" s="59">
        <v>1</v>
      </c>
      <c r="E207" s="91" t="s">
        <v>38</v>
      </c>
    </row>
    <row r="208" spans="1:5">
      <c r="A208" s="21">
        <f t="shared" si="4"/>
        <v>207</v>
      </c>
      <c r="B208" s="85" t="str">
        <f ca="1">IFERROR(__xludf.DUMMYFUNCTION("GOOGLETRANSLATE(B646:B661,""RU"",""UK"")"),"Круг  шліф. 54А 40/25П (сірий) 300х40х127")</f>
        <v>Круг  шліф. 54А 40/25П (сірий) 300х40х127</v>
      </c>
      <c r="C208" s="59" t="s">
        <v>6</v>
      </c>
      <c r="D208" s="59" t="s">
        <v>793</v>
      </c>
      <c r="E208" s="91" t="s">
        <v>38</v>
      </c>
    </row>
    <row r="209" spans="1:5">
      <c r="A209" s="21">
        <f t="shared" si="4"/>
        <v>208</v>
      </c>
      <c r="B209" s="85" t="str">
        <f ca="1">IFERROR(__xludf.DUMMYFUNCTION("GOOGLETRANSLATE(B647:B662,""RU"",""UK"")"),"Круг  шліф. 64С 300х40х127 40П СМ / М (зелений)")</f>
        <v>Круг  шліф. 64С 300х40х127 40П СМ / М (зелений)</v>
      </c>
      <c r="C209" s="59" t="s">
        <v>6</v>
      </c>
      <c r="D209" s="59" t="s">
        <v>6438</v>
      </c>
      <c r="E209" s="91" t="s">
        <v>891</v>
      </c>
    </row>
    <row r="210" spans="1:5">
      <c r="A210" s="21">
        <f t="shared" si="4"/>
        <v>209</v>
      </c>
      <c r="B210" s="85" t="str">
        <f ca="1">IFERROR(__xludf.DUMMYFUNCTION("GOOGLETRANSLATE(B648:B663,""RU"",""UK"")"),"Круг  шліф. 64С25П СМ2/16П СМ1 300х40х127 (зелений)")</f>
        <v>Круг  шліф. 64С25П СМ2/16П СМ1 300х40х127 (зелений)</v>
      </c>
      <c r="C210" s="59" t="s">
        <v>6</v>
      </c>
      <c r="D210" s="59" t="s">
        <v>749</v>
      </c>
      <c r="E210" s="91" t="s">
        <v>891</v>
      </c>
    </row>
    <row r="211" spans="1:5">
      <c r="A211" s="21">
        <f t="shared" ref="A211:A275" si="5">A210+1</f>
        <v>210</v>
      </c>
      <c r="B211" s="85" t="str">
        <f ca="1">IFERROR(__xludf.DUMMYFUNCTION("GOOGLETRANSLATE(B649:B664,""RU"",""UK"")"),"Круг  шліф. 24А16пСТ2 / 24А16пСМ2 / 25А16пСМ2 350х16х127")</f>
        <v>Круг  шліф. 24А16пСТ2 / 24А16пСМ2 / 25А16пСМ2 350х16х127</v>
      </c>
      <c r="C211" s="37" t="s">
        <v>6</v>
      </c>
      <c r="D211" s="37" t="s">
        <v>905</v>
      </c>
      <c r="E211" s="92" t="s">
        <v>71</v>
      </c>
    </row>
    <row r="212" spans="1:5">
      <c r="A212" s="21">
        <f t="shared" si="5"/>
        <v>211</v>
      </c>
      <c r="B212" s="85" t="str">
        <f ca="1">IFERROR(__xludf.DUMMYFUNCTION("GOOGLETRANSLATE(B650:B665,""RU"",""UK"")"),"Круг  шліф. 64С 16П/М50/М63 350х32х127")</f>
        <v>Круг  шліф. 64С 16П/М50/М63 350х32х127</v>
      </c>
      <c r="C212" s="59" t="s">
        <v>6</v>
      </c>
      <c r="D212" s="59" t="s">
        <v>907</v>
      </c>
      <c r="E212" s="91" t="s">
        <v>38</v>
      </c>
    </row>
    <row r="213" spans="1:5">
      <c r="A213" s="21">
        <f t="shared" si="5"/>
        <v>212</v>
      </c>
      <c r="B213" s="85" t="str">
        <f ca="1">IFERROR(__xludf.DUMMYFUNCTION("GOOGLETRANSLATE(B651:B666,""RU"",""UK"")"),"Круг  шліф. 64С 40П СМ/СМ2/L/СТ 350х40х127")</f>
        <v>Круг  шліф. 64С 40П СМ/СМ2/L/СТ 350х40х127</v>
      </c>
      <c r="C213" s="59" t="s">
        <v>6</v>
      </c>
      <c r="D213" s="59" t="s">
        <v>6255</v>
      </c>
      <c r="E213" s="91" t="s">
        <v>910</v>
      </c>
    </row>
    <row r="214" spans="1:5">
      <c r="A214" s="21">
        <f t="shared" si="5"/>
        <v>213</v>
      </c>
      <c r="B214" s="85" t="str">
        <f ca="1">IFERROR(__xludf.DUMMYFUNCTION("GOOGLETRANSLATE(B652:B667,""RU"",""UK"")"),"Круг  шліф. 64С 25П СМ1/СМ2 350х40х127")</f>
        <v>Круг  шліф. 64С 25П СМ1/СМ2 350х40х127</v>
      </c>
      <c r="C214" s="59" t="s">
        <v>6</v>
      </c>
      <c r="D214" s="59" t="s">
        <v>6378</v>
      </c>
      <c r="E214" s="91" t="s">
        <v>910</v>
      </c>
    </row>
    <row r="215" spans="1:5">
      <c r="A215" s="21">
        <f t="shared" si="5"/>
        <v>214</v>
      </c>
      <c r="B215" s="85" t="str">
        <f ca="1">IFERROR(__xludf.DUMMYFUNCTION("GOOGLETRANSLATE(B653:B668,""RU"",""UK"")"),"Круг  шліф. 64С 16П 350х40х127")</f>
        <v>Круг  шліф. 64С 16П 350х40х127</v>
      </c>
      <c r="C215" s="59" t="s">
        <v>6</v>
      </c>
      <c r="D215" s="59">
        <v>1</v>
      </c>
      <c r="E215" s="91" t="s">
        <v>914</v>
      </c>
    </row>
    <row r="216" spans="1:5">
      <c r="A216" s="21">
        <f t="shared" si="5"/>
        <v>215</v>
      </c>
      <c r="B216" s="85" t="str">
        <f ca="1">IFERROR(__xludf.DUMMYFUNCTION("GOOGLETRANSLATE(B654:B669,""RU"",""UK"")"),"Круг  шліф. 64С 350х50х127")</f>
        <v>Круг  шліф. 64С 350х50х127</v>
      </c>
      <c r="C216" s="59" t="s">
        <v>6</v>
      </c>
      <c r="D216" s="59">
        <v>1</v>
      </c>
      <c r="E216" s="91" t="s">
        <v>910</v>
      </c>
    </row>
    <row r="217" spans="1:5">
      <c r="A217" s="21">
        <f t="shared" si="5"/>
        <v>216</v>
      </c>
      <c r="B217" s="85" t="str">
        <f ca="1">IFERROR(__xludf.DUMMYFUNCTION("GOOGLETRANSLATE(B655:B670,""RU"",""UK"")"),"Круг  шліф. 25А F46 (40П) 350х40х127 CM1, 2 (білі)")</f>
        <v>Круг  шліф. 25А F46 (40П) 350х40х127 CM1, 2 (білі)</v>
      </c>
      <c r="C217" s="59" t="s">
        <v>6</v>
      </c>
      <c r="D217" s="59">
        <v>25</v>
      </c>
      <c r="E217" s="91" t="s">
        <v>914</v>
      </c>
    </row>
    <row r="218" spans="1:5">
      <c r="A218" s="21">
        <f t="shared" si="5"/>
        <v>217</v>
      </c>
      <c r="B218" s="85" t="str">
        <f ca="1">IFERROR(__xludf.DUMMYFUNCTION("GOOGLETRANSLATE(B656:B671,""RU"",""UK"")"),"Круг  шліф. 25А 25П 350х40х127 СМ2 (білі)")</f>
        <v>Круг  шліф. 25А 25П 350х40х127 СМ2 (білі)</v>
      </c>
      <c r="C218" s="59" t="s">
        <v>6</v>
      </c>
      <c r="D218" s="59">
        <v>6</v>
      </c>
      <c r="E218" s="91" t="s">
        <v>914</v>
      </c>
    </row>
    <row r="219" spans="1:5">
      <c r="A219" s="21">
        <f t="shared" si="5"/>
        <v>218</v>
      </c>
      <c r="B219" s="85" t="str">
        <f ca="1">IFERROR(__xludf.DUMMYFUNCTION("GOOGLETRANSLATE(B657:B672,""RU"",""UK"")"),"Круг  шліф. 92А 40П СМ1 (бузковий) 350х40х127")</f>
        <v>Круг  шліф. 92А 40П СМ1 (бузковий) 350х40х127</v>
      </c>
      <c r="C219" s="35" t="s">
        <v>6</v>
      </c>
      <c r="D219" s="35">
        <v>4</v>
      </c>
      <c r="E219" s="96" t="s">
        <v>914</v>
      </c>
    </row>
    <row r="220" spans="1:5">
      <c r="A220" s="21">
        <f t="shared" si="5"/>
        <v>219</v>
      </c>
      <c r="B220" s="85" t="str">
        <f ca="1">IFERROR(__xludf.DUMMYFUNCTION("GOOGLETRANSLATE(B658:B673,""RU"",""UK"")"),"Круг  шліф. 91А25П / 95А 25П (бузковий) 350х40х127")</f>
        <v>Круг  шліф. 91А25П / 95А 25П (бузковий) 350х40х127</v>
      </c>
      <c r="C220" s="35" t="s">
        <v>6</v>
      </c>
      <c r="D220" s="35" t="s">
        <v>920</v>
      </c>
      <c r="E220" s="96" t="s">
        <v>914</v>
      </c>
    </row>
    <row r="221" spans="1:5">
      <c r="A221" s="21">
        <f t="shared" si="5"/>
        <v>220</v>
      </c>
      <c r="B221" s="85" t="str">
        <f ca="1">IFERROR(__xludf.DUMMYFUNCTION("GOOGLETRANSLATE(B659:B674,""RU"",""UK"")"),"Круг  шліф. 95А 16П СМ2 (бузковий) 350х40х127")</f>
        <v>Круг  шліф. 95А 16П СМ2 (бузковий) 350х40х127</v>
      </c>
      <c r="C221" s="35" t="s">
        <v>6</v>
      </c>
      <c r="D221" s="35">
        <v>3</v>
      </c>
      <c r="E221" s="96" t="s">
        <v>73</v>
      </c>
    </row>
    <row r="222" spans="1:5">
      <c r="A222" s="21">
        <f t="shared" si="5"/>
        <v>221</v>
      </c>
      <c r="B222" s="85" t="str">
        <f ca="1">IFERROR(__xludf.DUMMYFUNCTION("GOOGLETRANSLATE(B660:B675,""RU"",""UK"")"),"Круг  шліф. 14А 1 350х40х127 F46 СМ1,2 ")</f>
        <v xml:space="preserve">Круг  шліф. 14А 1 350х40х127 F46 СМ1,2 </v>
      </c>
      <c r="C222" s="59" t="s">
        <v>6</v>
      </c>
      <c r="D222" s="160">
        <v>21</v>
      </c>
      <c r="E222" s="91" t="s">
        <v>10</v>
      </c>
    </row>
    <row r="223" spans="1:5">
      <c r="A223" s="21">
        <f t="shared" si="5"/>
        <v>222</v>
      </c>
      <c r="B223" s="85" t="str">
        <f ca="1">IFERROR(__xludf.DUMMYFUNCTION("GOOGLETRANSLATE(B660:B675,""RU"",""UK"")"),"Круг  шліф. 14А 1 350х40х127 F46  CТ2 / СТ3")</f>
        <v>Круг  шліф. 14А 1 350х40х127 F46  CТ2 / СТ3</v>
      </c>
      <c r="C223" s="59" t="s">
        <v>6</v>
      </c>
      <c r="D223" s="165" t="s">
        <v>6296</v>
      </c>
      <c r="E223" s="91" t="s">
        <v>10</v>
      </c>
    </row>
    <row r="224" spans="1:5">
      <c r="A224" s="21">
        <f t="shared" si="5"/>
        <v>223</v>
      </c>
      <c r="B224" s="85" t="str">
        <f ca="1">IFERROR(__xludf.DUMMYFUNCTION("GOOGLETRANSLATE(B661:B676,""RU"",""UK"")"),"Круг  шліф. 14А16П 350х40х127")</f>
        <v>Круг  шліф. 14А16П 350х40х127</v>
      </c>
      <c r="C224" s="59" t="s">
        <v>6</v>
      </c>
      <c r="D224" s="59">
        <v>4</v>
      </c>
      <c r="E224" s="91" t="s">
        <v>10</v>
      </c>
    </row>
    <row r="225" spans="1:5">
      <c r="A225" s="21">
        <f t="shared" si="5"/>
        <v>224</v>
      </c>
      <c r="B225" s="85" t="str">
        <f ca="1">IFERROR(__xludf.DUMMYFUNCTION("GOOGLETRANSLATE(B661:B676,""RU"",""UK"")"),"Круг  шліф. 14А25П 350х40х127")</f>
        <v>Круг  шліф. 14А25П 350х40х127</v>
      </c>
      <c r="C225" s="59" t="s">
        <v>6</v>
      </c>
      <c r="D225" s="59">
        <v>20</v>
      </c>
      <c r="E225" s="91" t="s">
        <v>10</v>
      </c>
    </row>
    <row r="226" spans="1:5">
      <c r="A226" s="21">
        <f t="shared" si="5"/>
        <v>225</v>
      </c>
      <c r="B226" s="85" t="str">
        <f ca="1">IFERROR(__xludf.DUMMYFUNCTION("GOOGLETRANSLATE(B662:B677,""RU"",""UK"")"),"Круг  шліф. 94А 25П 350х40х127 Бакеліт")</f>
        <v>Круг  шліф. 94А 25П 350х40х127 Бакеліт</v>
      </c>
      <c r="C226" s="37" t="s">
        <v>6</v>
      </c>
      <c r="D226" s="37">
        <v>4</v>
      </c>
      <c r="E226" s="92" t="s">
        <v>38</v>
      </c>
    </row>
    <row r="227" spans="1:5">
      <c r="A227" s="21">
        <f t="shared" si="5"/>
        <v>226</v>
      </c>
      <c r="B227" s="85" t="str">
        <f ca="1">IFERROR(__xludf.DUMMYFUNCTION("GOOGLETRANSLATE(B663:B678,""RU"",""UK"")"),"Круг  шліф. 94А 40П 350х40х127 Бакеліт")</f>
        <v>Круг  шліф. 94А 40П 350х40х127 Бакеліт</v>
      </c>
      <c r="C227" s="37" t="s">
        <v>6</v>
      </c>
      <c r="D227" s="37">
        <v>3</v>
      </c>
      <c r="E227" s="92" t="s">
        <v>38</v>
      </c>
    </row>
    <row r="228" spans="1:5">
      <c r="A228" s="21">
        <f t="shared" si="5"/>
        <v>227</v>
      </c>
      <c r="B228" s="85" t="str">
        <f ca="1">IFERROR(__xludf.DUMMYFUNCTION("GOOGLETRANSLATE(B664:B679,""RU"",""UK"")"),"Круг  шліф. 94А 50П 350х40х127 Бакеліт")</f>
        <v>Круг  шліф. 94А 50П 350х40х127 Бакеліт</v>
      </c>
      <c r="C228" s="37" t="s">
        <v>6</v>
      </c>
      <c r="D228" s="37">
        <v>3</v>
      </c>
      <c r="E228" s="92" t="s">
        <v>38</v>
      </c>
    </row>
    <row r="229" spans="1:5">
      <c r="A229" s="21">
        <f t="shared" si="5"/>
        <v>228</v>
      </c>
      <c r="B229" s="85" t="str">
        <f ca="1">IFERROR(__xludf.DUMMYFUNCTION("GOOGLETRANSLATE(B665:B680,""RU"",""UK"")"),"Круг  шліф. 93А 80П СТ2 350х40х127 Бакеліт")</f>
        <v>Круг  шліф. 93А 80П СТ2 350х40х127 Бакеліт</v>
      </c>
      <c r="C229" s="37" t="s">
        <v>6</v>
      </c>
      <c r="D229" s="37">
        <v>8</v>
      </c>
      <c r="E229" s="92" t="s">
        <v>38</v>
      </c>
    </row>
    <row r="230" spans="1:5">
      <c r="A230" s="21">
        <f t="shared" si="5"/>
        <v>229</v>
      </c>
      <c r="B230" s="85" t="str">
        <f ca="1">IFERROR(__xludf.DUMMYFUNCTION("GOOGLETRANSLATE(B666:B681,""RU"",""UK"")"),"Круг  шліф. 14А 80П (F22) 350х40х127 Бакеліт")</f>
        <v>Круг  шліф. 14А 80П (F22) 350х40х127 Бакеліт</v>
      </c>
      <c r="C230" s="37" t="s">
        <v>6</v>
      </c>
      <c r="D230" s="37">
        <v>3</v>
      </c>
      <c r="E230" s="92" t="s">
        <v>38</v>
      </c>
    </row>
    <row r="231" spans="1:5">
      <c r="A231" s="21">
        <f t="shared" si="5"/>
        <v>230</v>
      </c>
      <c r="B231" s="85" t="str">
        <f ca="1">IFERROR(__xludf.DUMMYFUNCTION("GOOGLETRANSLATE(B667:B682,""RU"",""UK"")"),"Круг  шліф. 54С 40H 400х40х127 Бакеліт")</f>
        <v>Круг  шліф. 54С 40H 400х40х127 Бакеліт</v>
      </c>
      <c r="C231" s="37" t="s">
        <v>6</v>
      </c>
      <c r="D231" s="37">
        <v>2</v>
      </c>
      <c r="E231" s="92" t="s">
        <v>73</v>
      </c>
    </row>
    <row r="232" spans="1:5">
      <c r="A232" s="21">
        <f t="shared" si="5"/>
        <v>231</v>
      </c>
      <c r="B232" s="85" t="str">
        <f ca="1">IFERROR(__xludf.DUMMYFUNCTION("GOOGLETRANSLATE(B668:B683,""RU"",""UK"")"),"Круг  шліф. 14А 63H 400х40х127 СТ3 Бакеліт")</f>
        <v>Круг  шліф. 14А 63H 400х40х127 СТ3 Бакеліт</v>
      </c>
      <c r="C232" s="37" t="s">
        <v>6</v>
      </c>
      <c r="D232" s="37">
        <v>1</v>
      </c>
      <c r="E232" s="92" t="s">
        <v>73</v>
      </c>
    </row>
    <row r="233" spans="1:5">
      <c r="A233" s="21">
        <f t="shared" si="5"/>
        <v>232</v>
      </c>
      <c r="B233" s="85" t="str">
        <f ca="1">IFERROR(__xludf.DUMMYFUNCTION("GOOGLETRANSLATE(B669:B684,""RU"",""UK"")"),"Круг  шліф. 14А 80H (F22) 400х40х127 СТ3 Бакеліт")</f>
        <v>Круг  шліф. 14А 80H (F22) 400х40х127 СТ3 Бакеліт</v>
      </c>
      <c r="C233" s="37" t="s">
        <v>6</v>
      </c>
      <c r="D233" s="37">
        <v>1</v>
      </c>
      <c r="E233" s="92" t="s">
        <v>73</v>
      </c>
    </row>
    <row r="234" spans="1:5">
      <c r="A234" s="21">
        <f t="shared" si="5"/>
        <v>233</v>
      </c>
      <c r="B234" s="85" t="str">
        <f ca="1">IFERROR(__xludf.DUMMYFUNCTION("GOOGLETRANSLATE(B670:B685,""RU"",""UK"")"),"Круг  шліф. 54С 80H (F22) 400х40х127 Бакеліт")</f>
        <v>Круг  шліф. 54С 80H (F22) 400х40х127 Бакеліт</v>
      </c>
      <c r="C234" s="37" t="s">
        <v>6</v>
      </c>
      <c r="D234" s="37">
        <v>2</v>
      </c>
      <c r="E234" s="92" t="s">
        <v>73</v>
      </c>
    </row>
    <row r="235" spans="1:5">
      <c r="A235" s="21">
        <f t="shared" si="5"/>
        <v>234</v>
      </c>
      <c r="B235" s="169" t="str">
        <f ca="1">IFERROR(__xludf.DUMMYFUNCTION("GOOGLETRANSLATE(B671:B686,""RU"",""UK"")"),"Круг  шліф. 14А 1 400х40х127 F46СМ2")</f>
        <v>Круг  шліф. 14А 1 400х40х127 F46СМ2</v>
      </c>
      <c r="C235" s="59" t="s">
        <v>6</v>
      </c>
      <c r="D235" s="160">
        <v>2</v>
      </c>
      <c r="E235" s="91" t="s">
        <v>910</v>
      </c>
    </row>
    <row r="236" spans="1:5">
      <c r="A236" s="21">
        <f t="shared" si="5"/>
        <v>235</v>
      </c>
      <c r="B236" s="169" t="str">
        <f ca="1">IFERROR(__xludf.DUMMYFUNCTION("GOOGLETRANSLATE(B671:B686,""RU"",""UK"")"),"Круг  шліф. 14А 1 400х40х127 F60СМ1")</f>
        <v>Круг  шліф. 14А 1 400х40х127 F60СМ1</v>
      </c>
      <c r="C236" s="59" t="s">
        <v>6</v>
      </c>
      <c r="D236" s="160">
        <v>1</v>
      </c>
      <c r="E236" s="91" t="s">
        <v>910</v>
      </c>
    </row>
    <row r="237" spans="1:5">
      <c r="A237" s="21">
        <f t="shared" si="5"/>
        <v>236</v>
      </c>
      <c r="B237" s="85" t="str">
        <f ca="1">IFERROR(__xludf.DUMMYFUNCTION("GOOGLETRANSLATE(B672:B687,""RU"",""UK"")"),"Круг  шліф. 64С ПП 400х40х127 40СМ1,2/СТ2 (зелений)")</f>
        <v>Круг  шліф. 64С ПП 400х40х127 40СМ1,2/СТ2 (зелений)</v>
      </c>
      <c r="C237" s="59" t="s">
        <v>6</v>
      </c>
      <c r="D237" s="59" t="s">
        <v>6391</v>
      </c>
      <c r="E237" s="91" t="s">
        <v>938</v>
      </c>
    </row>
    <row r="238" spans="1:5">
      <c r="A238" s="21">
        <f t="shared" si="5"/>
        <v>237</v>
      </c>
      <c r="B238" s="85" t="str">
        <f ca="1">IFERROR(__xludf.DUMMYFUNCTION("GOOGLETRANSLATE(B672:B687,""RU"",""UK"")"),"Круг  шліф. 64С ПП 400х40х127 F46 К (зелений)")</f>
        <v>Круг  шліф. 64С ПП 400х40х127 F46 К (зелений)</v>
      </c>
      <c r="C238" s="59" t="s">
        <v>6</v>
      </c>
      <c r="D238" s="59">
        <v>1</v>
      </c>
      <c r="E238" s="91" t="s">
        <v>938</v>
      </c>
    </row>
    <row r="239" spans="1:5">
      <c r="A239" s="21">
        <f t="shared" si="5"/>
        <v>238</v>
      </c>
      <c r="B239" s="85" t="str">
        <f ca="1">IFERROR(__xludf.DUMMYFUNCTION("GOOGLETRANSLATE(B672:B687,""RU"",""UK"")"),"Круг  шліф. 64С ПП 400х40х127 F60 К (зелений)")</f>
        <v>Круг  шліф. 64С ПП 400х40х127 F60 К (зелений)</v>
      </c>
      <c r="C239" s="59" t="s">
        <v>6</v>
      </c>
      <c r="D239" s="59">
        <v>1</v>
      </c>
      <c r="E239" s="91" t="s">
        <v>938</v>
      </c>
    </row>
    <row r="240" spans="1:5">
      <c r="A240" s="21">
        <f t="shared" si="5"/>
        <v>239</v>
      </c>
      <c r="B240" s="164" t="str">
        <f ca="1">IFERROR(__xludf.DUMMYFUNCTION("GOOGLETRANSLATE(B673:B688,""RU"",""UK"")"),"Круг  шліф. 25А 40П СМ2 (білий) 400х40х127")</f>
        <v>Круг  шліф. 25А 40П СМ2 (білий) 400х40х127</v>
      </c>
      <c r="C240" s="59" t="s">
        <v>6</v>
      </c>
      <c r="D240" s="59">
        <v>0</v>
      </c>
      <c r="E240" s="91" t="s">
        <v>938</v>
      </c>
    </row>
    <row r="241" spans="1:5">
      <c r="A241" s="21">
        <f t="shared" si="5"/>
        <v>240</v>
      </c>
      <c r="B241" s="85" t="str">
        <f ca="1">IFERROR(__xludf.DUMMYFUNCTION("GOOGLETRANSLATE(B674:B689,""RU"",""UK"")"),"Круг  шліф. 25А 6П (біле) 400х50х127 СМ2")</f>
        <v>Круг  шліф. 25А 6П (біле) 400х50х127 СМ2</v>
      </c>
      <c r="C241" s="59" t="s">
        <v>6</v>
      </c>
      <c r="D241" s="59">
        <v>1</v>
      </c>
      <c r="E241" s="91" t="s">
        <v>938</v>
      </c>
    </row>
    <row r="242" spans="1:5">
      <c r="A242" s="21">
        <f t="shared" si="5"/>
        <v>241</v>
      </c>
      <c r="B242" s="85" t="str">
        <f ca="1">IFERROR(__xludf.DUMMYFUNCTION("GOOGLETRANSLATE(B675:B690,""RU"",""UK"")"),"Круг  шліф. 25А 400х8х203")</f>
        <v>Круг  шліф. 25А 400х8х203</v>
      </c>
      <c r="C242" s="59" t="s">
        <v>6</v>
      </c>
      <c r="D242" s="59">
        <v>5</v>
      </c>
      <c r="E242" s="91" t="s">
        <v>231</v>
      </c>
    </row>
    <row r="243" spans="1:5">
      <c r="A243" s="21">
        <f t="shared" si="5"/>
        <v>242</v>
      </c>
      <c r="B243" s="85" t="str">
        <f ca="1">IFERROR(__xludf.DUMMYFUNCTION("GOOGLETRANSLATE(B675:B690,""RU"",""UK"")"),"Круг  шліф. 25А 400х10х203")</f>
        <v>Круг  шліф. 25А 400х10х203</v>
      </c>
      <c r="C243" s="59" t="s">
        <v>6</v>
      </c>
      <c r="D243" s="59">
        <v>5</v>
      </c>
      <c r="E243" s="91">
        <v>1050</v>
      </c>
    </row>
    <row r="244" spans="1:5">
      <c r="A244" s="21">
        <f t="shared" si="5"/>
        <v>243</v>
      </c>
      <c r="B244" s="85" t="str">
        <f ca="1">IFERROR(__xludf.DUMMYFUNCTION("GOOGLETRANSLATE(B676:B691,""RU"",""UK"")"),"Круг  шліф. 25А 8П 400х20х203")</f>
        <v>Круг  шліф. 25А 8П 400х20х203</v>
      </c>
      <c r="C244" s="59" t="s">
        <v>6</v>
      </c>
      <c r="D244" s="59">
        <v>1</v>
      </c>
      <c r="E244" s="91" t="s">
        <v>71</v>
      </c>
    </row>
    <row r="245" spans="1:5">
      <c r="A245" s="21">
        <f t="shared" si="5"/>
        <v>244</v>
      </c>
      <c r="B245" s="85" t="str">
        <f ca="1">IFERROR(__xludf.DUMMYFUNCTION("GOOGLETRANSLATE(B676:B691,""RU"",""UK"")"),"Круг  шліф. 39А 400х20х203")</f>
        <v>Круг  шліф. 39А 400х20х203</v>
      </c>
      <c r="C245" s="59" t="s">
        <v>6</v>
      </c>
      <c r="D245" s="59">
        <v>1</v>
      </c>
      <c r="E245" s="91" t="s">
        <v>71</v>
      </c>
    </row>
    <row r="246" spans="1:5">
      <c r="A246" s="21">
        <f t="shared" si="5"/>
        <v>245</v>
      </c>
      <c r="B246" s="85" t="str">
        <f ca="1">IFERROR(__xludf.DUMMYFUNCTION("GOOGLETRANSLATE(B677:B692,""RU"",""UK"")"),"Круг  шліф. 92А 16П 400х10х203")</f>
        <v>Круг  шліф. 92А 16П 400х10х203</v>
      </c>
      <c r="C246" s="35" t="s">
        <v>6</v>
      </c>
      <c r="D246" s="35">
        <v>22</v>
      </c>
      <c r="E246" s="96" t="s">
        <v>80</v>
      </c>
    </row>
    <row r="247" spans="1:5">
      <c r="A247" s="21">
        <f t="shared" si="5"/>
        <v>246</v>
      </c>
      <c r="B247" s="85" t="str">
        <f ca="1">IFERROR(__xludf.DUMMYFUNCTION("GOOGLETRANSLATE(B678:B693,""RU"",""UK"")"),"Круг  шліф. 91А 12П 400х20х203")</f>
        <v>Круг  шліф. 91А 12П 400х20х203</v>
      </c>
      <c r="C247" s="35" t="s">
        <v>6</v>
      </c>
      <c r="D247" s="35">
        <v>0</v>
      </c>
      <c r="E247" s="96" t="s">
        <v>71</v>
      </c>
    </row>
    <row r="248" spans="1:5">
      <c r="A248" s="21">
        <f t="shared" si="5"/>
        <v>247</v>
      </c>
      <c r="B248" s="85" t="str">
        <f ca="1">IFERROR(__xludf.DUMMYFUNCTION("GOOGLETRANSLATE(B679:B694,""RU"",""UK"")"),"Круг  шліф. 92А (бузковий) 400х32х203")</f>
        <v>Круг  шліф. 92А (бузковий) 400х32х203</v>
      </c>
      <c r="C248" s="35" t="s">
        <v>6</v>
      </c>
      <c r="D248" s="35">
        <v>1</v>
      </c>
      <c r="E248" s="96" t="s">
        <v>75</v>
      </c>
    </row>
    <row r="249" spans="1:5">
      <c r="A249" s="21">
        <f t="shared" si="5"/>
        <v>248</v>
      </c>
      <c r="B249" s="85" t="str">
        <f ca="1">IFERROR(__xludf.DUMMYFUNCTION("GOOGLETRANSLATE(B680:B695,""RU"",""UK"")"),"Круг  шліф. 64С 6П (зелен.) 400х40х203")</f>
        <v>Круг  шліф. 64С 6П (зелен.) 400х40х203</v>
      </c>
      <c r="C249" s="40" t="s">
        <v>6</v>
      </c>
      <c r="D249" s="40">
        <v>6</v>
      </c>
      <c r="E249" s="97" t="s">
        <v>948</v>
      </c>
    </row>
    <row r="250" spans="1:5">
      <c r="A250" s="21">
        <f t="shared" si="5"/>
        <v>249</v>
      </c>
      <c r="B250" s="169" t="str">
        <f ca="1">IFERROR(__xludf.DUMMYFUNCTION("GOOGLETRANSLATE(B681:B696,""RU"",""UK"")"),"Круг  шліф.64С 1 400х40х203 F46(40П) СМ (зелений)")</f>
        <v>Круг  шліф.64С 1 400х40х203 F46(40П) СМ (зелений)</v>
      </c>
      <c r="C250" s="59" t="s">
        <v>6</v>
      </c>
      <c r="D250" s="59">
        <v>1</v>
      </c>
      <c r="E250" s="91" t="s">
        <v>910</v>
      </c>
    </row>
    <row r="251" spans="1:5">
      <c r="A251" s="21">
        <f t="shared" si="5"/>
        <v>250</v>
      </c>
      <c r="B251" s="85" t="str">
        <f ca="1">IFERROR(__xludf.DUMMYFUNCTION("GOOGLETRANSLATE(B682:B697,""RU"",""UK"")"),"Круг  шліф. 14А ПП 400х40х203 40п (F46) СМ1,2")</f>
        <v>Круг  шліф. 14А ПП 400х40х203 40п (F46) СМ1,2</v>
      </c>
      <c r="C251" s="59" t="s">
        <v>6</v>
      </c>
      <c r="D251" s="59">
        <v>1</v>
      </c>
      <c r="E251" s="91" t="s">
        <v>951</v>
      </c>
    </row>
    <row r="252" spans="1:5">
      <c r="A252" s="21">
        <f t="shared" si="5"/>
        <v>251</v>
      </c>
      <c r="B252" s="85" t="str">
        <f ca="1">IFERROR(__xludf.DUMMYFUNCTION("GOOGLETRANSLATE(B682:B697,""RU"",""UK"")"),"Круг  шліф. 14А ПП 400х40х203 25п(F60)")</f>
        <v>Круг  шліф. 14А ПП 400х40х203 25п(F60)</v>
      </c>
      <c r="C252" s="59" t="s">
        <v>6</v>
      </c>
      <c r="D252" s="59">
        <v>1</v>
      </c>
      <c r="E252" s="91" t="s">
        <v>951</v>
      </c>
    </row>
    <row r="253" spans="1:5">
      <c r="A253" s="21">
        <f t="shared" si="5"/>
        <v>252</v>
      </c>
      <c r="B253" s="85" t="str">
        <f ca="1">IFERROR(__xludf.DUMMYFUNCTION("GOOGLETRANSLATE(B683:B698,""RU"",""UK"")"),"Круг  шліф. 14АБ F22 (П80) 400х40х203 Т2 / СТ3 Бакеліт")</f>
        <v>Круг  шліф. 14АБ F22 (П80) 400х40х203 Т2 / СТ3 Бакеліт</v>
      </c>
      <c r="C253" s="59" t="s">
        <v>6</v>
      </c>
      <c r="D253" s="59" t="s">
        <v>749</v>
      </c>
      <c r="E253" s="91" t="s">
        <v>10</v>
      </c>
    </row>
    <row r="254" spans="1:5">
      <c r="A254" s="21">
        <f t="shared" si="5"/>
        <v>253</v>
      </c>
      <c r="B254" s="164" t="str">
        <f ca="1">IFERROR(__xludf.DUMMYFUNCTION("GOOGLETRANSLATE(B684:B699,""RU"",""UK"")"),"Круг  шліф. 25А ПП 400х40х203 40 СM2 (білий)")</f>
        <v>Круг  шліф. 25А ПП 400х40х203 40 СM2 (білий)</v>
      </c>
      <c r="C254" s="59" t="s">
        <v>6</v>
      </c>
      <c r="D254" s="59">
        <v>0</v>
      </c>
      <c r="E254" s="91" t="s">
        <v>954</v>
      </c>
    </row>
    <row r="255" spans="1:5">
      <c r="A255" s="21">
        <f t="shared" si="5"/>
        <v>254</v>
      </c>
      <c r="B255" s="164" t="str">
        <f ca="1">IFERROR(__xludf.DUMMYFUNCTION("GOOGLETRANSLATE(B686:B701,""RU"",""UK"")"),"Круг  шліф. 54С F46 400х50х203")</f>
        <v>Круг  шліф. 54С F46 400х50х203</v>
      </c>
      <c r="C255" s="59" t="s">
        <v>6</v>
      </c>
      <c r="D255" s="59">
        <v>0</v>
      </c>
      <c r="E255" s="91" t="s">
        <v>84</v>
      </c>
    </row>
    <row r="256" spans="1:5">
      <c r="A256" s="21">
        <f t="shared" si="5"/>
        <v>255</v>
      </c>
      <c r="B256" s="85" t="str">
        <f ca="1">IFERROR(__xludf.DUMMYFUNCTION("GOOGLETRANSLATE(B687:B702,""RU"",""UK"")"),"Круг  шліф. 64С 40П (зелен.) 400х50х203")</f>
        <v>Круг  шліф. 64С 40П (зелен.) 400х50х203</v>
      </c>
      <c r="C256" s="59" t="s">
        <v>6</v>
      </c>
      <c r="D256" s="59">
        <v>22</v>
      </c>
      <c r="E256" s="91" t="s">
        <v>84</v>
      </c>
    </row>
    <row r="257" spans="1:5">
      <c r="A257" s="21">
        <f t="shared" si="5"/>
        <v>256</v>
      </c>
      <c r="B257" s="85" t="str">
        <f ca="1">IFERROR(__xludf.DUMMYFUNCTION("GOOGLETRANSLATE(B688:B703,""RU"",""UK"")"),"Круг  шліф. 64С М63П СМ2 (зелен.) 400х50х203")</f>
        <v>Круг  шліф. 64С М63П СМ2 (зелен.) 400х50х203</v>
      </c>
      <c r="C257" s="40" t="s">
        <v>6</v>
      </c>
      <c r="D257" s="40">
        <v>3</v>
      </c>
      <c r="E257" s="97" t="s">
        <v>914</v>
      </c>
    </row>
    <row r="258" spans="1:5">
      <c r="A258" s="21">
        <f t="shared" si="5"/>
        <v>257</v>
      </c>
      <c r="B258" s="85" t="str">
        <f ca="1">IFERROR(__xludf.DUMMYFUNCTION("GOOGLETRANSLATE(B689:B704,""RU"",""UK"")"),"Круг  шліф. 64С 40П (зелен.) 410-430х50х203 Б/в")</f>
        <v>Круг  шліф. 64С 40П (зелен.) 410-430х50х203 Б/в</v>
      </c>
      <c r="C258" s="40" t="s">
        <v>6</v>
      </c>
      <c r="D258" s="37">
        <v>2</v>
      </c>
      <c r="E258" s="92" t="s">
        <v>71</v>
      </c>
    </row>
    <row r="259" spans="1:5">
      <c r="A259" s="21">
        <f t="shared" si="5"/>
        <v>258</v>
      </c>
      <c r="B259" s="85" t="str">
        <f ca="1">IFERROR(__xludf.DUMMYFUNCTION("GOOGLETRANSLATE(B690:B705,""RU"",""UK"")"),"Круг  шліф. 24А12П 450х10х203")</f>
        <v>Круг  шліф. 24А12П 450х10х203</v>
      </c>
      <c r="C259" s="37" t="s">
        <v>6</v>
      </c>
      <c r="D259" s="37">
        <v>7</v>
      </c>
      <c r="E259" s="92" t="s">
        <v>63</v>
      </c>
    </row>
    <row r="260" spans="1:5">
      <c r="A260" s="21">
        <f t="shared" si="5"/>
        <v>259</v>
      </c>
      <c r="B260" s="85" t="str">
        <f ca="1">IFERROR(__xludf.DUMMYFUNCTION("GOOGLETRANSLATE(B691:B706,""RU"",""UK"")"),"Круг  шліф. 14А60П (сірий) 450х40х203")</f>
        <v>Круг  шліф. 14А60П (сірий) 450х40х203</v>
      </c>
      <c r="C260" s="59" t="s">
        <v>6</v>
      </c>
      <c r="D260" s="59">
        <v>1</v>
      </c>
      <c r="E260" s="91" t="s">
        <v>910</v>
      </c>
    </row>
    <row r="261" spans="1:5">
      <c r="A261" s="21">
        <f t="shared" si="5"/>
        <v>260</v>
      </c>
      <c r="B261" s="85" t="str">
        <f ca="1">IFERROR(__xludf.DUMMYFUNCTION("GOOGLETRANSLATE(B692:B707,""RU"",""UK"")"),"Круг  шліф. 95А16П 450х40х203")</f>
        <v>Круг  шліф. 95А16П 450х40х203</v>
      </c>
      <c r="C261" s="35" t="s">
        <v>6</v>
      </c>
      <c r="D261" s="35">
        <v>1</v>
      </c>
      <c r="E261" s="96" t="s">
        <v>84</v>
      </c>
    </row>
    <row r="262" spans="1:5">
      <c r="A262" s="21">
        <f t="shared" si="5"/>
        <v>261</v>
      </c>
      <c r="B262" s="85" t="str">
        <f ca="1">IFERROR(__xludf.DUMMYFUNCTION("GOOGLETRANSLATE(B693:B708,""RU"",""UK"")"),"Круг  шліф. 25А 40п(білий) 450х40х203")</f>
        <v>Круг  шліф. 25А 40п(білий) 450х40х203</v>
      </c>
      <c r="C262" s="59" t="s">
        <v>6</v>
      </c>
      <c r="D262" s="59">
        <v>4</v>
      </c>
      <c r="E262" s="91" t="s">
        <v>84</v>
      </c>
    </row>
    <row r="263" spans="1:5">
      <c r="A263" s="21">
        <f t="shared" si="5"/>
        <v>262</v>
      </c>
      <c r="B263" s="85" t="str">
        <f ca="1">IFERROR(__xludf.DUMMYFUNCTION("GOOGLETRANSLATE(B694:B709,""RU"",""UK"")"),"Круг  шліф. 64С 40П СТ2 450х40х203")</f>
        <v>Круг  шліф. 64С 40П СТ2 450х40х203</v>
      </c>
      <c r="C263" s="59" t="s">
        <v>6</v>
      </c>
      <c r="D263" s="59">
        <v>2</v>
      </c>
      <c r="E263" s="91" t="s">
        <v>84</v>
      </c>
    </row>
    <row r="264" spans="1:5">
      <c r="A264" s="21">
        <f t="shared" si="5"/>
        <v>263</v>
      </c>
      <c r="B264" s="85" t="str">
        <f ca="1">IFERROR(__xludf.DUMMYFUNCTION("GOOGLETRANSLATE(B695:B710,""RU"",""UK"")"),"Круг  шліф. 64С 40П (зелене) 450х40х127")</f>
        <v>Круг  шліф. 64С 40П (зелене) 450х40х127</v>
      </c>
      <c r="C264" s="59" t="s">
        <v>6</v>
      </c>
      <c r="D264" s="59">
        <v>1</v>
      </c>
      <c r="E264" s="91" t="s">
        <v>84</v>
      </c>
    </row>
    <row r="265" spans="1:5">
      <c r="A265" s="21">
        <f t="shared" si="5"/>
        <v>264</v>
      </c>
      <c r="B265" s="85" t="str">
        <f ca="1">IFERROR(__xludf.DUMMYFUNCTION("GOOGLETRANSLATE(B696:B711,""RU"",""UK"")"),"Круг  шліф. 92А (бузковий) 450х40х127")</f>
        <v>Круг  шліф. 92А (бузковий) 450х40х127</v>
      </c>
      <c r="C265" s="35" t="s">
        <v>6</v>
      </c>
      <c r="D265" s="35">
        <v>1</v>
      </c>
      <c r="E265" s="96" t="s">
        <v>84</v>
      </c>
    </row>
    <row r="266" spans="1:5">
      <c r="A266" s="21">
        <f t="shared" si="5"/>
        <v>265</v>
      </c>
      <c r="B266" s="85" t="str">
        <f ca="1">IFERROR(__xludf.DUMMYFUNCTION("GOOGLETRANSLATE(B697:B712,""RU"",""UK"")"),"Круг  шліф. 92А (бузковий) 450х50х127")</f>
        <v>Круг  шліф. 92А (бузковий) 450х50х127</v>
      </c>
      <c r="C266" s="35" t="s">
        <v>6</v>
      </c>
      <c r="D266" s="35">
        <v>6</v>
      </c>
      <c r="E266" s="96" t="s">
        <v>84</v>
      </c>
    </row>
    <row r="267" spans="1:5">
      <c r="A267" s="21">
        <f t="shared" si="5"/>
        <v>266</v>
      </c>
      <c r="B267" s="85" t="str">
        <f ca="1">IFERROR(__xludf.DUMMYFUNCTION("GOOGLETRANSLATE(B698:B713,""RU"",""UK"")"),"Круг  шліф. 25А 40П С1(білий) 450х50х127")</f>
        <v>Круг  шліф. 25А 40П С1(білий) 450х50х127</v>
      </c>
      <c r="C267" s="59" t="s">
        <v>6</v>
      </c>
      <c r="D267" s="59">
        <v>3</v>
      </c>
      <c r="E267" s="91" t="s">
        <v>84</v>
      </c>
    </row>
    <row r="268" spans="1:5">
      <c r="A268" s="21">
        <f t="shared" si="5"/>
        <v>267</v>
      </c>
      <c r="B268" s="85" t="str">
        <f ca="1">IFERROR(__xludf.DUMMYFUNCTION("GOOGLETRANSLATE(B699:B714,""RU"",""UK"")"),"Круг  шліф. 14А 40П СМ1 (сірий) 450х50х203")</f>
        <v>Круг  шліф. 14А 40П СМ1 (сірий) 450х50х203</v>
      </c>
      <c r="C268" s="37" t="s">
        <v>6</v>
      </c>
      <c r="D268" s="37">
        <v>1</v>
      </c>
      <c r="E268" s="92" t="s">
        <v>84</v>
      </c>
    </row>
    <row r="269" spans="1:5">
      <c r="A269" s="21">
        <f t="shared" si="5"/>
        <v>268</v>
      </c>
      <c r="B269" s="85" t="str">
        <f ca="1">IFERROR(__xludf.DUMMYFUNCTION("GOOGLETRANSLATE(B700:B715,""RU"",""UK"")"),"Круг  шліф. 25А 40П СМ1/C1/CТ (білий) 450х50х203")</f>
        <v>Круг  шліф. 25А 40П СМ1/C1/CТ (білий) 450х50х203</v>
      </c>
      <c r="C269" s="37" t="s">
        <v>6</v>
      </c>
      <c r="D269" s="37" t="s">
        <v>971</v>
      </c>
      <c r="E269" s="92" t="s">
        <v>84</v>
      </c>
    </row>
    <row r="270" spans="1:5">
      <c r="A270" s="21">
        <f t="shared" si="5"/>
        <v>269</v>
      </c>
      <c r="B270" s="85" t="str">
        <f ca="1">IFERROR(__xludf.DUMMYFUNCTION("GOOGLETRANSLATE(B701:B716,""RU"",""UK"")"),"Круг  шліф. 64С 40П 450х50х203")</f>
        <v>Круг  шліф. 64С 40П 450х50х203</v>
      </c>
      <c r="C270" s="37" t="s">
        <v>6</v>
      </c>
      <c r="D270" s="37">
        <v>1</v>
      </c>
      <c r="E270" s="92" t="s">
        <v>84</v>
      </c>
    </row>
    <row r="271" spans="1:5">
      <c r="A271" s="21">
        <f t="shared" si="5"/>
        <v>270</v>
      </c>
      <c r="B271" s="85" t="str">
        <f ca="1">IFERROR(__xludf.DUMMYFUNCTION("GOOGLETRANSLATE(B702:B717,""RU"",""UK"")"),"Круг  шліф. 14А 25П СТ1(сірий) 450х63х203")</f>
        <v>Круг  шліф. 14А 25П СТ1(сірий) 450х63х203</v>
      </c>
      <c r="C271" s="37" t="s">
        <v>6</v>
      </c>
      <c r="D271" s="37">
        <v>1</v>
      </c>
      <c r="E271" s="92" t="s">
        <v>84</v>
      </c>
    </row>
    <row r="272" spans="1:5">
      <c r="A272" s="21">
        <f t="shared" si="5"/>
        <v>271</v>
      </c>
      <c r="B272" s="85" t="str">
        <f ca="1">IFERROR(__xludf.DUMMYFUNCTION("GOOGLETRANSLATE(B702:B717,""RU"",""UK"")"),"Круг  шліф. 14А 40П СМ(сірий) 450х63х203")</f>
        <v>Круг  шліф. 14А 40П СМ(сірий) 450х63х203</v>
      </c>
      <c r="C272" s="37" t="s">
        <v>6</v>
      </c>
      <c r="D272" s="37">
        <v>2</v>
      </c>
      <c r="E272" s="92" t="s">
        <v>84</v>
      </c>
    </row>
    <row r="273" spans="1:5">
      <c r="A273" s="21">
        <f t="shared" si="5"/>
        <v>272</v>
      </c>
      <c r="B273" s="85" t="str">
        <f ca="1">IFERROR(__xludf.DUMMYFUNCTION("GOOGLETRANSLATE(B703:B718,""RU"",""UK"")"),"Круг  шліф. 14А 40П (сірий) 450х63х203 Б/в")</f>
        <v>Круг  шліф. 14А 40П (сірий) 450х63х203 Б/в</v>
      </c>
      <c r="C273" s="37" t="s">
        <v>6</v>
      </c>
      <c r="D273" s="37">
        <v>1</v>
      </c>
      <c r="E273" s="92" t="s">
        <v>71</v>
      </c>
    </row>
    <row r="274" spans="1:5">
      <c r="A274" s="21">
        <f t="shared" si="5"/>
        <v>273</v>
      </c>
      <c r="B274" s="85" t="str">
        <f ca="1">IFERROR(__xludf.DUMMYFUNCTION("GOOGLETRANSLATE(B704:B719,""RU"",""UK"")"),"Круг  шліф. 14А 40П (сірий) 470х63х203 Б/в")</f>
        <v>Круг  шліф. 14А 40П (сірий) 470х63х203 Б/в</v>
      </c>
      <c r="C274" s="37" t="s">
        <v>6</v>
      </c>
      <c r="D274" s="37">
        <v>1</v>
      </c>
      <c r="E274" s="92" t="s">
        <v>71</v>
      </c>
    </row>
    <row r="275" spans="1:5">
      <c r="A275" s="21">
        <f t="shared" si="5"/>
        <v>274</v>
      </c>
      <c r="B275" s="85" t="str">
        <f ca="1">IFERROR(__xludf.DUMMYFUNCTION("GOOGLETRANSLATE(B705:B720,""RU"",""UK"")"),"Круг  шліф. 64С 40П CМ/СМ2/М3 450х63х203")</f>
        <v>Круг  шліф. 64С 40П CМ/СМ2/М3 450х63х203</v>
      </c>
      <c r="C275" s="59" t="s">
        <v>6</v>
      </c>
      <c r="D275" s="59" t="s">
        <v>6085</v>
      </c>
      <c r="E275" s="91" t="s">
        <v>50</v>
      </c>
    </row>
    <row r="276" spans="1:5">
      <c r="A276" s="21">
        <f t="shared" ref="A276:A330" si="6">A275+1</f>
        <v>275</v>
      </c>
      <c r="B276" s="164" t="str">
        <f ca="1">IFERROR(__xludf.DUMMYFUNCTION("GOOGLETRANSLATE(B706:B721,""RU"",""UK"")"),"Круг  шліф. 24А 25П СМ1 450х63х203")</f>
        <v>Круг  шліф. 24А 25П СМ1 450х63х203</v>
      </c>
      <c r="C276" s="37" t="s">
        <v>6</v>
      </c>
      <c r="D276" s="37">
        <v>0</v>
      </c>
      <c r="E276" s="92" t="s">
        <v>50</v>
      </c>
    </row>
    <row r="277" spans="1:5">
      <c r="A277" s="21">
        <f t="shared" si="6"/>
        <v>276</v>
      </c>
      <c r="B277" s="85" t="str">
        <f ca="1">IFERROR(__xludf.DUMMYFUNCTION("GOOGLETRANSLATE(B707:B722,""RU"",""UK"")"),"Круг  шліф. 92А 16П 450х63х203 СМ")</f>
        <v>Круг  шліф. 92А 16П 450х63х203 СМ</v>
      </c>
      <c r="C277" s="42" t="s">
        <v>6</v>
      </c>
      <c r="D277" s="42">
        <v>1</v>
      </c>
      <c r="E277" s="98" t="s">
        <v>12</v>
      </c>
    </row>
    <row r="278" spans="1:5">
      <c r="A278" s="21">
        <f t="shared" si="6"/>
        <v>277</v>
      </c>
      <c r="B278" s="85" t="str">
        <f ca="1">IFERROR(__xludf.DUMMYFUNCTION("GOOGLETRANSLATE(B708:B723,""RU"",""UK"")"),"Круг  шліф. 93А 500х40х203")</f>
        <v>Круг  шліф. 93А 500х40х203</v>
      </c>
      <c r="C278" s="35" t="s">
        <v>6</v>
      </c>
      <c r="D278" s="35">
        <v>1</v>
      </c>
      <c r="E278" s="96" t="s">
        <v>50</v>
      </c>
    </row>
    <row r="279" spans="1:5">
      <c r="A279" s="21">
        <f t="shared" si="6"/>
        <v>278</v>
      </c>
      <c r="B279" s="85" t="str">
        <f ca="1">IFERROR(__xludf.DUMMYFUNCTION("GOOGLETRANSLATE(B709:B724,""RU"",""UK"")"),"Круг  шліф. 14А 40П СТ3 500х50х203")</f>
        <v>Круг  шліф. 14А 40П СТ3 500х50х203</v>
      </c>
      <c r="C279" s="59" t="s">
        <v>6</v>
      </c>
      <c r="D279" s="59">
        <v>2</v>
      </c>
      <c r="E279" s="91" t="s">
        <v>14</v>
      </c>
    </row>
    <row r="280" spans="1:5">
      <c r="A280" s="21">
        <f t="shared" si="6"/>
        <v>279</v>
      </c>
      <c r="B280" s="85" t="str">
        <f ca="1">IFERROR(__xludf.DUMMYFUNCTION("GOOGLETRANSLATE(B710:B725,""RU"",""UK"")"),"Круг  шліф. 25А 40П СТ 500х50х203")</f>
        <v>Круг  шліф. 25А 40П СТ 500х50х203</v>
      </c>
      <c r="C280" s="59" t="s">
        <v>6</v>
      </c>
      <c r="D280" s="59" t="s">
        <v>983</v>
      </c>
      <c r="E280" s="91" t="s">
        <v>50</v>
      </c>
    </row>
    <row r="281" spans="1:5">
      <c r="A281" s="21">
        <f t="shared" si="6"/>
        <v>280</v>
      </c>
      <c r="B281" s="164" t="str">
        <f ca="1">IFERROR(__xludf.DUMMYFUNCTION("GOOGLETRANSLATE(B711:B726,""RU"",""UK"")"),"Круг  шліф. 92А 25П СМ2 500х50х203")</f>
        <v>Круг  шліф. 92А 25П СМ2 500х50х203</v>
      </c>
      <c r="C281" s="35" t="s">
        <v>6</v>
      </c>
      <c r="D281" s="35">
        <v>0</v>
      </c>
      <c r="E281" s="96" t="s">
        <v>50</v>
      </c>
    </row>
    <row r="282" spans="1:5">
      <c r="A282" s="21">
        <f t="shared" si="6"/>
        <v>281</v>
      </c>
      <c r="B282" s="164" t="str">
        <f ca="1">IFERROR(__xludf.DUMMYFUNCTION("GOOGLETRANSLATE(B712:B727,""RU"",""UK"")"),"Круг  шліф.14А 40П СМ (сірий) 500х63х203")</f>
        <v>Круг  шліф.14А 40П СМ (сірий) 500х63х203</v>
      </c>
      <c r="C282" s="37" t="s">
        <v>6</v>
      </c>
      <c r="D282" s="37">
        <v>0</v>
      </c>
      <c r="E282" s="92" t="s">
        <v>12</v>
      </c>
    </row>
    <row r="283" spans="1:5">
      <c r="A283" s="21">
        <f t="shared" si="6"/>
        <v>282</v>
      </c>
      <c r="B283" s="164" t="str">
        <f ca="1">IFERROR(__xludf.DUMMYFUNCTION("GOOGLETRANSLATE(B713:B728,""RU"",""UK"")"),"Круг  шліф. 64С 40Н Ст1 500х63х203")</f>
        <v>Круг  шліф. 64С 40Н Ст1 500х63х203</v>
      </c>
      <c r="C283" s="59" t="s">
        <v>6</v>
      </c>
      <c r="D283" s="59">
        <v>0</v>
      </c>
      <c r="E283" s="91" t="s">
        <v>61</v>
      </c>
    </row>
    <row r="284" spans="1:5">
      <c r="A284" s="21">
        <f t="shared" si="6"/>
        <v>283</v>
      </c>
      <c r="B284" s="85" t="str">
        <f ca="1">IFERROR(__xludf.DUMMYFUNCTION("GOOGLETRANSLATE(B714:B729,""RU"",""UK"")"),"Круг  шліф. 92А 25П С1 500х63х203")</f>
        <v>Круг  шліф. 92А 25П С1 500х63х203</v>
      </c>
      <c r="C284" s="35" t="s">
        <v>6</v>
      </c>
      <c r="D284" s="35">
        <v>6</v>
      </c>
      <c r="E284" s="96" t="s">
        <v>61</v>
      </c>
    </row>
    <row r="285" spans="1:5">
      <c r="A285" s="21">
        <f t="shared" si="6"/>
        <v>284</v>
      </c>
      <c r="B285" s="85" t="str">
        <f ca="1">IFERROR(__xludf.DUMMYFUNCTION("GOOGLETRANSLATE(B715:B730,""RU"",""UK"")"),"Круг  шліф. 91А 40П СТ1/СМ2 500х63х203")</f>
        <v>Круг  шліф. 91А 40П СТ1/СМ2 500х63х203</v>
      </c>
      <c r="C285" s="35" t="s">
        <v>6</v>
      </c>
      <c r="D285" s="35" t="s">
        <v>920</v>
      </c>
      <c r="E285" s="96" t="s">
        <v>61</v>
      </c>
    </row>
    <row r="286" spans="1:5">
      <c r="A286" s="21">
        <f t="shared" si="6"/>
        <v>285</v>
      </c>
      <c r="B286" s="85" t="str">
        <f ca="1">IFERROR(__xludf.DUMMYFUNCTION("GOOGLETRANSLATE(B716:B731,""RU"",""UK"")"),"Круг  шліф. 92А 50Н СТ 500х63х203")</f>
        <v>Круг  шліф. 92А 50Н СТ 500х63х203</v>
      </c>
      <c r="C286" s="35" t="s">
        <v>6</v>
      </c>
      <c r="D286" s="35">
        <v>9</v>
      </c>
      <c r="E286" s="96" t="s">
        <v>61</v>
      </c>
    </row>
    <row r="287" spans="1:5">
      <c r="A287" s="21">
        <f t="shared" si="6"/>
        <v>286</v>
      </c>
      <c r="B287" s="85" t="str">
        <f ca="1">IFERROR(__xludf.DUMMYFUNCTION("GOOGLETRANSLATE(B717:B732,""RU"",""UK"")"),"Круг  шліф. 25А 40П (біле) 600х50х305")</f>
        <v>Круг  шліф. 25А 40П (біле) 600х50х305</v>
      </c>
      <c r="C287" s="59" t="s">
        <v>6</v>
      </c>
      <c r="D287" s="59">
        <v>3</v>
      </c>
      <c r="E287" s="91" t="s">
        <v>991</v>
      </c>
    </row>
    <row r="288" spans="1:5">
      <c r="A288" s="21">
        <f t="shared" si="6"/>
        <v>287</v>
      </c>
      <c r="B288" s="85" t="str">
        <f ca="1">IFERROR(__xludf.DUMMYFUNCTION("GOOGLETRANSLATE(B718:B733,""RU"",""UK"")"),"Круг  шліф. 25А 40П С1, С2 (білий) 600х63х305")</f>
        <v>Круг  шліф. 25А 40П С1, С2 (білий) 600х63х305</v>
      </c>
      <c r="C288" s="59" t="s">
        <v>6</v>
      </c>
      <c r="D288" s="59">
        <v>13</v>
      </c>
      <c r="E288" s="91" t="s">
        <v>48</v>
      </c>
    </row>
    <row r="289" spans="1:5">
      <c r="A289" s="21">
        <f t="shared" si="6"/>
        <v>288</v>
      </c>
      <c r="B289" s="85" t="str">
        <f ca="1">IFERROR(__xludf.DUMMYFUNCTION("GOOGLETRANSLATE(B718:B733,""RU"",""UK"")"),"Круг  шліф. 25А 50П СМ2(білий) 600х63х305")</f>
        <v>Круг  шліф. 25А 50П СМ2(білий) 600х63х305</v>
      </c>
      <c r="C289" s="59" t="s">
        <v>6</v>
      </c>
      <c r="D289" s="59">
        <v>1</v>
      </c>
      <c r="E289" s="91" t="s">
        <v>48</v>
      </c>
    </row>
    <row r="290" spans="1:5">
      <c r="A290" s="21">
        <f t="shared" si="6"/>
        <v>289</v>
      </c>
      <c r="B290" s="85" t="str">
        <f ca="1">IFERROR(__xludf.DUMMYFUNCTION("GOOGLETRANSLATE(B719:B734,""RU"",""UK"")"),"Круг  шліф. 25А 25П М3 (білий) 600х63х305")</f>
        <v>Круг  шліф. 25А 25П М3 (білий) 600х63х305</v>
      </c>
      <c r="C290" s="59" t="s">
        <v>6</v>
      </c>
      <c r="D290" s="59">
        <v>1</v>
      </c>
      <c r="E290" s="91" t="s">
        <v>48</v>
      </c>
    </row>
    <row r="291" spans="1:5">
      <c r="A291" s="21">
        <f t="shared" si="6"/>
        <v>290</v>
      </c>
      <c r="B291" s="85" t="str">
        <f ca="1">IFERROR(__xludf.DUMMYFUNCTION("GOOGLETRANSLATE(B720:B735,""RU"",""UK"")"),"Круг  шліф. 14А 40П СТ/СТ1/СТ3 600х63х305")</f>
        <v>Круг  шліф. 14А 40П СТ/СТ1/СТ3 600х63х305</v>
      </c>
      <c r="C291" s="37" t="s">
        <v>6</v>
      </c>
      <c r="D291" s="37" t="s">
        <v>996</v>
      </c>
      <c r="E291" s="91" t="s">
        <v>59</v>
      </c>
    </row>
    <row r="292" spans="1:5">
      <c r="A292" s="21">
        <f t="shared" si="6"/>
        <v>291</v>
      </c>
      <c r="B292" s="85" t="str">
        <f ca="1">IFERROR(__xludf.DUMMYFUNCTION("GOOGLETRANSLATE(B721:B736,""RU"",""UK"")"),"Круг  шліф. 14А 40П С1/СМ 600х63х305")</f>
        <v>Круг  шліф. 14А 40П С1/СМ 600х63х305</v>
      </c>
      <c r="C292" s="37" t="s">
        <v>6</v>
      </c>
      <c r="D292" s="37" t="s">
        <v>749</v>
      </c>
      <c r="E292" s="91" t="s">
        <v>59</v>
      </c>
    </row>
    <row r="293" spans="1:5">
      <c r="A293" s="21">
        <f t="shared" si="6"/>
        <v>292</v>
      </c>
      <c r="B293" s="85" t="str">
        <f ca="1">IFERROR(__xludf.DUMMYFUNCTION("GOOGLETRANSLATE(B722:B737,""RU"",""UK"")"),"Круг  шліф. 14А 25П СМ1 600х63х305")</f>
        <v>Круг  шліф. 14А 25П СМ1 600х63х305</v>
      </c>
      <c r="C293" s="59" t="s">
        <v>6</v>
      </c>
      <c r="D293" s="59">
        <v>1</v>
      </c>
      <c r="E293" s="91" t="s">
        <v>59</v>
      </c>
    </row>
    <row r="294" spans="1:5">
      <c r="A294" s="21">
        <f t="shared" si="6"/>
        <v>293</v>
      </c>
      <c r="B294" s="164" t="str">
        <f ca="1">IFERROR(__xludf.DUMMYFUNCTION("GOOGLETRANSLATE(B723:B738,""RU"",""UK"")"),"Круг  шліф. 64С 40Н(F46) С1 600х63х305")</f>
        <v>Круг  шліф. 64С 40Н(F46) С1 600х63х305</v>
      </c>
      <c r="C294" s="59" t="s">
        <v>6</v>
      </c>
      <c r="D294" s="59">
        <v>0</v>
      </c>
      <c r="E294" s="91" t="s">
        <v>1000</v>
      </c>
    </row>
    <row r="295" spans="1:5">
      <c r="A295" s="21">
        <f t="shared" si="6"/>
        <v>294</v>
      </c>
      <c r="B295" s="85" t="str">
        <f ca="1">IFERROR(__xludf.DUMMYFUNCTION("GOOGLETRANSLATE(B724:B739,""RU"",""UK"")"),"Круг  шліф. 92А 25П СТ1 (сирен.) 600х63х305")</f>
        <v>Круг  шліф. 92А 25П СТ1 (сирен.) 600х63х305</v>
      </c>
      <c r="C295" s="35" t="s">
        <v>6</v>
      </c>
      <c r="D295" s="35">
        <v>7</v>
      </c>
      <c r="E295" s="96" t="s">
        <v>1002</v>
      </c>
    </row>
    <row r="296" spans="1:5">
      <c r="A296" s="21">
        <f t="shared" si="6"/>
        <v>295</v>
      </c>
      <c r="B296" s="164" t="str">
        <f ca="1">IFERROR(__xludf.DUMMYFUNCTION("GOOGLETRANSLATE(B725:B740,""RU"",""UK"")"),"Круг  шліф. 96А 40П С2 600х63х305 (50м/с)")</f>
        <v>Круг  шліф. 96А 40П С2 600х63х305 (50м/с)</v>
      </c>
      <c r="C296" s="35" t="s">
        <v>6</v>
      </c>
      <c r="D296" s="35">
        <v>0</v>
      </c>
      <c r="E296" s="96" t="s">
        <v>1002</v>
      </c>
    </row>
    <row r="297" spans="1:5">
      <c r="A297" s="21">
        <f t="shared" si="6"/>
        <v>296</v>
      </c>
      <c r="B297" s="85" t="str">
        <f ca="1">IFERROR(__xludf.DUMMYFUNCTION("GOOGLETRANSLATE(B726:B741,""RU"",""UK"")"),"Круг  шліф. 25А 40П (біле) 600х80х305 СМ2 / СМ1")</f>
        <v>Круг  шліф. 25А 40П (біле) 600х80х305 СМ2 / СМ1</v>
      </c>
      <c r="C297" s="59" t="s">
        <v>6</v>
      </c>
      <c r="D297" s="59" t="s">
        <v>1005</v>
      </c>
      <c r="E297" s="91" t="s">
        <v>1006</v>
      </c>
    </row>
    <row r="298" spans="1:5">
      <c r="A298" s="21">
        <f t="shared" si="6"/>
        <v>297</v>
      </c>
      <c r="B298" s="85" t="str">
        <f ca="1">IFERROR(__xludf.DUMMYFUNCTION("GOOGLETRANSLATE(B727:B742,""RU"",""UK"")"),"Круг  шліф. 92А 40П СМ2 (сирен.) 750х100х305")</f>
        <v>Круг  шліф. 92А 40П СМ2 (сирен.) 750х100х305</v>
      </c>
      <c r="C298" s="35" t="s">
        <v>6</v>
      </c>
      <c r="D298" s="35">
        <v>1</v>
      </c>
      <c r="E298" s="96" t="s">
        <v>1008</v>
      </c>
    </row>
    <row r="299" spans="1:5">
      <c r="A299" s="21">
        <f t="shared" si="6"/>
        <v>298</v>
      </c>
      <c r="B299" s="85" t="str">
        <f ca="1">IFERROR(__xludf.DUMMYFUNCTION("GOOGLETRANSLATE(B728:B743,""RU"",""UK"")"),"Брусок 25А 16х16х150")</f>
        <v>Брусок 25А 16х16х150</v>
      </c>
      <c r="C299" s="59" t="s">
        <v>6</v>
      </c>
      <c r="D299" s="59">
        <v>35</v>
      </c>
      <c r="E299" s="91" t="s">
        <v>292</v>
      </c>
    </row>
    <row r="300" spans="1:5">
      <c r="A300" s="21">
        <f t="shared" si="6"/>
        <v>299</v>
      </c>
      <c r="B300" s="85" t="str">
        <f ca="1">IFERROR(__xludf.DUMMYFUNCTION("GOOGLETRANSLATE(B729:B744,""RU"",""UK"")"),"Брусок 64С 200х20х20")</f>
        <v>Брусок 64С 200х20х20</v>
      </c>
      <c r="C300" s="59" t="s">
        <v>6</v>
      </c>
      <c r="D300" s="59">
        <v>19</v>
      </c>
      <c r="E300" s="91" t="s">
        <v>167</v>
      </c>
    </row>
    <row r="301" spans="1:5">
      <c r="A301" s="21">
        <f t="shared" si="6"/>
        <v>300</v>
      </c>
      <c r="B301" s="85" t="str">
        <f ca="1">IFERROR(__xludf.DUMMYFUNCTION("GOOGLETRANSLATE(B730:B745,""RU"",""UK"")"),"Брусок 64С 150х25х16")</f>
        <v>Брусок 64С 150х25х16</v>
      </c>
      <c r="C301" s="59" t="s">
        <v>6</v>
      </c>
      <c r="D301" s="59">
        <v>7</v>
      </c>
      <c r="E301" s="91" t="s">
        <v>134</v>
      </c>
    </row>
    <row r="302" spans="1:5">
      <c r="A302" s="21">
        <f t="shared" si="6"/>
        <v>301</v>
      </c>
      <c r="B302" s="85" t="str">
        <f ca="1">IFERROR(__xludf.DUMMYFUNCTION("GOOGLETRANSLATE(B731:B746,""RU"",""UK"")"),"Брусок 14А 150х50х10/24А 150х20х16")</f>
        <v>Брусок 14А 150х50х10/24А 150х20х16</v>
      </c>
      <c r="C302" s="59" t="s">
        <v>6</v>
      </c>
      <c r="D302" s="59" t="s">
        <v>1013</v>
      </c>
      <c r="E302" s="91" t="s">
        <v>124</v>
      </c>
    </row>
    <row r="303" spans="1:5">
      <c r="A303" s="21">
        <f t="shared" si="6"/>
        <v>302</v>
      </c>
      <c r="B303" s="85" t="str">
        <f ca="1">IFERROR(__xludf.DUMMYFUNCTION("GOOGLETRANSLATE(B732:B747,""RU"",""UK"")"),"Брусок 64С 150х16х16")</f>
        <v>Брусок 64С 150х16х16</v>
      </c>
      <c r="C303" s="59" t="s">
        <v>6</v>
      </c>
      <c r="D303" s="59">
        <v>3</v>
      </c>
      <c r="E303" s="91" t="s">
        <v>366</v>
      </c>
    </row>
    <row r="304" spans="1:5">
      <c r="A304" s="21">
        <f t="shared" si="6"/>
        <v>303</v>
      </c>
      <c r="B304" s="85" t="str">
        <f ca="1">IFERROR(__xludf.DUMMYFUNCTION("GOOGLETRANSLATE(B733:B748,""RU"",""UK"")"),"Брусок 25А 25А 200х25х25")</f>
        <v>Брусок 25А 25А 200х25х25</v>
      </c>
      <c r="C304" s="59" t="s">
        <v>6</v>
      </c>
      <c r="D304" s="59">
        <v>3</v>
      </c>
      <c r="E304" s="91" t="s">
        <v>134</v>
      </c>
    </row>
    <row r="305" spans="1:5">
      <c r="A305" s="21">
        <f t="shared" si="6"/>
        <v>304</v>
      </c>
      <c r="B305" s="85" t="str">
        <f ca="1">IFERROR(__xludf.DUMMYFUNCTION("GOOGLETRANSLATE(B734:B749,""RU"",""UK"")"),"Брусок 25А 200х20х20")</f>
        <v>Брусок 25А 200х20х20</v>
      </c>
      <c r="C305" s="59" t="s">
        <v>6</v>
      </c>
      <c r="D305" s="59">
        <v>10</v>
      </c>
      <c r="E305" s="91" t="s">
        <v>124</v>
      </c>
    </row>
    <row r="306" spans="1:5">
      <c r="A306" s="21">
        <f t="shared" si="6"/>
        <v>305</v>
      </c>
      <c r="B306" s="85" t="str">
        <f ca="1">IFERROR(__xludf.DUMMYFUNCTION("GOOGLETRANSLATE(B735:B750,""RU"",""UK"")"),"Брусок 25А 100х10х10/64С 100х11х9")</f>
        <v>Брусок 25А 100х10х10/64С 100х11х9</v>
      </c>
      <c r="C306" s="59" t="s">
        <v>6</v>
      </c>
      <c r="D306" s="59" t="s">
        <v>6384</v>
      </c>
      <c r="E306" s="91" t="s">
        <v>292</v>
      </c>
    </row>
    <row r="307" spans="1:5">
      <c r="A307" s="21">
        <f t="shared" si="6"/>
        <v>306</v>
      </c>
      <c r="B307" s="85" t="str">
        <f ca="1">IFERROR(__xludf.DUMMYFUNCTION("GOOGLETRANSLATE(B736:B751,""RU"",""UK"")"),"Державка для виправлення шліф. кіл т/с 32мм")</f>
        <v>Державка для виправлення шліф. кіл т/с 32мм</v>
      </c>
      <c r="C307" s="59" t="s">
        <v>6</v>
      </c>
      <c r="D307" s="160">
        <v>1</v>
      </c>
      <c r="E307" s="91" t="s">
        <v>27</v>
      </c>
    </row>
    <row r="308" spans="1:5">
      <c r="A308" s="21">
        <f t="shared" si="6"/>
        <v>307</v>
      </c>
      <c r="B308" s="85" t="str">
        <f ca="1">IFERROR(__xludf.DUMMYFUNCTION("GOOGLETRANSLATE(B736:B751,""RU"",""UK"")"),"Державка для виправлення шліф. Кіл ДО-40")</f>
        <v>Державка для виправлення шліф. Кіл ДО-40</v>
      </c>
      <c r="C308" s="59" t="s">
        <v>6</v>
      </c>
      <c r="D308" s="160">
        <v>2</v>
      </c>
      <c r="E308" s="91">
        <v>660</v>
      </c>
    </row>
    <row r="309" spans="1:5">
      <c r="A309" s="21">
        <f t="shared" si="6"/>
        <v>308</v>
      </c>
      <c r="B309" s="85" t="str">
        <f ca="1">IFERROR(__xludf.DUMMYFUNCTION("GOOGLETRANSLATE(B737:B752,""RU"",""UK"")"),"Державка для безалм. виправлення шліф. кіл ДО-75мм")</f>
        <v>Державка для безалм. виправлення шліф. кіл ДО-75мм</v>
      </c>
      <c r="C309" s="59" t="s">
        <v>6</v>
      </c>
      <c r="D309" s="59">
        <v>1</v>
      </c>
      <c r="E309" s="91">
        <v>900</v>
      </c>
    </row>
    <row r="310" spans="1:5">
      <c r="A310" s="21">
        <f t="shared" si="6"/>
        <v>309</v>
      </c>
      <c r="B310" s="85" t="str">
        <f ca="1">IFERROR(__xludf.DUMMYFUNCTION("GOOGLETRANSLATE(B738:B753,""RU"",""UK"")"),"Ролики для виправлення кіл алм. ДО-40мм")</f>
        <v>Ролики для виправлення кіл алм. ДО-40мм</v>
      </c>
      <c r="C310" s="59" t="s">
        <v>6</v>
      </c>
      <c r="D310" s="59">
        <v>53</v>
      </c>
      <c r="E310" s="91" t="s">
        <v>140</v>
      </c>
    </row>
    <row r="311" spans="1:5">
      <c r="A311" s="21">
        <f t="shared" si="6"/>
        <v>310</v>
      </c>
      <c r="B311" s="85" t="str">
        <f ca="1">IFERROR(__xludf.DUMMYFUNCTION("GOOGLETRANSLATE(B739:B754,""RU"",""UK"")"),"Ролики для виправлення кіл алм. ДО-75мм")</f>
        <v>Ролики для виправлення кіл алм. ДО-75мм</v>
      </c>
      <c r="C311" s="59" t="s">
        <v>6</v>
      </c>
      <c r="D311" s="59">
        <v>66</v>
      </c>
      <c r="E311" s="91" t="s">
        <v>16</v>
      </c>
    </row>
    <row r="312" spans="1:5">
      <c r="A312" s="21">
        <f t="shared" si="6"/>
        <v>311</v>
      </c>
      <c r="B312" s="85" t="str">
        <f ca="1">IFERROR(__xludf.DUMMYFUNCTION("GOOGLETRANSLATE(B740:B755,""RU"",""UK"")"),"Ролики для виправлення кіл т/с 70мм")</f>
        <v>Ролики для виправлення кіл т/с 70мм</v>
      </c>
      <c r="C312" s="59" t="s">
        <v>6</v>
      </c>
      <c r="D312" s="59">
        <v>1</v>
      </c>
      <c r="E312" s="91" t="s">
        <v>16</v>
      </c>
    </row>
    <row r="313" spans="1:5">
      <c r="A313" s="21">
        <f t="shared" si="6"/>
        <v>312</v>
      </c>
      <c r="B313" s="85" t="str">
        <f ca="1">IFERROR(__xludf.DUMMYFUNCTION("GOOGLETRANSLATE(B741:B756,""RU"",""UK"")"),"Шаріжка зіркоподібна 50х15х2мм")</f>
        <v>Шаріжка зіркоподібна 50х15х2мм</v>
      </c>
      <c r="C313" s="59" t="s">
        <v>6</v>
      </c>
      <c r="D313" s="59">
        <v>115</v>
      </c>
      <c r="E313" s="91" t="s">
        <v>1026</v>
      </c>
    </row>
    <row r="314" spans="1:5">
      <c r="A314" s="21">
        <f t="shared" si="6"/>
        <v>313</v>
      </c>
      <c r="B314" s="85" t="str">
        <f ca="1">IFERROR(__xludf.DUMMYFUNCTION("GOOGLETRANSLATE(B742:B757,""RU"",""UK"")"),"Шаріжка хвилеподібна 50х12х2мм")</f>
        <v>Шаріжка хвилеподібна 50х12х2мм</v>
      </c>
      <c r="C314" s="59" t="s">
        <v>6</v>
      </c>
      <c r="D314" s="59">
        <v>0</v>
      </c>
      <c r="E314" s="91" t="s">
        <v>1026</v>
      </c>
    </row>
    <row r="315" spans="1:5">
      <c r="A315" s="21">
        <f t="shared" si="6"/>
        <v>314</v>
      </c>
      <c r="B315" s="85" t="str">
        <f ca="1">IFERROR(__xludf.DUMMYFUNCTION("GOOGLETRANSLATE(B743:B758,""RU"",""UK"")"),"Шаріжка хвилеподібна 65х12х2мм")</f>
        <v>Шаріжка хвилеподібна 65х12х2мм</v>
      </c>
      <c r="C315" s="59" t="s">
        <v>6</v>
      </c>
      <c r="D315" s="59">
        <v>0</v>
      </c>
      <c r="E315" s="91" t="s">
        <v>124</v>
      </c>
    </row>
    <row r="316" spans="1:5">
      <c r="A316" s="21">
        <f t="shared" si="6"/>
        <v>315</v>
      </c>
      <c r="B316" s="164" t="str">
        <f ca="1">IFERROR(__xludf.DUMMYFUNCTION("GOOGLETRANSLATE(B744:B759,""RU"",""UK"")"),"Державка для виправлення шліф. Кругів без шаріжок")</f>
        <v>Державка для виправлення шліф. Кругів без шаріжок</v>
      </c>
      <c r="C316" s="59" t="s">
        <v>6</v>
      </c>
      <c r="D316" s="59">
        <v>0</v>
      </c>
      <c r="E316" s="91">
        <v>390</v>
      </c>
    </row>
    <row r="317" spans="1:5">
      <c r="A317" s="21">
        <f t="shared" si="6"/>
        <v>316</v>
      </c>
      <c r="B317" s="85" t="str">
        <f ca="1">IFERROR(__xludf.DUMMYFUNCTION("GOOGLETRANSLATE(B745:B760,""RU"",""UK"")"),"Набір голівок шліфувальних (5шт)")</f>
        <v>Набір голівок шліфувальних (5шт)</v>
      </c>
      <c r="C317" s="59" t="s">
        <v>1031</v>
      </c>
      <c r="D317" s="59">
        <v>2</v>
      </c>
      <c r="E317" s="91" t="s">
        <v>136</v>
      </c>
    </row>
    <row r="318" spans="1:5">
      <c r="A318" s="21">
        <f t="shared" si="6"/>
        <v>317</v>
      </c>
      <c r="B318" s="224" t="s">
        <v>6439</v>
      </c>
      <c r="C318" s="59" t="s">
        <v>6</v>
      </c>
      <c r="D318" s="59">
        <v>170</v>
      </c>
      <c r="E318" s="91">
        <v>39</v>
      </c>
    </row>
    <row r="319" spans="1:5">
      <c r="A319" s="21">
        <f t="shared" si="6"/>
        <v>318</v>
      </c>
      <c r="B319" s="85" t="str">
        <f ca="1">IFERROR(__xludf.DUMMYFUNCTION("GOOGLETRANSLATE(B746:B761,""RU"",""UK"")"),"Головка шліфувальний. конічна 25А 20х32х5мм")</f>
        <v>Головка шліфувальний. конічна 25А 20х32х5мм</v>
      </c>
      <c r="C319" s="59" t="s">
        <v>6</v>
      </c>
      <c r="D319" s="59">
        <v>2</v>
      </c>
      <c r="E319" s="91">
        <v>36</v>
      </c>
    </row>
    <row r="320" spans="1:5">
      <c r="A320" s="21">
        <f t="shared" si="6"/>
        <v>319</v>
      </c>
      <c r="B320" s="85" t="str">
        <f ca="1">IFERROR(__xludf.DUMMYFUNCTION("GOOGLETRANSLATE(B747:B762,""RU"",""UK"")"),"Головка шліфувальний. конічна 25А 20х8х6мм")</f>
        <v>Головка шліфувальний. конічна 25А 20х8х6мм</v>
      </c>
      <c r="C320" s="59" t="s">
        <v>6</v>
      </c>
      <c r="D320" s="59">
        <v>1</v>
      </c>
      <c r="E320" s="91">
        <v>24</v>
      </c>
    </row>
    <row r="321" spans="1:5">
      <c r="A321" s="21">
        <f t="shared" si="6"/>
        <v>320</v>
      </c>
      <c r="B321" s="85" t="str">
        <f ca="1">IFERROR(__xludf.DUMMYFUNCTION("GOOGLETRANSLATE(B748:B763,""RU"",""UK"")"),"Головка шліфувальний. Циліндр. 25А 4х8х3")</f>
        <v>Головка шліфувальний. Циліндр. 25А 4х8х3</v>
      </c>
      <c r="C321" s="59" t="s">
        <v>6</v>
      </c>
      <c r="D321" s="59">
        <v>165</v>
      </c>
      <c r="E321" s="91" t="s">
        <v>1035</v>
      </c>
    </row>
    <row r="322" spans="1:5">
      <c r="A322" s="21">
        <f t="shared" si="6"/>
        <v>321</v>
      </c>
      <c r="B322" s="85" t="str">
        <f ca="1">IFERROR(__xludf.DUMMYFUNCTION("GOOGLETRANSLATE(B749:B764,""RU"",""UK"")"),"Головка шліфувальний. Циліндр. 25А 9х25х3/16х8х5/16х20х5")</f>
        <v>Головка шліфувальний. Циліндр. 25А 9х25х3/16х8х5/16х20х5</v>
      </c>
      <c r="C322" s="59" t="s">
        <v>6</v>
      </c>
      <c r="D322" s="59" t="s">
        <v>1037</v>
      </c>
      <c r="E322" s="91" t="s">
        <v>132</v>
      </c>
    </row>
    <row r="323" spans="1:5">
      <c r="A323" s="21">
        <f t="shared" si="6"/>
        <v>322</v>
      </c>
      <c r="B323" s="85" t="str">
        <f ca="1">IFERROR(__xludf.DUMMYFUNCTION("GOOGLETRANSLATE(B750:B765,""RU"",""UK"")"),"Головка шліфувальний. Циліндр. 25А 20х8х6/20х25х5/20х25х6")</f>
        <v>Головка шліфувальний. Циліндр. 25А 20х8х6/20х25х5/20х25х6</v>
      </c>
      <c r="C323" s="59" t="s">
        <v>6</v>
      </c>
      <c r="D323" s="59" t="s">
        <v>1039</v>
      </c>
      <c r="E323" s="91" t="s">
        <v>361</v>
      </c>
    </row>
    <row r="324" spans="1:5">
      <c r="A324" s="21">
        <f t="shared" si="6"/>
        <v>323</v>
      </c>
      <c r="B324" s="85" t="str">
        <f ca="1">IFERROR(__xludf.DUMMYFUNCTION("GOOGLETRANSLATE(B751:B766,""RU"",""UK"")"),"Головка шліфувальний. Циліндр. 25А 8х20х60/6х10х50")</f>
        <v>Головка шліфувальний. Циліндр. 25А 8х20х60/6х10х50</v>
      </c>
      <c r="C324" s="59" t="s">
        <v>6</v>
      </c>
      <c r="D324" s="59" t="s">
        <v>1041</v>
      </c>
      <c r="E324" s="91" t="s">
        <v>132</v>
      </c>
    </row>
    <row r="325" spans="1:5">
      <c r="A325" s="21">
        <f t="shared" si="6"/>
        <v>324</v>
      </c>
      <c r="B325" s="85" t="str">
        <f ca="1">IFERROR(__xludf.DUMMYFUNCTION("GOOGLETRANSLATE(B752:B767,""RU"",""UK"")"),"Головка шліфувальний. Циліндр. 25А 10х25х3")</f>
        <v>Головка шліфувальний. Циліндр. 25А 10х25х3</v>
      </c>
      <c r="C325" s="59" t="s">
        <v>6</v>
      </c>
      <c r="D325" s="59">
        <v>37</v>
      </c>
      <c r="E325" s="91" t="s">
        <v>361</v>
      </c>
    </row>
    <row r="326" spans="1:5">
      <c r="A326" s="21">
        <f t="shared" si="6"/>
        <v>325</v>
      </c>
      <c r="B326" s="85" t="str">
        <f ca="1">IFERROR(__xludf.DUMMYFUNCTION("GOOGLETRANSLATE(B753:B768,""RU"",""UK"")"),"Головка шліфувальний. Циліндр. 5мм/8мм/10х10мм 25А")</f>
        <v>Головка шліфувальний. Циліндр. 5мм/8мм/10х10мм 25А</v>
      </c>
      <c r="C326" s="59" t="s">
        <v>6</v>
      </c>
      <c r="D326" s="59" t="s">
        <v>1044</v>
      </c>
      <c r="E326" s="91" t="s">
        <v>132</v>
      </c>
    </row>
    <row r="327" spans="1:5">
      <c r="A327" s="21">
        <f t="shared" si="6"/>
        <v>326</v>
      </c>
      <c r="B327" s="85" t="str">
        <f ca="1">IFERROR(__xludf.DUMMYFUNCTION("GOOGLETRANSLATE(B754:B769,""RU"",""UK"")"),"Коло повстяне 75х10")</f>
        <v>Коло повстяне 75х10</v>
      </c>
      <c r="C327" s="18" t="s">
        <v>6</v>
      </c>
      <c r="D327" s="59">
        <v>424</v>
      </c>
      <c r="E327" s="99" t="s">
        <v>132</v>
      </c>
    </row>
    <row r="328" spans="1:5">
      <c r="A328" s="21">
        <f t="shared" si="6"/>
        <v>327</v>
      </c>
      <c r="B328" s="85" t="str">
        <f ca="1">IFERROR(__xludf.DUMMYFUNCTION("GOOGLETRANSLATE(B755:B770,""RU"",""UK"")"),"Коло повстяне 330х40мм")</f>
        <v>Коло повстяне 330х40мм</v>
      </c>
      <c r="C328" s="18" t="s">
        <v>6</v>
      </c>
      <c r="D328" s="59">
        <v>1</v>
      </c>
      <c r="E328" s="99">
        <v>1450</v>
      </c>
    </row>
    <row r="329" spans="1:5">
      <c r="A329" s="21">
        <f t="shared" si="6"/>
        <v>328</v>
      </c>
      <c r="B329" s="85" t="str">
        <f ca="1">IFERROR(__xludf.DUMMYFUNCTION("GOOGLETRANSLATE(B755:B770,""RU"",""UK"")"),"Коло повстяне 370х45мм (3кг) ")</f>
        <v xml:space="preserve">Коло повстяне 370х45мм (3кг) </v>
      </c>
      <c r="C329" s="18" t="s">
        <v>6</v>
      </c>
      <c r="D329" s="59">
        <v>1</v>
      </c>
      <c r="E329" s="99">
        <v>1500</v>
      </c>
    </row>
    <row r="330" spans="1:5">
      <c r="A330" s="21">
        <f t="shared" si="6"/>
        <v>329</v>
      </c>
      <c r="B330" s="85" t="str">
        <f ca="1">IFERROR(__xludf.DUMMYFUNCTION("GOOGLETRANSLATE(B755:B770,""RU"",""UK"")"),"Коло повстяне 415х40мм (3кг)")</f>
        <v>Коло повстяне 415х40мм (3кг)</v>
      </c>
      <c r="C330" s="18" t="s">
        <v>6</v>
      </c>
      <c r="D330" s="59">
        <v>1</v>
      </c>
      <c r="E330" s="99">
        <v>1550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2"/>
  <sheetViews>
    <sheetView topLeftCell="A31" zoomScale="190" zoomScaleNormal="190" workbookViewId="0">
      <selection activeCell="D43" sqref="D43"/>
    </sheetView>
  </sheetViews>
  <sheetFormatPr defaultRowHeight="12.75"/>
  <cols>
    <col min="2" max="2" width="65.5703125" customWidth="1"/>
  </cols>
  <sheetData>
    <row r="1" spans="1:5">
      <c r="A1" s="43"/>
      <c r="B1" s="110" t="str">
        <f ca="1">IFERROR(__xludf.DUMMYFUNCTION("GOOGLETRANSLATE(B781:B796,""RU"",""UK"")"),"1. АЛМАЗНИЙ  ІНСТРУМЕНТ")</f>
        <v>1. АЛМАЗНИЙ  ІНСТРУМЕНТ</v>
      </c>
      <c r="C1" s="50"/>
      <c r="D1" s="50"/>
      <c r="E1" s="95"/>
    </row>
    <row r="2" spans="1:5">
      <c r="A2" s="21">
        <v>1</v>
      </c>
      <c r="B2" s="85" t="str">
        <f ca="1">IFERROR(__xludf.DUMMYFUNCTION("GOOGLETRANSLATE(B782:B797,""RU"",""UK"")"),"Круг алмазний коніч. (чашка) 80х3х20х5х20 АС6 100/80 А1")</f>
        <v>Круг алмазний коніч. (чашка) 80х3х20х5х20 АС6 100/80 А1</v>
      </c>
      <c r="C2" s="37" t="s">
        <v>6</v>
      </c>
      <c r="D2" s="37">
        <v>2</v>
      </c>
      <c r="E2" s="92" t="s">
        <v>106</v>
      </c>
    </row>
    <row r="3" spans="1:5">
      <c r="A3" s="21">
        <f t="shared" ref="A3:A34" si="0">A2+1</f>
        <v>2</v>
      </c>
      <c r="B3" s="85" t="str">
        <f ca="1">IFERROR(__xludf.DUMMYFUNCTION("GOOGLETRANSLATE(B783:B798,""RU"",""UK"")"),"Круг алмазний коніч. (чашка) 100х5х3х32х20 АК6 200/160 (мет. осн.)")</f>
        <v>Круг алмазний коніч. (чашка) 100х5х3х32х20 АК6 200/160 (мет. осн.)</v>
      </c>
      <c r="C3" s="37" t="s">
        <v>6</v>
      </c>
      <c r="D3" s="37">
        <v>1</v>
      </c>
      <c r="E3" s="92" t="s">
        <v>53</v>
      </c>
    </row>
    <row r="4" spans="1:5">
      <c r="A4" s="21">
        <f t="shared" si="0"/>
        <v>3</v>
      </c>
      <c r="B4" s="200" t="str">
        <f ca="1">IFERROR(__xludf.DUMMYFUNCTION("GOOGLETRANSLATE(B784:B799,""RU"",""UK"")"),"Круг алмазний коніч. (чашка) 12А245 150х40х10х3х32 АС4 125/100 В2-01 Базис")</f>
        <v>Круг алмазний коніч. (чашка) 12А245 150х40х10х3х32 АС4 125/100 В2-01 Базис</v>
      </c>
      <c r="C4" s="37" t="s">
        <v>6</v>
      </c>
      <c r="D4" s="37">
        <v>0</v>
      </c>
      <c r="E4" s="92">
        <v>780</v>
      </c>
    </row>
    <row r="5" spans="1:5">
      <c r="A5" s="21">
        <f t="shared" si="0"/>
        <v>4</v>
      </c>
      <c r="B5" s="164" t="str">
        <f ca="1">IFERROR(__xludf.DUMMYFUNCTION("GOOGLETRANSLATE(B785:B800,""RU"",""UK"")"),"Круг алмазний коніч. (чашка) 12А245 150х40х20х3х32 АС2 80/63")</f>
        <v>Круг алмазний коніч. (чашка) 12А245 150х40х20х3х32 АС2 80/63</v>
      </c>
      <c r="C5" s="37" t="s">
        <v>6</v>
      </c>
      <c r="D5" s="37">
        <v>0</v>
      </c>
      <c r="E5" s="92" t="s">
        <v>1088</v>
      </c>
    </row>
    <row r="6" spans="1:5">
      <c r="A6" s="21">
        <f t="shared" si="0"/>
        <v>5</v>
      </c>
      <c r="B6" s="85" t="str">
        <f ca="1">IFERROR(__xludf.DUMMYFUNCTION("GOOGLETRANSLATE(B786:B801,""RU"",""UK"")"),"Круг алмазний коніч. (чашка) фронтальна А14К 150х10х3х50 АС4 80/63 А2")</f>
        <v>Круг алмазний коніч. (чашка) фронтальна А14К 150х10х3х50 АС4 80/63 А2</v>
      </c>
      <c r="C6" s="37" t="s">
        <v>6</v>
      </c>
      <c r="D6" s="37">
        <v>2</v>
      </c>
      <c r="E6" s="92" t="s">
        <v>102</v>
      </c>
    </row>
    <row r="7" spans="1:5">
      <c r="A7" s="21">
        <f t="shared" si="0"/>
        <v>6</v>
      </c>
      <c r="B7" s="85" t="str">
        <f ca="1">IFERROR(__xludf.DUMMYFUNCTION("GOOGLETRANSLATE(B787:B802,""RU"",""UK"")"),"Круг алмазний коніч. (чашка) 200х10х50х3 АС4 63/50-4-К1-01")</f>
        <v>Круг алмазний коніч. (чашка) 200х10х50х3 АС4 63/50-4-К1-01</v>
      </c>
      <c r="C7" s="37" t="s">
        <v>6</v>
      </c>
      <c r="D7" s="37">
        <v>1</v>
      </c>
      <c r="E7" s="92" t="s">
        <v>1091</v>
      </c>
    </row>
    <row r="8" spans="1:5">
      <c r="A8" s="21">
        <f t="shared" si="0"/>
        <v>7</v>
      </c>
      <c r="B8" s="85" t="str">
        <f ca="1">IFERROR(__xludf.DUMMYFUNCTION("GOOGLETRANSLATE(B788:B803,""RU"",""UK"")"),"Круг алмазний коніч.(чашка) 200х10х50х3 АС4 125/100 В1")</f>
        <v>Круг алмазний коніч.(чашка) 200х10х50х3 АС4 125/100 В1</v>
      </c>
      <c r="C8" s="37" t="s">
        <v>6</v>
      </c>
      <c r="D8" s="37">
        <v>1</v>
      </c>
      <c r="E8" s="92" t="s">
        <v>1091</v>
      </c>
    </row>
    <row r="9" spans="1:5">
      <c r="A9" s="21">
        <f t="shared" si="0"/>
        <v>8</v>
      </c>
      <c r="B9" s="85" t="str">
        <f ca="1">IFERROR(__xludf.DUMMYFUNCTION("GOOGLETRANSLATE(B789:B804,""RU"",""UK"")"),"Круг алмазний тарільчастий АТ 100х6х20х2 АС5С 125/100 В1")</f>
        <v>Круг алмазний тарільчастий АТ 100х6х20х2 АС5С 125/100 В1</v>
      </c>
      <c r="C9" s="37" t="s">
        <v>6</v>
      </c>
      <c r="D9" s="37">
        <v>10</v>
      </c>
      <c r="E9" s="92" t="s">
        <v>106</v>
      </c>
    </row>
    <row r="10" spans="1:5">
      <c r="A10" s="21">
        <f t="shared" si="0"/>
        <v>9</v>
      </c>
      <c r="B10" s="164" t="str">
        <f ca="1">IFERROR(__xludf.DUMMYFUNCTION("GOOGLETRANSLATE(B790:B805,""RU"",""UK"")"),"Круг алмазний тарільчастий А1Т 125х5х2х32 АС4 125/100 В2-01")</f>
        <v>Круг алмазний тарільчастий А1Т 125х5х2х32 АС4 125/100 В2-01</v>
      </c>
      <c r="C10" s="37" t="s">
        <v>6</v>
      </c>
      <c r="D10" s="37">
        <v>0</v>
      </c>
      <c r="E10" s="92" t="s">
        <v>22</v>
      </c>
    </row>
    <row r="11" spans="1:5">
      <c r="A11" s="21">
        <f t="shared" si="0"/>
        <v>10</v>
      </c>
      <c r="B11" s="85" t="str">
        <f ca="1">IFERROR(__xludf.DUMMYFUNCTION("GOOGLETRANSLATE(B791:B806,""RU"",""UK"")"),"Круг алмазний тарільчастий А1Т 125х5х2х32 АС2С 100/80 -4-В2")</f>
        <v>Круг алмазний тарільчастий А1Т 125х5х2х32 АС2С 100/80 -4-В2</v>
      </c>
      <c r="C11" s="37" t="s">
        <v>6</v>
      </c>
      <c r="D11" s="37">
        <v>1</v>
      </c>
      <c r="E11" s="92" t="s">
        <v>22</v>
      </c>
    </row>
    <row r="12" spans="1:5">
      <c r="A12" s="21">
        <f t="shared" si="0"/>
        <v>11</v>
      </c>
      <c r="B12" s="200" t="str">
        <f ca="1">IFERROR(__xludf.DUMMYFUNCTION("GOOGLETRANSLATE(B792:B807,""RU"",""UK"")"),"Круг алмазний тарільчастий А1Т 125х5х2х32 АС2 160/125 -4-В2-01")</f>
        <v>Круг алмазний тарільчастий А1Т 125х5х2х32 АС2 160/125 -4-В2-01</v>
      </c>
      <c r="C12" s="37" t="s">
        <v>6</v>
      </c>
      <c r="D12" s="37">
        <v>0</v>
      </c>
      <c r="E12" s="92" t="s">
        <v>22</v>
      </c>
    </row>
    <row r="13" spans="1:5">
      <c r="A13" s="21">
        <f t="shared" si="0"/>
        <v>12</v>
      </c>
      <c r="B13" s="85" t="str">
        <f ca="1">IFERROR(__xludf.DUMMYFUNCTION("GOOGLETRANSLATE(B793:B808,""RU"",""UK"")"),"Круг алмазний тарільчастий А1Т 125х5х2х32 АСР 80/63 -4-В1")</f>
        <v>Круг алмазний тарільчастий А1Т 125х5х2х32 АСР 80/63 -4-В1</v>
      </c>
      <c r="C13" s="37" t="s">
        <v>6</v>
      </c>
      <c r="D13" s="37">
        <v>1</v>
      </c>
      <c r="E13" s="92" t="s">
        <v>272</v>
      </c>
    </row>
    <row r="14" spans="1:5">
      <c r="A14" s="21">
        <f t="shared" si="0"/>
        <v>13</v>
      </c>
      <c r="B14" s="85" t="str">
        <f ca="1">IFERROR(__xludf.DUMMYFUNCTION("GOOGLETRANSLATE(B794:B809,""RU"",""UK"")"),"Круг алмазний тарільчастий А1Т 150х5х3х32 АС4 100/80 -4-В2-01")</f>
        <v>Круг алмазний тарільчастий А1Т 150х5х3х32 АС4 100/80 -4-В2-01</v>
      </c>
      <c r="C14" s="37" t="s">
        <v>6</v>
      </c>
      <c r="D14" s="37">
        <v>1</v>
      </c>
      <c r="E14" s="92" t="s">
        <v>53</v>
      </c>
    </row>
    <row r="15" spans="1:5">
      <c r="A15" s="21">
        <f t="shared" si="0"/>
        <v>14</v>
      </c>
      <c r="B15" s="200" t="str">
        <f ca="1">IFERROR(__xludf.DUMMYFUNCTION("GOOGLETRANSLATE(B795:B810,""RU"",""UK"")"),"Круг алмазний тарільчастий АТ 150х10х2х32 АС2 160/125 В2-01")</f>
        <v>Круг алмазний тарільчастий АТ 150х10х2х32 АС2 160/125 В2-01</v>
      </c>
      <c r="C15" s="37" t="s">
        <v>6</v>
      </c>
      <c r="D15" s="37">
        <v>0</v>
      </c>
      <c r="E15" s="92" t="s">
        <v>53</v>
      </c>
    </row>
    <row r="16" spans="1:5">
      <c r="A16" s="21">
        <f t="shared" si="0"/>
        <v>15</v>
      </c>
      <c r="B16" s="85" t="str">
        <f ca="1">IFERROR(__xludf.DUMMYFUNCTION("GOOGLETRANSLATE(B796:B811,""RU"",""UK"")"),"Круг алмазний тарільчастий АТ 150х10х3х32 АС4 80/63")</f>
        <v>Круг алмазний тарільчастий АТ 150х10х3х32 АС4 80/63</v>
      </c>
      <c r="C16" s="37" t="s">
        <v>6</v>
      </c>
      <c r="D16" s="37">
        <v>1</v>
      </c>
      <c r="E16" s="92" t="s">
        <v>53</v>
      </c>
    </row>
    <row r="17" spans="1:5">
      <c r="A17" s="21">
        <f t="shared" si="0"/>
        <v>16</v>
      </c>
      <c r="B17" s="85" t="str">
        <f ca="1">IFERROR(__xludf.DUMMYFUNCTION("GOOGLETRANSLATE(B797:B812,""RU"",""UK"")"),"Круг алмазний тарільчастийе А1Т 150х5х3х32 АС2 80/63 -4-В2-01")</f>
        <v>Круг алмазний тарільчастийе А1Т 150х5х3х32 АС2 80/63 -4-В2-01</v>
      </c>
      <c r="C17" s="37" t="s">
        <v>6</v>
      </c>
      <c r="D17" s="37">
        <v>1</v>
      </c>
      <c r="E17" s="92" t="s">
        <v>53</v>
      </c>
    </row>
    <row r="18" spans="1:5">
      <c r="A18" s="21">
        <f t="shared" si="0"/>
        <v>17</v>
      </c>
      <c r="B18" s="164" t="str">
        <f ca="1">IFERROR(__xludf.DUMMYFUNCTION("GOOGLETRANSLATE(B798:B813,""RU"",""UK"")"),"Круг алмазний ПП 63х10х5х20 мет.основа")</f>
        <v>Круг алмазний ПП 63х10х5х20 мет.основа</v>
      </c>
      <c r="C18" s="37" t="s">
        <v>6</v>
      </c>
      <c r="D18" s="37">
        <v>0</v>
      </c>
      <c r="E18" s="92" t="s">
        <v>319</v>
      </c>
    </row>
    <row r="19" spans="1:5">
      <c r="A19" s="21">
        <f t="shared" si="0"/>
        <v>18</v>
      </c>
      <c r="B19" s="85" t="str">
        <f ca="1">IFERROR(__xludf.DUMMYFUNCTION("GOOGLETRANSLATE(B799:B814,""RU"",""UK"")"),"Круг алмазний ПП 125х6х3х32 АС4 100/80 А2")</f>
        <v>Круг алмазний ПП 125х6х3х32 АС4 100/80 А2</v>
      </c>
      <c r="C19" s="37" t="s">
        <v>6</v>
      </c>
      <c r="D19" s="37">
        <v>6</v>
      </c>
      <c r="E19" s="92" t="s">
        <v>272</v>
      </c>
    </row>
    <row r="20" spans="1:5">
      <c r="A20" s="21">
        <f t="shared" si="0"/>
        <v>19</v>
      </c>
      <c r="B20" s="85" t="str">
        <f ca="1">IFERROR(__xludf.DUMMYFUNCTION("GOOGLETRANSLATE(B800:B815,""RU"",""UK"")"),"Круг алмазний ПП 125х6х3х32 АС20 200/160 М3-16")</f>
        <v>Круг алмазний ПП 125х6х3х32 АС20 200/160 М3-16</v>
      </c>
      <c r="C20" s="37" t="s">
        <v>6</v>
      </c>
      <c r="D20" s="37">
        <v>1</v>
      </c>
      <c r="E20" s="92" t="s">
        <v>272</v>
      </c>
    </row>
    <row r="21" spans="1:5">
      <c r="A21" s="21">
        <f t="shared" si="0"/>
        <v>20</v>
      </c>
      <c r="B21" s="85" t="str">
        <f ca="1">IFERROR(__xludf.DUMMYFUNCTION("GOOGLETRANSLATE(B801:B816,""RU"",""UK"")"),"Круг алмазнийе ПП 125х10х3х32 АС4 125/100 А2")</f>
        <v>Круг алмазнийе ПП 125х10х3х32 АС4 125/100 А2</v>
      </c>
      <c r="C21" s="37" t="s">
        <v>6</v>
      </c>
      <c r="D21" s="37">
        <v>1</v>
      </c>
      <c r="E21" s="92" t="s">
        <v>18</v>
      </c>
    </row>
    <row r="22" spans="1:5">
      <c r="A22" s="21">
        <f t="shared" si="0"/>
        <v>21</v>
      </c>
      <c r="B22" s="85" t="str">
        <f ca="1">IFERROR(__xludf.DUMMYFUNCTION("GOOGLETRANSLATE(B803:B818,""RU"",""UK"")"),"Круг алмазний АПВ 150х5х3х24х32 АСР 160/125 В1")</f>
        <v>Круг алмазний АПВ 150х5х3х24х32 АСР 160/125 В1</v>
      </c>
      <c r="C22" s="37" t="s">
        <v>6</v>
      </c>
      <c r="D22" s="37">
        <v>1</v>
      </c>
      <c r="E22" s="92" t="s">
        <v>283</v>
      </c>
    </row>
    <row r="23" spans="1:5">
      <c r="A23" s="21">
        <f t="shared" si="0"/>
        <v>22</v>
      </c>
      <c r="B23" s="85" t="str">
        <f ca="1">IFERROR(__xludf.DUMMYFUNCTION("GOOGLETRANSLATE(B804:B819,""RU"",""UK"")"),"Круг алмазний АПВ 150х10х4х24х32 АСН 40/28 М2-01")</f>
        <v>Круг алмазний АПВ 150х10х4х24х32 АСН 40/28 М2-01</v>
      </c>
      <c r="C23" s="37" t="s">
        <v>6</v>
      </c>
      <c r="D23" s="37">
        <v>1</v>
      </c>
      <c r="E23" s="92" t="s">
        <v>283</v>
      </c>
    </row>
    <row r="24" spans="1:5">
      <c r="A24" s="21">
        <f t="shared" si="0"/>
        <v>23</v>
      </c>
      <c r="B24" s="85" t="str">
        <f ca="1">IFERROR(__xludf.DUMMYFUNCTION("GOOGLETRANSLATE(B805:B820,""RU"",""UK"")"),"Круг алмазний АПВ 200х10х5х28х50 АС4 100/80 Б1")</f>
        <v>Круг алмазний АПВ 200х10х5х28х50 АС4 100/80 Б1</v>
      </c>
      <c r="C24" s="37" t="s">
        <v>6</v>
      </c>
      <c r="D24" s="37">
        <v>1</v>
      </c>
      <c r="E24" s="92" t="s">
        <v>80</v>
      </c>
    </row>
    <row r="25" spans="1:5">
      <c r="A25" s="21">
        <f t="shared" si="0"/>
        <v>24</v>
      </c>
      <c r="B25" s="85" t="str">
        <f ca="1">IFERROR(__xludf.DUMMYFUNCTION("GOOGLETRANSLATE(B806:B821,""RU"",""UK"")"),"Круг алмазний АПВ 200х10х3х24х50 АСВ 125/100 К1")</f>
        <v>Круг алмазний АПВ 200х10х3х24х50 АСВ 125/100 К1</v>
      </c>
      <c r="C25" s="37" t="s">
        <v>6</v>
      </c>
      <c r="D25" s="37">
        <v>1</v>
      </c>
      <c r="E25" s="92" t="s">
        <v>80</v>
      </c>
    </row>
    <row r="26" spans="1:5">
      <c r="A26" s="21">
        <f t="shared" si="0"/>
        <v>25</v>
      </c>
      <c r="B26" s="85" t="str">
        <f ca="1">IFERROR(__xludf.DUMMYFUNCTION("GOOGLETRANSLATE(B807:B822,""RU"",""UK"")"),"Круг алмазний АПВ 200х10х3х24х50 АСР 100/80 мет. осн. С12")</f>
        <v>Круг алмазний АПВ 200х10х3х24х50 АСР 100/80 мет. осн. С12</v>
      </c>
      <c r="C26" s="37" t="s">
        <v>6</v>
      </c>
      <c r="D26" s="37">
        <v>1</v>
      </c>
      <c r="E26" s="92" t="s">
        <v>80</v>
      </c>
    </row>
    <row r="27" spans="1:5">
      <c r="A27" s="21">
        <f t="shared" si="0"/>
        <v>26</v>
      </c>
      <c r="B27" s="85" t="str">
        <f ca="1">IFERROR(__xludf.DUMMYFUNCTION("GOOGLETRANSLATE(B808:B823,""RU"",""UK"")"),"Круг алмазний АПВ 200х10х5х24х46 АСР 100/80 С12")</f>
        <v>Круг алмазний АПВ 200х10х5х24х46 АСР 100/80 С12</v>
      </c>
      <c r="C27" s="37" t="s">
        <v>6</v>
      </c>
      <c r="D27" s="37">
        <v>1</v>
      </c>
      <c r="E27" s="92" t="s">
        <v>1113</v>
      </c>
    </row>
    <row r="28" spans="1:5">
      <c r="A28" s="21">
        <f t="shared" si="0"/>
        <v>27</v>
      </c>
      <c r="B28" s="85" t="str">
        <f ca="1">IFERROR(__xludf.DUMMYFUNCTION("GOOGLETRANSLATE(B809:B824,""RU"",""UK"")"),"Круг алмазний (коніч. профіль) А2П 250х8х76 АС4 160/125")</f>
        <v>Круг алмазний (коніч. профіль) А2П 250х8х76 АС4 160/125</v>
      </c>
      <c r="C28" s="37" t="s">
        <v>6</v>
      </c>
      <c r="D28" s="37">
        <v>1</v>
      </c>
      <c r="E28" s="92" t="s">
        <v>71</v>
      </c>
    </row>
    <row r="29" spans="1:5">
      <c r="A29" s="21">
        <f t="shared" si="0"/>
        <v>28</v>
      </c>
      <c r="B29" s="85" t="str">
        <f ca="1">IFERROR(__xludf.DUMMYFUNCTION("GOOGLETRANSLATE(B810:B825,""RU"",""UK"")"),"Круг алмазнийе АПП 250х10х3х76 АСР 125/100 А2")</f>
        <v>Круг алмазнийе АПП 250х10х3х76 АСР 125/100 А2</v>
      </c>
      <c r="C29" s="37" t="s">
        <v>6</v>
      </c>
      <c r="D29" s="37">
        <v>1</v>
      </c>
      <c r="E29" s="92" t="s">
        <v>75</v>
      </c>
    </row>
    <row r="30" spans="1:5">
      <c r="A30" s="21">
        <f t="shared" si="0"/>
        <v>29</v>
      </c>
      <c r="B30" s="85" t="str">
        <f ca="1">IFERROR(__xludf.DUMMYFUNCTION("GOOGLETRANSLATE(B811:B826,""RU"",""UK"")"),"Круг алмазний АПП 250х10х5х76 АС4 125/100 А2")</f>
        <v>Круг алмазний АПП 250х10х5х76 АС4 125/100 А2</v>
      </c>
      <c r="C30" s="37" t="s">
        <v>6</v>
      </c>
      <c r="D30" s="37">
        <v>2</v>
      </c>
      <c r="E30" s="92" t="s">
        <v>75</v>
      </c>
    </row>
    <row r="31" spans="1:5">
      <c r="A31" s="21">
        <f t="shared" si="0"/>
        <v>30</v>
      </c>
      <c r="B31" s="85" t="str">
        <f ca="1">IFERROR(__xludf.DUMMYFUNCTION("GOOGLETRANSLATE(B811:B826,""RU"",""UK"")"),"Круг алмазний АПП 250х10х5х76  АС5 125/100 А2")</f>
        <v>Круг алмазний АПП 250х10х5х76  АС5 125/100 А2</v>
      </c>
      <c r="C31" s="37" t="s">
        <v>6</v>
      </c>
      <c r="D31" s="37">
        <v>2</v>
      </c>
      <c r="E31" s="92" t="s">
        <v>75</v>
      </c>
    </row>
    <row r="32" spans="1:5">
      <c r="A32" s="21">
        <f t="shared" si="0"/>
        <v>31</v>
      </c>
      <c r="B32" s="85" t="str">
        <f ca="1">IFERROR(__xludf.DUMMYFUNCTION("GOOGLETRANSLATE(B812:B827,""RU"",""UK"")"),"Круг алмазний АПП 250х15х3х76 АС6 250/200 А1М2")</f>
        <v>Круг алмазний АПП 250х15х3х76 АС6 250/200 А1М2</v>
      </c>
      <c r="C32" s="37" t="s">
        <v>6</v>
      </c>
      <c r="D32" s="37">
        <v>1</v>
      </c>
      <c r="E32" s="92" t="s">
        <v>38</v>
      </c>
    </row>
    <row r="33" spans="1:5">
      <c r="A33" s="21">
        <f t="shared" si="0"/>
        <v>32</v>
      </c>
      <c r="B33" s="85" t="str">
        <f ca="1">IFERROR(__xludf.DUMMYFUNCTION("GOOGLETRANSLATE(B813:B828,""RU"",""UK"")"),"Круг алмазний АПП 250х16х5х76 АСР 100/80 А2")</f>
        <v>Круг алмазний АПП 250х16х5х76 АСР 100/80 А2</v>
      </c>
      <c r="C33" s="37" t="s">
        <v>6</v>
      </c>
      <c r="D33" s="37">
        <v>1</v>
      </c>
      <c r="E33" s="92" t="s">
        <v>38</v>
      </c>
    </row>
    <row r="34" spans="1:5">
      <c r="A34" s="21">
        <f t="shared" si="0"/>
        <v>33</v>
      </c>
      <c r="B34" s="85" t="str">
        <f ca="1">IFERROR(__xludf.DUMMYFUNCTION("GOOGLETRANSLATE(B814:B829,""RU"",""UK"")"),"Круг алмазний АПП 250х16х5х76 АСР 125/100 А2")</f>
        <v>Круг алмазний АПП 250х16х5х76 АСР 125/100 А2</v>
      </c>
      <c r="C34" s="37" t="s">
        <v>6</v>
      </c>
      <c r="D34" s="37">
        <v>1</v>
      </c>
      <c r="E34" s="92" t="s">
        <v>38</v>
      </c>
    </row>
    <row r="35" spans="1:5">
      <c r="A35" s="21">
        <f t="shared" ref="A35:A65" si="1">A34+1</f>
        <v>34</v>
      </c>
      <c r="B35" s="85" t="str">
        <f ca="1">IFERROR(__xludf.DUMMYFUNCTION("GOOGLETRANSLATE(B815:B830,""RU"",""UK"")"),"Круг алмазний АПВ 250х20х3х76 РСВ 100/80 А1М1")</f>
        <v>Круг алмазний АПВ 250х20х3х76 РСВ 100/80 А1М1</v>
      </c>
      <c r="C35" s="37" t="s">
        <v>6</v>
      </c>
      <c r="D35" s="37">
        <v>1</v>
      </c>
      <c r="E35" s="92" t="s">
        <v>10</v>
      </c>
    </row>
    <row r="36" spans="1:5">
      <c r="A36" s="21">
        <f t="shared" si="1"/>
        <v>35</v>
      </c>
      <c r="B36" s="85" t="str">
        <f ca="1">IFERROR(__xludf.DUMMYFUNCTION("GOOGLETRANSLATE(B816:B831,""RU"",""UK"")"),"Круг алмазний АПП 300х15х5х76 АС4 100/80 А2")</f>
        <v>Круг алмазний АПП 300х15х5х76 АС4 100/80 А2</v>
      </c>
      <c r="C36" s="37" t="s">
        <v>6</v>
      </c>
      <c r="D36" s="37">
        <v>4</v>
      </c>
      <c r="E36" s="92" t="s">
        <v>910</v>
      </c>
    </row>
    <row r="37" spans="1:5">
      <c r="A37" s="21">
        <f t="shared" si="1"/>
        <v>36</v>
      </c>
      <c r="B37" s="85" t="str">
        <f ca="1">IFERROR(__xludf.DUMMYFUNCTION("GOOGLETRANSLATE(B816:B831,""RU"",""UK"")"),"Круг алмазний АПП 300х15х5х76 АС5 100/80 А2")</f>
        <v>Круг алмазний АПП 300х15х5х76 АС5 100/80 А2</v>
      </c>
      <c r="C37" s="37" t="s">
        <v>6</v>
      </c>
      <c r="D37" s="37">
        <v>1</v>
      </c>
      <c r="E37" s="92" t="s">
        <v>910</v>
      </c>
    </row>
    <row r="38" spans="1:5">
      <c r="A38" s="21">
        <f t="shared" si="1"/>
        <v>37</v>
      </c>
      <c r="B38" s="85" t="str">
        <f ca="1">IFERROR(__xludf.DUMMYFUNCTION("GOOGLETRANSLATE(B817:B832,""RU"",""UK"")"),"Круг алмазний АПП 300х16х5х76 АСР 80/63 Б1")</f>
        <v>Круг алмазний АПП 300х16х5х76 АСР 80/63 Б1</v>
      </c>
      <c r="C38" s="37" t="s">
        <v>6</v>
      </c>
      <c r="D38" s="37">
        <v>1</v>
      </c>
      <c r="E38" s="92" t="s">
        <v>910</v>
      </c>
    </row>
    <row r="39" spans="1:5">
      <c r="A39" s="21">
        <f t="shared" si="1"/>
        <v>38</v>
      </c>
      <c r="B39" s="85" t="str">
        <f ca="1">IFERROR(__xludf.DUMMYFUNCTION("GOOGLETRANSLATE(B818:B833,""RU"",""UK"")"),"Круг алмазний АПП 300х20х5х76 АС4 80/63 А2")</f>
        <v>Круг алмазний АПП 300х20х5х76 АС4 80/63 А2</v>
      </c>
      <c r="C39" s="37" t="s">
        <v>6</v>
      </c>
      <c r="D39" s="37">
        <v>3</v>
      </c>
      <c r="E39" s="92" t="s">
        <v>910</v>
      </c>
    </row>
    <row r="40" spans="1:5">
      <c r="A40" s="21">
        <f t="shared" si="1"/>
        <v>39</v>
      </c>
      <c r="B40" s="85" t="str">
        <f ca="1">IFERROR(__xludf.DUMMYFUNCTION("GOOGLETRANSLATE(B819:B834,""RU"",""UK"")"),"Круг алмазний АПП 300х16х5х76 АСР АСР 160/125 А2")</f>
        <v>Круг алмазний АПП 300х16х5х76 АСР АСР 160/125 А2</v>
      </c>
      <c r="C40" s="37" t="s">
        <v>6</v>
      </c>
      <c r="D40" s="37">
        <v>1</v>
      </c>
      <c r="E40" s="92" t="s">
        <v>910</v>
      </c>
    </row>
    <row r="41" spans="1:5">
      <c r="A41" s="21">
        <f t="shared" si="1"/>
        <v>40</v>
      </c>
      <c r="B41" s="85" t="str">
        <f ca="1">IFERROR(__xludf.DUMMYFUNCTION("GOOGLETRANSLATE(B820:B835,""RU"",""UK"")"),"Круг алмазний АПП 400х40х5х203, А1, 2720-0163, АСВ 200/160 1090кар (В40)")</f>
        <v>Круг алмазний АПП 400х40х5х203, А1, 2720-0163, АСВ 200/160 1090кар (В40)</v>
      </c>
      <c r="C41" s="37" t="s">
        <v>6</v>
      </c>
      <c r="D41" s="37">
        <v>1</v>
      </c>
      <c r="E41" s="92" t="s">
        <v>910</v>
      </c>
    </row>
    <row r="42" spans="1:5">
      <c r="A42" s="21">
        <f t="shared" si="1"/>
        <v>41</v>
      </c>
      <c r="B42" s="85" t="str">
        <f ca="1">IFERROR(__xludf.DUMMYFUNCTION("GOOGLETRANSLATE(B821:B836,""RU"",""UK"")"),"Круг алмазний ПП 400х40х6х127, АС6, 1А1 50/40 М1-01 1305кар (В40)")</f>
        <v>Круг алмазний ПП 400х40х6х127, АС6, 1А1 50/40 М1-01 1305кар (В40)</v>
      </c>
      <c r="C42" s="37" t="s">
        <v>6</v>
      </c>
      <c r="D42" s="37">
        <v>1</v>
      </c>
      <c r="E42" s="92" t="s">
        <v>910</v>
      </c>
    </row>
    <row r="43" spans="1:5">
      <c r="A43" s="21">
        <f t="shared" si="1"/>
        <v>42</v>
      </c>
      <c r="B43" s="85" t="str">
        <f ca="1">IFERROR(__xludf.DUMMYFUNCTION("GOOGLETRANSLATE(B822:B837,""RU"",""UK"")"),"Круг алмазний радіус А5П 125х3х1,5х32-R1,5 АСК 160/125 М1")</f>
        <v>Круг алмазний радіус А5П 125х3х1,5х32-R1,5 АСК 160/125 М1</v>
      </c>
      <c r="C43" s="37" t="s">
        <v>6</v>
      </c>
      <c r="D43" s="37">
        <v>5</v>
      </c>
      <c r="E43" s="92" t="s">
        <v>1128</v>
      </c>
    </row>
    <row r="44" spans="1:5">
      <c r="A44" s="21">
        <f t="shared" si="1"/>
        <v>43</v>
      </c>
      <c r="B44" s="85" t="str">
        <f ca="1">IFERROR(__xludf.DUMMYFUNCTION("GOOGLETRANSLATE(B823:B838,""RU"",""UK"")"),"Круг алмазний радіус А5П 125х6х3х32-R3 АСБ 80/63 М1")</f>
        <v>Круг алмазний радіус А5П 125х6х3х32-R3 АСБ 80/63 М1</v>
      </c>
      <c r="C44" s="37" t="s">
        <v>6</v>
      </c>
      <c r="D44" s="37">
        <v>1</v>
      </c>
      <c r="E44" s="92" t="s">
        <v>1128</v>
      </c>
    </row>
    <row r="45" spans="1:5">
      <c r="A45" s="21">
        <f t="shared" si="1"/>
        <v>44</v>
      </c>
      <c r="B45" s="85" t="str">
        <f ca="1">IFERROR(__xludf.DUMMYFUNCTION("GOOGLETRANSLATE(B824:B839,""RU"",""UK"")"),"Круг алмазний радіус 125х6х3х32-R3 АС4 160/125 А2 -4-В2")</f>
        <v>Круг алмазний радіус 125х6х3х32-R3 АС4 160/125 А2 -4-В2</v>
      </c>
      <c r="C45" s="37" t="s">
        <v>6</v>
      </c>
      <c r="D45" s="37">
        <v>6</v>
      </c>
      <c r="E45" s="92" t="s">
        <v>1128</v>
      </c>
    </row>
    <row r="46" spans="1:5">
      <c r="A46" s="21">
        <f t="shared" si="1"/>
        <v>45</v>
      </c>
      <c r="B46" s="85" t="str">
        <f ca="1">IFERROR(__xludf.DUMMYFUNCTION("GOOGLETRANSLATE(B825:B840,""RU"",""UK"")"),"Круг алмазний радіус 125х6х32-R3 АСВ 80/63 НТ2")</f>
        <v>Круг алмазний радіус 125х6х32-R3 АСВ 80/63 НТ2</v>
      </c>
      <c r="C46" s="37" t="s">
        <v>6</v>
      </c>
      <c r="D46" s="37">
        <v>1</v>
      </c>
      <c r="E46" s="92" t="s">
        <v>1128</v>
      </c>
    </row>
    <row r="47" spans="1:5">
      <c r="A47" s="21">
        <f t="shared" si="1"/>
        <v>46</v>
      </c>
      <c r="B47" s="85" t="str">
        <f ca="1">IFERROR(__xludf.DUMMYFUNCTION("GOOGLETRANSLATE(B826:B841,""RU"",""UK"")"),"Круг алмазний радіус 125х10х32-R5 АС4 125/100 А2 -4-В2")</f>
        <v>Круг алмазний радіус 125х10х32-R5 АС4 125/100 А2 -4-В2</v>
      </c>
      <c r="C47" s="37" t="s">
        <v>6</v>
      </c>
      <c r="D47" s="37">
        <v>1</v>
      </c>
      <c r="E47" s="92" t="s">
        <v>1128</v>
      </c>
    </row>
    <row r="48" spans="1:5">
      <c r="A48" s="21">
        <f t="shared" si="1"/>
        <v>47</v>
      </c>
      <c r="B48" s="85" t="str">
        <f ca="1">IFERROR(__xludf.DUMMYFUNCTION("GOOGLETRANSLATE(B827:B842,""RU"",""UK"")"),"Круг алмазний радіус 150х20х32-R10 АСР 160/125 А2")</f>
        <v>Круг алмазний радіус 150х20х32-R10 АСР 160/125 А2</v>
      </c>
      <c r="C48" s="37" t="s">
        <v>6</v>
      </c>
      <c r="D48" s="37">
        <v>1</v>
      </c>
      <c r="E48" s="92" t="s">
        <v>1128</v>
      </c>
    </row>
    <row r="49" spans="1:5">
      <c r="A49" s="21">
        <f t="shared" si="1"/>
        <v>48</v>
      </c>
      <c r="B49" s="85" t="str">
        <f ca="1">IFERROR(__xludf.DUMMYFUNCTION("GOOGLETRANSLATE(B829:B844,""RU"",""UK"")"),"Круг алмазний радіус АБП 350х2, 5х5х127 АС15 100/125 М2")</f>
        <v>Круг алмазний радіус АБП 350х2, 5х5х127 АС15 100/125 М2</v>
      </c>
      <c r="C49" s="37" t="s">
        <v>6</v>
      </c>
      <c r="D49" s="37">
        <v>14</v>
      </c>
      <c r="E49" s="92" t="s">
        <v>38</v>
      </c>
    </row>
    <row r="50" spans="1:5">
      <c r="A50" s="21">
        <f t="shared" si="1"/>
        <v>49</v>
      </c>
      <c r="B50" s="85" t="str">
        <f ca="1">IFERROR(__xludf.DUMMYFUNCTION("GOOGLETRANSLATE(B830:B845,""RU"",""UK"")"),"Круг алмазний кутовий А2П 125х3х4х30*х32 АС2 200/160 М201")</f>
        <v>Круг алмазний кутовий А2П 125х3х4х30*х32 АС2 200/160 М201</v>
      </c>
      <c r="C50" s="37" t="s">
        <v>6</v>
      </c>
      <c r="D50" s="37">
        <v>27</v>
      </c>
      <c r="E50" s="92" t="s">
        <v>106</v>
      </c>
    </row>
    <row r="51" spans="1:5">
      <c r="A51" s="21">
        <f t="shared" si="1"/>
        <v>50</v>
      </c>
      <c r="B51" s="85" t="str">
        <f ca="1">IFERROR(__xludf.DUMMYFUNCTION("GOOGLETRANSLATE(B831:B846,""RU"",""UK"")"),"Круг алмазний кутовий А2П 125х3х4х60*х32 АСК 200/160 М1")</f>
        <v>Круг алмазний кутовий А2П 125х3х4х60*х32 АСК 200/160 М1</v>
      </c>
      <c r="C51" s="37" t="s">
        <v>6</v>
      </c>
      <c r="D51" s="37">
        <v>7</v>
      </c>
      <c r="E51" s="92" t="s">
        <v>106</v>
      </c>
    </row>
    <row r="52" spans="1:5">
      <c r="A52" s="21">
        <f t="shared" si="1"/>
        <v>51</v>
      </c>
      <c r="B52" s="85" t="str">
        <f ca="1">IFERROR(__xludf.DUMMYFUNCTION("GOOGLETRANSLATE(B832:B847,""RU"",""UK"")"),"Круг алмазний кутовий А2П 125х3х4х60*х32 АС20 200/160 М1")</f>
        <v>Круг алмазний кутовий А2П 125х3х4х60*х32 АС20 200/160 М1</v>
      </c>
      <c r="C52" s="37" t="s">
        <v>6</v>
      </c>
      <c r="D52" s="37">
        <v>1</v>
      </c>
      <c r="E52" s="92" t="s">
        <v>106</v>
      </c>
    </row>
    <row r="53" spans="1:5">
      <c r="A53" s="21">
        <f t="shared" si="1"/>
        <v>52</v>
      </c>
      <c r="B53" s="85" t="str">
        <f ca="1">IFERROR(__xludf.DUMMYFUNCTION("GOOGLETRANSLATE(B833:B848,""RU"",""UK"")"),"Круг алмазний різьбошліфувальний 74х12х32х60* мет.основа")</f>
        <v>Круг алмазний різьбошліфувальний 74х12х32х60* мет.основа</v>
      </c>
      <c r="C53" s="37" t="s">
        <v>6</v>
      </c>
      <c r="D53" s="37">
        <v>2</v>
      </c>
      <c r="E53" s="92" t="s">
        <v>319</v>
      </c>
    </row>
    <row r="54" spans="1:5">
      <c r="A54" s="21">
        <f t="shared" si="1"/>
        <v>53</v>
      </c>
      <c r="B54" s="85" t="str">
        <f ca="1">IFERROR(__xludf.DUMMYFUNCTION("GOOGLETRANSLATE(B834:B849,""RU"",""UK"")"),"Круг алмазний різьбошліфувальний 125х6х32х60* 125/100")</f>
        <v>Круг алмазний різьбошліфувальний 125х6х32х60* 125/100</v>
      </c>
      <c r="C54" s="37" t="s">
        <v>6</v>
      </c>
      <c r="D54" s="37">
        <v>2</v>
      </c>
      <c r="E54" s="92" t="s">
        <v>22</v>
      </c>
    </row>
    <row r="55" spans="1:5">
      <c r="A55" s="21">
        <f t="shared" si="1"/>
        <v>54</v>
      </c>
      <c r="B55" s="85" t="str">
        <f ca="1">IFERROR(__xludf.DUMMYFUNCTION("GOOGLETRANSLATE(B835:B850,""RU"",""UK"")"),"Круг алмазний відрізний 150х32х1,0 АС15 125/100")</f>
        <v>Круг алмазний відрізний 150х32х1,0 АС15 125/100</v>
      </c>
      <c r="C55" s="37" t="s">
        <v>6</v>
      </c>
      <c r="D55" s="37">
        <v>11</v>
      </c>
      <c r="E55" s="92" t="s">
        <v>22</v>
      </c>
    </row>
    <row r="56" spans="1:5">
      <c r="A56" s="21">
        <f t="shared" si="1"/>
        <v>55</v>
      </c>
      <c r="B56" s="85" t="str">
        <f ca="1">IFERROR(__xludf.DUMMYFUNCTION("GOOGLETRANSLATE(B836:B851,""RU"",""UK"")"),"Круг алмазний відрізний 175х32х1,5 АС15 160/125")</f>
        <v>Круг алмазний відрізний 175х32х1,5 АС15 160/125</v>
      </c>
      <c r="C56" s="37" t="s">
        <v>6</v>
      </c>
      <c r="D56" s="37">
        <v>2</v>
      </c>
      <c r="E56" s="92" t="s">
        <v>272</v>
      </c>
    </row>
    <row r="57" spans="1:5">
      <c r="A57" s="21">
        <f t="shared" si="1"/>
        <v>56</v>
      </c>
      <c r="B57" s="85" t="str">
        <f ca="1">IFERROR(__xludf.DUMMYFUNCTION("GOOGLETRANSLATE(B837:B852,""RU"",""UK"")"),"Круг алмазний відрізний 200х32х1,0")</f>
        <v>Круг алмазний відрізний 200х32х1,0</v>
      </c>
      <c r="C57" s="37" t="s">
        <v>6</v>
      </c>
      <c r="D57" s="37">
        <v>2</v>
      </c>
      <c r="E57" s="92" t="s">
        <v>18</v>
      </c>
    </row>
    <row r="58" spans="1:5">
      <c r="A58" s="21">
        <f t="shared" si="1"/>
        <v>57</v>
      </c>
      <c r="B58" s="85" t="str">
        <f ca="1">IFERROR(__xludf.DUMMYFUNCTION("GOOGLETRANSLATE(B838:B853,""RU"",""UK"")"),"Круг алмазний відрізний 200х32х1.5 АС15 125/100 // 160/125 // 200/160")</f>
        <v>Круг алмазний відрізний 200х32х1.5 АС15 125/100 // 160/125 // 200/160</v>
      </c>
      <c r="C58" s="37" t="s">
        <v>6</v>
      </c>
      <c r="D58" s="37" t="s">
        <v>1145</v>
      </c>
      <c r="E58" s="92" t="s">
        <v>413</v>
      </c>
    </row>
    <row r="59" spans="1:5">
      <c r="A59" s="21">
        <f t="shared" si="1"/>
        <v>58</v>
      </c>
      <c r="B59" s="85" t="str">
        <f ca="1">IFERROR(__xludf.DUMMYFUNCTION("GOOGLETRANSLATE(B839:B854,""RU"",""UK"")"),"Круг алмазний відрізний 200х32х2.0 АС65 125/100")</f>
        <v>Круг алмазний відрізний 200х32х2.0 АС65 125/100</v>
      </c>
      <c r="C59" s="37" t="s">
        <v>6</v>
      </c>
      <c r="D59" s="37">
        <v>3</v>
      </c>
      <c r="E59" s="92" t="s">
        <v>1147</v>
      </c>
    </row>
    <row r="60" spans="1:5">
      <c r="A60" s="21">
        <f t="shared" si="1"/>
        <v>59</v>
      </c>
      <c r="B60" s="85" t="str">
        <f ca="1">IFERROR(__xludf.DUMMYFUNCTION("GOOGLETRANSLATE(B840:B855,""RU"",""UK"")"),"Круг алмазний відрізний 250х32х1.5 АС15 160/125")</f>
        <v>Круг алмазний відрізний 250х32х1.5 АС15 160/125</v>
      </c>
      <c r="C60" s="37" t="s">
        <v>6</v>
      </c>
      <c r="D60" s="37">
        <v>2</v>
      </c>
      <c r="E60" s="92" t="s">
        <v>1147</v>
      </c>
    </row>
    <row r="61" spans="1:5">
      <c r="A61" s="21">
        <f t="shared" si="1"/>
        <v>60</v>
      </c>
      <c r="B61" s="85" t="str">
        <f ca="1">IFERROR(__xludf.DUMMYFUNCTION("GOOGLETRANSLATE(B841:B856,""RU"",""UK"")"),"Круг алмазний відрізний 250х32х2.0 АС15 100/125")</f>
        <v>Круг алмазний відрізний 250х32х2.0 АС15 100/125</v>
      </c>
      <c r="C61" s="37" t="s">
        <v>6</v>
      </c>
      <c r="D61" s="37">
        <v>1</v>
      </c>
      <c r="E61" s="92" t="s">
        <v>138</v>
      </c>
    </row>
    <row r="62" spans="1:5">
      <c r="A62" s="21">
        <f t="shared" si="1"/>
        <v>61</v>
      </c>
      <c r="B62" s="85" t="str">
        <f ca="1">IFERROR(__xludf.DUMMYFUNCTION("GOOGLETRANSLATE(B842:B857,""RU"",""UK"")"),"Круг алмазний відрізний сегментний 300х63х5 630/500")</f>
        <v>Круг алмазний відрізний сегментний 300х63х5 630/500</v>
      </c>
      <c r="C62" s="37" t="s">
        <v>6</v>
      </c>
      <c r="D62" s="37">
        <v>2</v>
      </c>
      <c r="E62" s="92" t="s">
        <v>1151</v>
      </c>
    </row>
    <row r="63" spans="1:5">
      <c r="A63" s="21">
        <f t="shared" si="1"/>
        <v>62</v>
      </c>
      <c r="B63" s="85" t="str">
        <f ca="1">IFERROR(__xludf.DUMMYFUNCTION("GOOGLETRANSLATE(B843:B858,""RU"",""UK"")"),"Круг алмазний відрізний сегментний 400х90х4 АР1-3 500/400")</f>
        <v>Круг алмазний відрізний сегментний 400х90х4 АР1-3 500/400</v>
      </c>
      <c r="C63" s="37" t="s">
        <v>6</v>
      </c>
      <c r="D63" s="37">
        <v>1</v>
      </c>
      <c r="E63" s="92" t="s">
        <v>75</v>
      </c>
    </row>
    <row r="64" spans="1:5">
      <c r="A64" s="21">
        <f t="shared" si="1"/>
        <v>63</v>
      </c>
      <c r="B64" s="85" t="str">
        <f ca="1">IFERROR(__xludf.DUMMYFUNCTION("GOOGLETRANSLATE(B844:B859,""RU"",""UK"")"),"Олівець алмазний 87С")</f>
        <v>Олівець алмазний 87С</v>
      </c>
      <c r="C64" s="59" t="s">
        <v>6</v>
      </c>
      <c r="D64" s="59">
        <v>103</v>
      </c>
      <c r="E64" s="91">
        <v>510</v>
      </c>
    </row>
    <row r="65" spans="1:5">
      <c r="A65" s="21">
        <f t="shared" si="1"/>
        <v>64</v>
      </c>
      <c r="B65" s="85" t="str">
        <f ca="1">IFERROR(__xludf.DUMMYFUNCTION("GOOGLETRANSLATE(B844:B859,""RU"",""UK"")"),"Олівець алмазний 88С")</f>
        <v>Олівець алмазний 88С</v>
      </c>
      <c r="C65" s="59" t="s">
        <v>6</v>
      </c>
      <c r="D65" s="59">
        <v>1</v>
      </c>
      <c r="E65" s="91">
        <v>520</v>
      </c>
    </row>
    <row r="66" spans="1:5">
      <c r="A66" s="21">
        <f t="shared" ref="A66:A97" si="2">A65+1</f>
        <v>65</v>
      </c>
      <c r="B66" s="85" t="str">
        <f ca="1">IFERROR(__xludf.DUMMYFUNCTION("GOOGLETRANSLATE(B845:B860,""RU"",""UK"")"),"Олівець алмазний Славутич")</f>
        <v>Олівець алмазний Славутич</v>
      </c>
      <c r="C66" s="59" t="s">
        <v>6</v>
      </c>
      <c r="D66" s="59">
        <v>24</v>
      </c>
      <c r="E66" s="91">
        <v>450</v>
      </c>
    </row>
    <row r="67" spans="1:5">
      <c r="A67" s="21">
        <f t="shared" si="2"/>
        <v>66</v>
      </c>
      <c r="B67" s="85" t="str">
        <f ca="1">IFERROR(__xludf.DUMMYFUNCTION("GOOGLETRANSLATE(B847:B862,""RU"",""UK"")"),"Наконечник алмазний НК1. До твердоміра")</f>
        <v>Наконечник алмазний НК1. До твердоміра</v>
      </c>
      <c r="C67" s="59" t="s">
        <v>6</v>
      </c>
      <c r="D67" s="59">
        <v>3</v>
      </c>
      <c r="E67" s="91" t="s">
        <v>71</v>
      </c>
    </row>
    <row r="68" spans="1:5">
      <c r="A68" s="21">
        <f t="shared" si="2"/>
        <v>67</v>
      </c>
      <c r="B68" s="85" t="str">
        <f ca="1">IFERROR(__xludf.DUMMYFUNCTION("GOOGLETRANSLATE(B847:B862,""RU"",""UK"")"),"Наконечник твердосплавний НК1. До твердоміра")</f>
        <v>Наконечник твердосплавний НК1. До твердоміра</v>
      </c>
      <c r="C68" s="59" t="s">
        <v>6</v>
      </c>
      <c r="D68" s="59">
        <v>1</v>
      </c>
      <c r="E68" s="91" t="s">
        <v>71</v>
      </c>
    </row>
    <row r="69" spans="1:5">
      <c r="A69" s="21">
        <f t="shared" si="2"/>
        <v>68</v>
      </c>
      <c r="B69" s="85" t="str">
        <f ca="1">IFERROR(__xludf.DUMMYFUNCTION("GOOGLETRANSLATE(B848:B863,""RU"",""UK"")"),"Різець алм. / d8х40")</f>
        <v>Різець алм. / d8х40</v>
      </c>
      <c r="C69" s="59" t="s">
        <v>6</v>
      </c>
      <c r="D69" s="59" t="s">
        <v>749</v>
      </c>
      <c r="E69" s="91" t="s">
        <v>111</v>
      </c>
    </row>
    <row r="70" spans="1:5">
      <c r="A70" s="21">
        <f t="shared" si="2"/>
        <v>69</v>
      </c>
      <c r="B70" s="85" t="str">
        <f ca="1">IFERROR(__xludf.DUMMYFUNCTION("GOOGLETRANSLATE(B849:B864,""RU"",""UK"")"),"Алмазна паста 2/1 (туб)")</f>
        <v>Алмазна паста 2/1 (туб)</v>
      </c>
      <c r="C70" s="59" t="s">
        <v>6</v>
      </c>
      <c r="D70" s="59">
        <v>2</v>
      </c>
      <c r="E70" s="91" t="s">
        <v>338</v>
      </c>
    </row>
    <row r="71" spans="1:5">
      <c r="A71" s="21">
        <f t="shared" si="2"/>
        <v>70</v>
      </c>
      <c r="B71" s="164" t="str">
        <f ca="1">IFERROR(__xludf.DUMMYFUNCTION("GOOGLETRANSLATE(B850:B865,""RU"",""UK"")"),"Паста алмазна АСМ 5/3 (туб)")</f>
        <v>Паста алмазна АСМ 5/3 (туб)</v>
      </c>
      <c r="C71" s="59" t="s">
        <v>6</v>
      </c>
      <c r="D71" s="59">
        <v>0</v>
      </c>
      <c r="E71" s="91" t="s">
        <v>338</v>
      </c>
    </row>
    <row r="72" spans="1:5">
      <c r="A72" s="21">
        <f t="shared" si="2"/>
        <v>71</v>
      </c>
      <c r="B72" s="164" t="str">
        <f ca="1">IFERROR(__xludf.DUMMYFUNCTION("GOOGLETRANSLATE(B851:B866,""RU"",""UK"")"),"Алмазна паста 7/5 (туб)")</f>
        <v>Алмазна паста 7/5 (туб)</v>
      </c>
      <c r="C72" s="59" t="s">
        <v>6</v>
      </c>
      <c r="D72" s="59">
        <v>0</v>
      </c>
      <c r="E72" s="91" t="s">
        <v>338</v>
      </c>
    </row>
    <row r="73" spans="1:5">
      <c r="A73" s="21">
        <f t="shared" si="2"/>
        <v>72</v>
      </c>
      <c r="B73" s="164" t="str">
        <f ca="1">IFERROR(__xludf.DUMMYFUNCTION("GOOGLETRANSLATE(B852:B867,""RU"",""UK"")"),"Алмазна паста 14/10 (туб)")</f>
        <v>Алмазна паста 14/10 (туб)</v>
      </c>
      <c r="C73" s="59" t="s">
        <v>6</v>
      </c>
      <c r="D73" s="59">
        <v>0</v>
      </c>
      <c r="E73" s="91" t="s">
        <v>338</v>
      </c>
    </row>
    <row r="74" spans="1:5">
      <c r="A74" s="21">
        <f t="shared" si="2"/>
        <v>73</v>
      </c>
      <c r="B74" s="85" t="str">
        <f ca="1">IFERROR(__xludf.DUMMYFUNCTION("GOOGLETRANSLATE(B853:B868,""RU"",""UK"")"),"Алмазна паста 28/20 (туб)")</f>
        <v>Алмазна паста 28/20 (туб)</v>
      </c>
      <c r="C74" s="59" t="s">
        <v>6</v>
      </c>
      <c r="D74" s="59">
        <v>1</v>
      </c>
      <c r="E74" s="91" t="s">
        <v>338</v>
      </c>
    </row>
    <row r="75" spans="1:5">
      <c r="A75" s="21">
        <f t="shared" si="2"/>
        <v>74</v>
      </c>
      <c r="B75" s="85" t="str">
        <f ca="1">IFERROR(__xludf.DUMMYFUNCTION("GOOGLETRANSLATE(B854:B869,""RU"",""UK"")"),"Алмазна паста АСН 40/28 (туб 50мл)")</f>
        <v>Алмазна паста АСН 40/28 (туб 50мл)</v>
      </c>
      <c r="C75" s="59" t="s">
        <v>6</v>
      </c>
      <c r="D75" s="59">
        <v>12</v>
      </c>
      <c r="E75" s="91" t="s">
        <v>338</v>
      </c>
    </row>
    <row r="76" spans="1:5">
      <c r="A76" s="21">
        <f t="shared" si="2"/>
        <v>75</v>
      </c>
      <c r="B76" s="85" t="str">
        <f ca="1">IFERROR(__xludf.DUMMYFUNCTION("GOOGLETRANSLATE(B855:B870,""RU"",""UK"")"),"Паста карбіт-титанова (500гр) з14/10")</f>
        <v>Паста карбіт-титанова (500гр) з14/10</v>
      </c>
      <c r="C76" s="59" t="s">
        <v>130</v>
      </c>
      <c r="D76" s="59">
        <v>2</v>
      </c>
      <c r="E76" s="91" t="s">
        <v>53</v>
      </c>
    </row>
    <row r="77" spans="1:5">
      <c r="A77" s="21">
        <f t="shared" si="2"/>
        <v>76</v>
      </c>
      <c r="B77" s="85" t="str">
        <f ca="1">IFERROR(__xludf.DUMMYFUNCTION("GOOGLETRANSLATE(B855:B870,""RU"",""UK"")"),"Паста карбіт-титанова (500гр) з60/40")</f>
        <v>Паста карбіт-титанова (500гр) з60/40</v>
      </c>
      <c r="C77" s="59" t="s">
        <v>130</v>
      </c>
      <c r="D77" s="59">
        <v>3</v>
      </c>
      <c r="E77" s="91" t="s">
        <v>53</v>
      </c>
    </row>
    <row r="78" spans="1:5">
      <c r="A78" s="21">
        <f t="shared" si="2"/>
        <v>77</v>
      </c>
      <c r="B78" s="85" t="str">
        <f ca="1">IFERROR(__xludf.DUMMYFUNCTION("GOOGLETRANSLATE(B856:B871,""RU"",""UK"")"),"Паста полірувально-притиральна ГОІ")</f>
        <v>Паста полірувально-притиральна ГОІ</v>
      </c>
      <c r="C78" s="59" t="s">
        <v>130</v>
      </c>
      <c r="D78" s="59" t="s">
        <v>1168</v>
      </c>
      <c r="E78" s="91" t="s">
        <v>515</v>
      </c>
    </row>
    <row r="79" spans="1:5">
      <c r="A79" s="21">
        <f t="shared" si="2"/>
        <v>78</v>
      </c>
      <c r="B79" s="85" t="str">
        <f ca="1">IFERROR(__xludf.DUMMYFUNCTION("GOOGLETRANSLATE(B857:B872,""RU"",""UK"")"),"Паста абразивна притиральна")</f>
        <v>Паста абразивна притиральна</v>
      </c>
      <c r="C79" s="59" t="s">
        <v>130</v>
      </c>
      <c r="D79" s="59">
        <v>84</v>
      </c>
      <c r="E79" s="91">
        <v>120</v>
      </c>
    </row>
    <row r="80" spans="1:5">
      <c r="A80" s="21">
        <f t="shared" si="2"/>
        <v>79</v>
      </c>
      <c r="B80" s="85" t="str">
        <f ca="1">IFERROR(__xludf.DUMMYFUNCTION("GOOGLETRANSLATE(B858:B873,""RU"",""UK"")"),"Циліндр головки. алмазна 3х6х40х3мм 100/80")</f>
        <v>Циліндр головки. алмазна 3х6х40х3мм 100/80</v>
      </c>
      <c r="C80" s="59" t="s">
        <v>6</v>
      </c>
      <c r="D80" s="59">
        <v>32</v>
      </c>
      <c r="E80" s="91" t="s">
        <v>124</v>
      </c>
    </row>
    <row r="81" spans="1:5">
      <c r="A81" s="21">
        <f t="shared" si="2"/>
        <v>80</v>
      </c>
      <c r="B81" s="85" t="str">
        <f ca="1">IFERROR(__xludf.DUMMYFUNCTION("GOOGLETRANSLATE(B859:B874,""RU"",""UK"")"),"Циліндр головки. алмазна 4х6х40мм")</f>
        <v>Циліндр головки. алмазна 4х6х40мм</v>
      </c>
      <c r="C81" s="59" t="s">
        <v>6</v>
      </c>
      <c r="D81" s="59">
        <v>339</v>
      </c>
      <c r="E81" s="91" t="s">
        <v>134</v>
      </c>
    </row>
    <row r="82" spans="1:5">
      <c r="A82" s="21">
        <f t="shared" si="2"/>
        <v>81</v>
      </c>
      <c r="B82" s="85" t="str">
        <f ca="1">IFERROR(__xludf.DUMMYFUNCTION("GOOGLETRANSLATE(B860:B875,""RU"",""UK"")"),"Циліндр головки. алмазна 5х6х40мм")</f>
        <v>Циліндр головки. алмазна 5х6х40мм</v>
      </c>
      <c r="C82" s="59" t="s">
        <v>6</v>
      </c>
      <c r="D82" s="59">
        <v>42</v>
      </c>
      <c r="E82" s="91" t="s">
        <v>1174</v>
      </c>
    </row>
    <row r="83" spans="1:5">
      <c r="A83" s="21">
        <f t="shared" si="2"/>
        <v>82</v>
      </c>
      <c r="B83" s="85" t="str">
        <f ca="1">IFERROR(__xludf.DUMMYFUNCTION("GOOGLETRANSLATE(B861:B876,""RU"",""UK"")"),"Циліндр головки. алмазна 5х8х40мм")</f>
        <v>Циліндр головки. алмазна 5х8х40мм</v>
      </c>
      <c r="C83" s="59" t="s">
        <v>6</v>
      </c>
      <c r="D83" s="59">
        <v>14</v>
      </c>
      <c r="E83" s="91" t="s">
        <v>167</v>
      </c>
    </row>
    <row r="84" spans="1:5">
      <c r="A84" s="21">
        <f t="shared" si="2"/>
        <v>83</v>
      </c>
      <c r="B84" s="85" t="str">
        <f ca="1">IFERROR(__xludf.DUMMYFUNCTION("GOOGLETRANSLATE(B862:B877,""RU"",""UK"")"),"Циліндр головки. алмазна 6х10х3х50мм")</f>
        <v>Циліндр головки. алмазна 6х10х3х50мм</v>
      </c>
      <c r="C84" s="59" t="s">
        <v>6</v>
      </c>
      <c r="D84" s="59">
        <v>122</v>
      </c>
      <c r="E84" s="91" t="s">
        <v>248</v>
      </c>
    </row>
    <row r="85" spans="1:5">
      <c r="A85" s="21">
        <f t="shared" si="2"/>
        <v>84</v>
      </c>
      <c r="B85" s="85" t="str">
        <f ca="1">IFERROR(__xludf.DUMMYFUNCTION("GOOGLETRANSLATE(B863:B878,""RU"",""UK"")"),"Циліндр головки. алмазна 8х10х60мм")</f>
        <v>Циліндр головки. алмазна 8х10х60мм</v>
      </c>
      <c r="C85" s="59" t="s">
        <v>6</v>
      </c>
      <c r="D85" s="59">
        <v>9</v>
      </c>
      <c r="E85" s="91" t="s">
        <v>1178</v>
      </c>
    </row>
    <row r="86" spans="1:5">
      <c r="A86" s="21">
        <f t="shared" si="2"/>
        <v>85</v>
      </c>
      <c r="B86" s="85" t="str">
        <f ca="1">IFERROR(__xludf.DUMMYFUNCTION("GOOGLETRANSLATE(B864:B879,""RU"",""UK"")"),"Циліндр головки. алмазна 8х40х150мм")</f>
        <v>Циліндр головки. алмазна 8х40х150мм</v>
      </c>
      <c r="C86" s="59" t="s">
        <v>6</v>
      </c>
      <c r="D86" s="59">
        <v>11</v>
      </c>
      <c r="E86" s="91" t="s">
        <v>1180</v>
      </c>
    </row>
    <row r="87" spans="1:5">
      <c r="A87" s="21">
        <f t="shared" si="2"/>
        <v>86</v>
      </c>
      <c r="B87" s="85" t="str">
        <f ca="1">IFERROR(__xludf.DUMMYFUNCTION("GOOGLETRANSLATE(B865:B880,""RU"",""UK"")"),"Циліндр головки. алмазна 10х16х60мм")</f>
        <v>Циліндр головки. алмазна 10х16х60мм</v>
      </c>
      <c r="C87" s="59" t="s">
        <v>6</v>
      </c>
      <c r="D87" s="59">
        <v>40</v>
      </c>
      <c r="E87" s="91" t="s">
        <v>1182</v>
      </c>
    </row>
    <row r="88" spans="1:5">
      <c r="A88" s="21">
        <f t="shared" si="2"/>
        <v>87</v>
      </c>
      <c r="B88" s="85" t="str">
        <f ca="1">IFERROR(__xludf.DUMMYFUNCTION("GOOGLETRANSLATE(B866:B881,""RU"",""UK"")"),"Циліндр головки. алмазна 12х16х80х6мм 12х16х80х6-100/80")</f>
        <v>Циліндр головки. алмазна 12х16х80х6мм 12х16х80х6-100/80</v>
      </c>
      <c r="C88" s="59" t="s">
        <v>6</v>
      </c>
      <c r="D88" s="59">
        <v>14</v>
      </c>
      <c r="E88" s="91" t="s">
        <v>314</v>
      </c>
    </row>
    <row r="89" spans="1:5">
      <c r="A89" s="21">
        <f t="shared" si="2"/>
        <v>88</v>
      </c>
      <c r="B89" s="85" t="str">
        <f ca="1">IFERROR(__xludf.DUMMYFUNCTION("GOOGLETRANSLATE(B866:B881,""RU"",""UK"")"),"Циліндр головки. алмазна 12х16х80х6мм 125/100")</f>
        <v>Циліндр головки. алмазна 12х16х80х6мм 125/100</v>
      </c>
      <c r="C89" s="59" t="s">
        <v>6</v>
      </c>
      <c r="D89" s="59">
        <v>16</v>
      </c>
      <c r="E89" s="91" t="s">
        <v>314</v>
      </c>
    </row>
    <row r="90" spans="1:5">
      <c r="A90" s="21">
        <f t="shared" si="2"/>
        <v>89</v>
      </c>
      <c r="B90" s="85" t="str">
        <f ca="1">IFERROR(__xludf.DUMMYFUNCTION("GOOGLETRANSLATE(B867:B882,""RU"",""UK"")"),"Циліндр головки. алмазна 18х10х100мм/16х20х80мм")</f>
        <v>Циліндр головки. алмазна 18х10х100мм/16х20х80мм</v>
      </c>
      <c r="C90" s="59" t="s">
        <v>6</v>
      </c>
      <c r="D90" s="59">
        <v>4</v>
      </c>
      <c r="E90" s="91" t="s">
        <v>1186</v>
      </c>
    </row>
    <row r="91" spans="1:5">
      <c r="A91" s="21">
        <f t="shared" si="2"/>
        <v>90</v>
      </c>
      <c r="B91" s="85" t="str">
        <f ca="1">IFERROR(__xludf.DUMMYFUNCTION("GOOGLETRANSLATE(B868:B883,""RU"",""UK"")"),"Циліндр головки. торцева алмазна 14мм (вигладжувач)")</f>
        <v>Циліндр головки. торцева алмазна 14мм (вигладжувач)</v>
      </c>
      <c r="C91" s="59" t="s">
        <v>6</v>
      </c>
      <c r="D91" s="59">
        <v>3</v>
      </c>
      <c r="E91" s="91" t="s">
        <v>314</v>
      </c>
    </row>
    <row r="92" spans="1:5">
      <c r="A92" s="21">
        <f t="shared" si="2"/>
        <v>91</v>
      </c>
      <c r="B92" s="164" t="str">
        <f ca="1">IFERROR(__xludf.DUMMYFUNCTION("GOOGLETRANSLATE(B869:B884,""RU"",""UK"")"),"Склоріз алмазний")</f>
        <v>Склоріз алмазний</v>
      </c>
      <c r="C92" s="59" t="s">
        <v>6</v>
      </c>
      <c r="D92" s="59">
        <v>0</v>
      </c>
      <c r="E92" s="91">
        <v>650</v>
      </c>
    </row>
    <row r="93" spans="1:5">
      <c r="A93" s="21">
        <f t="shared" si="2"/>
        <v>92</v>
      </c>
      <c r="B93" s="85" t="str">
        <f ca="1">IFERROR(__xludf.DUMMYFUNCTION("GOOGLETRANSLATE(B873:B888,""RU"",""UK"")"),"Брусок алм. 160мм (робочий шар 40х8х3) АС5 63/50-100-82-01")</f>
        <v>Брусок алм. 160мм (робочий шар 40х8х3) АС5 63/50-100-82-01</v>
      </c>
      <c r="C93" s="59" t="s">
        <v>6</v>
      </c>
      <c r="D93" s="59">
        <v>17</v>
      </c>
      <c r="E93" s="91">
        <v>100</v>
      </c>
    </row>
    <row r="94" spans="1:5">
      <c r="A94" s="21">
        <f t="shared" si="2"/>
        <v>93</v>
      </c>
      <c r="B94" s="85" t="str">
        <f ca="1">IFERROR(__xludf.DUMMYFUNCTION("GOOGLETRANSLATE(B874:B889,""RU"",""UK"")"),"Брусок алм. 160мм (робочий шар 40х8х3) АС2 100/80-100-82-01")</f>
        <v>Брусок алм. 160мм (робочий шар 40х8х3) АС2 100/80-100-82-01</v>
      </c>
      <c r="C94" s="59" t="s">
        <v>6</v>
      </c>
      <c r="D94" s="59">
        <v>15</v>
      </c>
      <c r="E94" s="91">
        <v>100</v>
      </c>
    </row>
    <row r="95" spans="1:5">
      <c r="A95" s="21">
        <f t="shared" si="2"/>
        <v>94</v>
      </c>
      <c r="B95" s="85" t="str">
        <f ca="1">IFERROR(__xludf.DUMMYFUNCTION("GOOGLETRANSLATE(B874:B889,""RU"",""UK"")"),"Брусок алм. 160мм (робочий шар 40х8х3) АС4 100/80-100-82-01")</f>
        <v>Брусок алм. 160мм (робочий шар 40х8х3) АС4 100/80-100-82-01</v>
      </c>
      <c r="C95" s="59" t="s">
        <v>6</v>
      </c>
      <c r="D95" s="59">
        <v>19</v>
      </c>
      <c r="E95" s="91">
        <v>100</v>
      </c>
    </row>
    <row r="96" spans="1:5">
      <c r="A96" s="21">
        <f t="shared" si="2"/>
        <v>95</v>
      </c>
      <c r="B96" s="85" t="str">
        <f ca="1">IFERROR(__xludf.DUMMYFUNCTION("GOOGLETRANSLATE(B875:B890,""RU"",""UK"")"),"Брусок алм. хонінгувальний 60х4х3 (125/100)")</f>
        <v>Брусок алм. хонінгувальний 60х4х3 (125/100)</v>
      </c>
      <c r="C96" s="59" t="s">
        <v>6</v>
      </c>
      <c r="D96" s="59">
        <v>6</v>
      </c>
      <c r="E96" s="91">
        <v>105</v>
      </c>
    </row>
    <row r="97" spans="1:5">
      <c r="A97" s="21">
        <f t="shared" si="2"/>
        <v>96</v>
      </c>
      <c r="B97" s="200" t="str">
        <f ca="1">IFERROR(__xludf.DUMMYFUNCTION("GOOGLETRANSLATE(B875:B890,""RU"",""UK"")"),"Брусок алм. хонінгувальний 100х8х4 (100/80)")</f>
        <v>Брусок алм. хонінгувальний 100х8х4 (100/80)</v>
      </c>
      <c r="C97" s="59" t="s">
        <v>6</v>
      </c>
      <c r="D97" s="59">
        <v>0</v>
      </c>
      <c r="E97" s="91">
        <v>150</v>
      </c>
    </row>
    <row r="98" spans="1:5">
      <c r="A98" s="21">
        <f t="shared" ref="A98:A108" si="3">A97+1</f>
        <v>97</v>
      </c>
      <c r="B98" s="85" t="str">
        <f ca="1">IFERROR(__xludf.DUMMYFUNCTION("GOOGLETRANSLATE(B877:B892,""RU"",""UK"")"),"Надфіль алмазний тригранний 120мм")</f>
        <v>Надфіль алмазний тригранний 120мм</v>
      </c>
      <c r="C98" s="59" t="s">
        <v>6</v>
      </c>
      <c r="D98" s="59">
        <v>10</v>
      </c>
      <c r="E98" s="91" t="s">
        <v>209</v>
      </c>
    </row>
    <row r="99" spans="1:5">
      <c r="A99" s="21">
        <f t="shared" si="3"/>
        <v>98</v>
      </c>
      <c r="B99" s="85" t="str">
        <f ca="1">IFERROR(__xludf.DUMMYFUNCTION("GOOGLETRANSLATE(B878:B893,""RU"",""UK"")"),"Надфіль алмазний тригранний 150мм")</f>
        <v>Надфіль алмазний тригранний 150мм</v>
      </c>
      <c r="C99" s="59" t="s">
        <v>6</v>
      </c>
      <c r="D99" s="59">
        <v>17</v>
      </c>
      <c r="E99" s="91" t="s">
        <v>104</v>
      </c>
    </row>
    <row r="100" spans="1:5">
      <c r="A100" s="21">
        <f t="shared" si="3"/>
        <v>99</v>
      </c>
      <c r="B100" s="85" t="str">
        <f ca="1">IFERROR(__xludf.DUMMYFUNCTION("GOOGLETRANSLATE(B879:B894,""RU"",""UK"")"),"Надфіль алмазний напівкруглий 150мм")</f>
        <v>Надфіль алмазний напівкруглий 150мм</v>
      </c>
      <c r="C100" s="59" t="s">
        <v>6</v>
      </c>
      <c r="D100" s="59">
        <v>20</v>
      </c>
      <c r="E100" s="91" t="s">
        <v>104</v>
      </c>
    </row>
    <row r="101" spans="1:5">
      <c r="A101" s="21">
        <f t="shared" si="3"/>
        <v>100</v>
      </c>
      <c r="B101" s="85" t="str">
        <f ca="1">IFERROR(__xludf.DUMMYFUNCTION("GOOGLETRANSLATE(B880:B895,""RU"",""UK"")"),"Надфіль алмазний круглий 120мм")</f>
        <v>Надфіль алмазний круглий 120мм</v>
      </c>
      <c r="C101" s="59" t="s">
        <v>6</v>
      </c>
      <c r="D101" s="59">
        <v>10</v>
      </c>
      <c r="E101" s="91" t="s">
        <v>209</v>
      </c>
    </row>
    <row r="102" spans="1:5">
      <c r="A102" s="21">
        <f t="shared" si="3"/>
        <v>101</v>
      </c>
      <c r="B102" s="85" t="str">
        <f ca="1">IFERROR(__xludf.DUMMYFUNCTION("GOOGLETRANSLATE(B881:B896,""RU"",""UK"")"),"Надфіль алмазний круглий 150мм")</f>
        <v>Надфіль алмазний круглий 150мм</v>
      </c>
      <c r="C102" s="59" t="s">
        <v>6</v>
      </c>
      <c r="D102" s="59">
        <v>33</v>
      </c>
      <c r="E102" s="91" t="s">
        <v>104</v>
      </c>
    </row>
    <row r="103" spans="1:5">
      <c r="A103" s="21">
        <f t="shared" si="3"/>
        <v>102</v>
      </c>
      <c r="B103" s="85" t="str">
        <f ca="1">IFERROR(__xludf.DUMMYFUNCTION("GOOGLETRANSLATE(B882:B897,""RU"",""UK"")"),"Надфіль алмазний круглий вигнутий двосторонній 180мм")</f>
        <v>Надфіль алмазний круглий вигнутий двосторонній 180мм</v>
      </c>
      <c r="C103" s="59" t="s">
        <v>6</v>
      </c>
      <c r="D103" s="59">
        <v>33</v>
      </c>
      <c r="E103" s="91" t="s">
        <v>338</v>
      </c>
    </row>
    <row r="104" spans="1:5">
      <c r="A104" s="21">
        <f t="shared" si="3"/>
        <v>103</v>
      </c>
      <c r="B104" s="85" t="str">
        <f ca="1">IFERROR(__xludf.DUMMYFUNCTION("GOOGLETRANSLATE(B883:B898,""RU"",""UK"")"),"Надфіль алмазний квадратний 150мм")</f>
        <v>Надфіль алмазний квадратний 150мм</v>
      </c>
      <c r="C104" s="59" t="s">
        <v>6</v>
      </c>
      <c r="D104" s="59">
        <v>36</v>
      </c>
      <c r="E104" s="91" t="s">
        <v>104</v>
      </c>
    </row>
    <row r="105" spans="1:5">
      <c r="A105" s="21">
        <f t="shared" si="3"/>
        <v>104</v>
      </c>
      <c r="B105" s="85" t="str">
        <f ca="1">IFERROR(__xludf.DUMMYFUNCTION("GOOGLETRANSLATE(B884:B899,""RU"",""UK"")"),"Надфіль алмазний ножеподібний 150мм")</f>
        <v>Надфіль алмазний ножеподібний 150мм</v>
      </c>
      <c r="C105" s="59" t="s">
        <v>6</v>
      </c>
      <c r="D105" s="59">
        <v>1</v>
      </c>
      <c r="E105" s="91" t="s">
        <v>104</v>
      </c>
    </row>
    <row r="106" spans="1:5">
      <c r="A106" s="21">
        <f t="shared" si="3"/>
        <v>105</v>
      </c>
      <c r="B106" s="85" t="str">
        <f ca="1">IFERROR(__xludf.DUMMYFUNCTION("GOOGLETRANSLATE(B885:B900,""RU"",""UK"")"),"Надфіль алмазний овальний 150мм")</f>
        <v>Надфіль алмазний овальний 150мм</v>
      </c>
      <c r="C106" s="59" t="s">
        <v>6</v>
      </c>
      <c r="D106" s="59">
        <v>7</v>
      </c>
      <c r="E106" s="91" t="s">
        <v>104</v>
      </c>
    </row>
    <row r="107" spans="1:5">
      <c r="A107" s="21">
        <f t="shared" si="3"/>
        <v>106</v>
      </c>
      <c r="B107" s="85" t="str">
        <f ca="1">IFERROR(__xludf.DUMMYFUNCTION("GOOGLETRANSLATE(B886:B901,""RU"",""UK"")"),"Надфіль алмазний плоский 150мм")</f>
        <v>Надфіль алмазний плоский 150мм</v>
      </c>
      <c r="C107" s="59" t="s">
        <v>6</v>
      </c>
      <c r="D107" s="59">
        <v>15</v>
      </c>
      <c r="E107" s="91" t="s">
        <v>104</v>
      </c>
    </row>
    <row r="108" spans="1:5">
      <c r="A108" s="21">
        <f t="shared" si="3"/>
        <v>107</v>
      </c>
      <c r="B108" s="85" t="str">
        <f ca="1">IFERROR(__xludf.DUMMYFUNCTION("GOOGLETRANSLATE(B887:B902,""RU"",""UK"")"),"Надфіль алмазний ромбічний 150мм")</f>
        <v>Надфіль алмазний ромбічний 150мм</v>
      </c>
      <c r="C108" s="59" t="s">
        <v>6</v>
      </c>
      <c r="D108" s="59">
        <v>12</v>
      </c>
      <c r="E108" s="91" t="s">
        <v>104</v>
      </c>
    </row>
    <row r="109" spans="1:5">
      <c r="A109" s="196"/>
      <c r="B109" s="119" t="str">
        <f ca="1">IFERROR(__xludf.DUMMYFUNCTION("GOOGLETRANSLATE(B888:B903,""RU"",""UK"")"),"2. Е Л Ь Б О Р О В И Й  круг")</f>
        <v>2. Е Л Ь Б О Р О В И Й  круг</v>
      </c>
      <c r="C109" s="152"/>
      <c r="D109" s="117"/>
      <c r="E109" s="153"/>
    </row>
    <row r="110" spans="1:5">
      <c r="A110" s="122">
        <v>1</v>
      </c>
      <c r="B110" s="132" t="str">
        <f ca="1">IFERROR(__xludf.DUMMYFUNCTION("GOOGLETRANSLATE(B889:B904,""RU"",""UK"")"),"Чашка ельборова кін. 75х22х16х3х5")</f>
        <v>Чашка ельборова кін. 75х22х16х3х5</v>
      </c>
      <c r="C110" s="122" t="s">
        <v>6</v>
      </c>
      <c r="D110" s="122">
        <v>1</v>
      </c>
      <c r="E110" s="136" t="s">
        <v>20</v>
      </c>
    </row>
    <row r="111" spans="1:5">
      <c r="A111" s="122">
        <v>2</v>
      </c>
      <c r="B111" s="132" t="str">
        <f ca="1">IFERROR(__xludf.DUMMYFUNCTION("GOOGLETRANSLATE(B890:B905,""RU"",""UK"")"),"Чашка ельборова кін. 100х35х20х3х5")</f>
        <v>Чашка ельборова кін. 100х35х20х3х5</v>
      </c>
      <c r="C111" s="122" t="s">
        <v>6</v>
      </c>
      <c r="D111" s="122">
        <v>1</v>
      </c>
      <c r="E111" s="136" t="s">
        <v>16</v>
      </c>
    </row>
    <row r="112" spans="1:5">
      <c r="A112" s="122">
        <v>3</v>
      </c>
      <c r="B112" s="132" t="str">
        <f ca="1">IFERROR(__xludf.DUMMYFUNCTION("GOOGLETRANSLATE(B891:B906,""RU"",""UK"")"),"Чашка ельборова кін. 125х3х5х32 ЛОС 50/40")</f>
        <v>Чашка ельборова кін. 125х3х5х32 ЛОС 50/40</v>
      </c>
      <c r="C112" s="122" t="s">
        <v>6</v>
      </c>
      <c r="D112" s="122">
        <v>2</v>
      </c>
      <c r="E112" s="136" t="s">
        <v>27</v>
      </c>
    </row>
    <row r="113" spans="1:5">
      <c r="A113" s="122">
        <v>4</v>
      </c>
      <c r="B113" s="219" t="str">
        <f ca="1">IFERROR(__xludf.DUMMYFUNCTION("GOOGLETRANSLATE(B892:B907,""RU"",""UK"")"),"Чашка ельборова кін. 150х10х5х32 ЛО12 100%")</f>
        <v>Чашка ельборова кін. 150х10х5х32 ЛО12 100%</v>
      </c>
      <c r="C113" s="122" t="s">
        <v>6</v>
      </c>
      <c r="D113" s="122">
        <v>0</v>
      </c>
      <c r="E113" s="136" t="s">
        <v>102</v>
      </c>
    </row>
    <row r="114" spans="1:5">
      <c r="A114" s="122">
        <v>5</v>
      </c>
      <c r="B114" s="132" t="str">
        <f ca="1">IFERROR(__xludf.DUMMYFUNCTION("GOOGLETRANSLATE(B893:B908,""RU"",""UK"")"),"Чашка ельборова кін. 150х10х5х32 ЛОС 63/50")</f>
        <v>Чашка ельборова кін. 150х10х5х32 ЛОС 63/50</v>
      </c>
      <c r="C114" s="122" t="s">
        <v>6</v>
      </c>
      <c r="D114" s="122">
        <v>1</v>
      </c>
      <c r="E114" s="136" t="s">
        <v>102</v>
      </c>
    </row>
    <row r="115" spans="1:5">
      <c r="A115" s="122">
        <v>7</v>
      </c>
      <c r="B115" s="132" t="str">
        <f ca="1">IFERROR(__xludf.DUMMYFUNCTION("GOOGLETRANSLATE(B894:B909,""RU"",""UK"")"),"Круг ПП ельборова 150х5х3х32 ЛВ 80/63 Б1")</f>
        <v>Круг ПП ельборова 150х5х3х32 ЛВ 80/63 Б1</v>
      </c>
      <c r="C115" s="122" t="s">
        <v>6</v>
      </c>
      <c r="D115" s="122">
        <v>1</v>
      </c>
      <c r="E115" s="136" t="s">
        <v>63</v>
      </c>
    </row>
    <row r="116" spans="1:5">
      <c r="A116" s="122">
        <v>8</v>
      </c>
      <c r="B116" s="132" t="str">
        <f ca="1">IFERROR(__xludf.DUMMYFUNCTION("GOOGLETRANSLATE(B896:B911,""RU"",""UK"")"),"Круг радіусне 50х4х16 R2")</f>
        <v>Круг радіусне 50х4х16 R2</v>
      </c>
      <c r="C116" s="122" t="s">
        <v>6</v>
      </c>
      <c r="D116" s="122">
        <v>1</v>
      </c>
      <c r="E116" s="136" t="s">
        <v>140</v>
      </c>
    </row>
    <row r="117" spans="1:5">
      <c r="A117" s="122">
        <v>9</v>
      </c>
      <c r="B117" s="132" t="str">
        <f ca="1">IFERROR(__xludf.DUMMYFUNCTION("GOOGLETRANSLATE(B897:B912,""RU"",""UK"")"),"Круг радіусне 75х5х20 R2")</f>
        <v>Круг радіусне 75х5х20 R2</v>
      </c>
      <c r="C117" s="122" t="s">
        <v>6</v>
      </c>
      <c r="D117" s="122">
        <v>1</v>
      </c>
      <c r="E117" s="136" t="s">
        <v>20</v>
      </c>
    </row>
    <row r="118" spans="1:5">
      <c r="A118" s="122">
        <v>10</v>
      </c>
      <c r="B118" s="132" t="str">
        <f ca="1">IFERROR(__xludf.DUMMYFUNCTION("GOOGLETRANSLATE(B898:B913,""RU"",""UK"")"),"Круг ПП 2-х стор. коніч. виточення 125х6х32х60*")</f>
        <v>Круг ПП 2-х стор. коніч. виточення 125х6х32х60*</v>
      </c>
      <c r="C118" s="122" t="s">
        <v>6</v>
      </c>
      <c r="D118" s="122">
        <v>7</v>
      </c>
      <c r="E118" s="136" t="s">
        <v>24</v>
      </c>
    </row>
    <row r="119" spans="1:5">
      <c r="A119" s="155"/>
      <c r="B119" s="156" t="s">
        <v>6118</v>
      </c>
      <c r="C119" s="157"/>
      <c r="D119" s="157"/>
      <c r="E119" s="158"/>
    </row>
    <row r="120" spans="1:5">
      <c r="A120" s="21">
        <v>1</v>
      </c>
      <c r="B120" s="85" t="s">
        <v>6189</v>
      </c>
      <c r="C120" s="59" t="s">
        <v>6</v>
      </c>
      <c r="D120" s="59">
        <v>4</v>
      </c>
      <c r="E120" s="91">
        <v>90</v>
      </c>
    </row>
    <row r="121" spans="1:5">
      <c r="A121" s="21">
        <v>2</v>
      </c>
      <c r="B121" s="85" t="str">
        <f ca="1">IFERROR(__xludf.DUMMYFUNCTION("GOOGLETRANSLATE(B2193:B2208,""RU"",""UK"")"),"Різець-вставка ельборова d8х10мм")</f>
        <v>Різець-вставка ельборова d8х10мм</v>
      </c>
      <c r="C121" s="59" t="s">
        <v>6</v>
      </c>
      <c r="D121" s="59">
        <v>5</v>
      </c>
      <c r="E121" s="91">
        <v>90</v>
      </c>
    </row>
    <row r="122" spans="1:5">
      <c r="A122" s="21">
        <v>3</v>
      </c>
      <c r="B122" s="169" t="str">
        <f ca="1">IFERROR(__xludf.DUMMYFUNCTION("GOOGLETRANSLATE(B2194:B2209,""RU"",""UK"")"),"Різець-вставка ельборова d8х22мм пр")</f>
        <v>Різець-вставка ельборова d8х22мм пр</v>
      </c>
      <c r="C122" s="59" t="s">
        <v>6</v>
      </c>
      <c r="D122" s="160">
        <v>2</v>
      </c>
      <c r="E122" s="91">
        <v>120</v>
      </c>
    </row>
    <row r="123" spans="1:5">
      <c r="A123" s="21">
        <v>4</v>
      </c>
      <c r="B123" s="85" t="str">
        <f ca="1">IFERROR(__xludf.DUMMYFUNCTION("GOOGLETRANSLATE(B2195:B2210,""RU"",""UK"")"),"Різець-вставка ельборова d8х30мм прав")</f>
        <v>Різець-вставка ельборова d8х30мм прав</v>
      </c>
      <c r="C123" s="59" t="s">
        <v>6</v>
      </c>
      <c r="D123" s="37">
        <v>12</v>
      </c>
      <c r="E123" s="91">
        <v>135</v>
      </c>
    </row>
    <row r="124" spans="1:5">
      <c r="A124" s="21">
        <v>4</v>
      </c>
      <c r="B124" s="85" t="s">
        <v>6344</v>
      </c>
      <c r="C124" s="59" t="s">
        <v>6</v>
      </c>
      <c r="D124" s="37">
        <v>19</v>
      </c>
      <c r="E124" s="91">
        <v>200</v>
      </c>
    </row>
    <row r="125" spans="1:5">
      <c r="A125" s="21">
        <v>4</v>
      </c>
      <c r="B125" s="198" t="str">
        <f ca="1">IFERROR(__xludf.DUMMYFUNCTION("GOOGLETRANSLATE(B2196:B2211,""RU"",""UK"")"),"Різець-вставка ельборова d10х18мм пр")</f>
        <v>Різець-вставка ельборова d10х18мм пр</v>
      </c>
      <c r="C125" s="59" t="s">
        <v>6</v>
      </c>
      <c r="D125" s="59">
        <v>80</v>
      </c>
      <c r="E125" s="91">
        <v>120</v>
      </c>
    </row>
    <row r="126" spans="1:5">
      <c r="A126" s="21">
        <v>6</v>
      </c>
      <c r="B126" s="205" t="str">
        <f ca="1">IFERROR(__xludf.DUMMYFUNCTION("GOOGLETRANSLATE(B2197:B2212,""RU"",""UK"")"),"Різець-вставка ельборова d10х25мм пр")</f>
        <v>Різець-вставка ельборова d10х25мм пр</v>
      </c>
      <c r="C126" s="37" t="s">
        <v>6</v>
      </c>
      <c r="D126" s="37">
        <v>11</v>
      </c>
      <c r="E126" s="92">
        <v>132</v>
      </c>
    </row>
    <row r="127" spans="1:5">
      <c r="A127" s="21">
        <v>7</v>
      </c>
      <c r="B127" s="205" t="str">
        <f ca="1">IFERROR(__xludf.DUMMYFUNCTION("GOOGLETRANSLATE(B2197:B2212,""RU"",""UK"")"),"Різець-вставка ельборова К01 d10х27мм лів")</f>
        <v>Різець-вставка ельборова К01 d10х27мм лів</v>
      </c>
      <c r="C127" s="37" t="s">
        <v>6</v>
      </c>
      <c r="D127" s="37">
        <v>9</v>
      </c>
      <c r="E127" s="92">
        <v>132</v>
      </c>
    </row>
    <row r="128" spans="1:5">
      <c r="A128" s="21">
        <v>8</v>
      </c>
      <c r="B128" s="205" t="s">
        <v>6256</v>
      </c>
      <c r="C128" s="37" t="s">
        <v>6</v>
      </c>
      <c r="D128" s="37">
        <v>6</v>
      </c>
      <c r="E128" s="92">
        <v>132</v>
      </c>
    </row>
    <row r="129" spans="1:5">
      <c r="A129" s="21">
        <v>9</v>
      </c>
      <c r="B129" s="85" t="str">
        <f ca="1">IFERROR(__xludf.DUMMYFUNCTION("GOOGLETRANSLATE(B2198:B2213,""RU"",""UK"")"),"Різець-вставка ельборова К01 d10х41мм лів")</f>
        <v>Різець-вставка ельборова К01 d10х41мм лів</v>
      </c>
      <c r="C129" s="59" t="s">
        <v>6</v>
      </c>
      <c r="D129" s="59">
        <v>36</v>
      </c>
      <c r="E129" s="91">
        <v>185</v>
      </c>
    </row>
    <row r="130" spans="1:5">
      <c r="A130" s="21">
        <v>10</v>
      </c>
      <c r="B130" s="198" t="str">
        <f ca="1">IFERROR(__xludf.DUMMYFUNCTION("GOOGLETRANSLATE(B2200:B2215,""RU"",""UK"")"),"Різець-вставка ельборова К01 d12х10х21мм пр")</f>
        <v>Різець-вставка ельборова К01 d12х10х21мм пр</v>
      </c>
      <c r="C130" s="60" t="s">
        <v>6</v>
      </c>
      <c r="D130" s="60">
        <v>1</v>
      </c>
      <c r="E130" s="103">
        <v>150</v>
      </c>
    </row>
    <row r="131" spans="1:5">
      <c r="A131" s="21">
        <v>11</v>
      </c>
      <c r="B131" s="85" t="str">
        <f ca="1">IFERROR(__xludf.DUMMYFUNCTION("GOOGLETRANSLATE(B2199:B2214,""RU"",""UK"")"),"Різець-вставка ельборова К01 d12х27мм лів")</f>
        <v>Різець-вставка ельборова К01 d12х27мм лів</v>
      </c>
      <c r="C131" s="37" t="s">
        <v>6</v>
      </c>
      <c r="D131" s="26">
        <v>20</v>
      </c>
      <c r="E131" s="92">
        <v>162</v>
      </c>
    </row>
    <row r="132" spans="1:5">
      <c r="A132" s="21">
        <v>11</v>
      </c>
      <c r="B132" s="198" t="str">
        <f ca="1">IFERROR(__xludf.DUMMYFUNCTION("GOOGLETRANSLATE(B2200:B2215,""RU"",""UK"")"),"Різець-вставка ельборова К10 d12х10х35мм пр")</f>
        <v>Різець-вставка ельборова К10 d12х10х35мм пр</v>
      </c>
      <c r="C132" s="60" t="s">
        <v>6</v>
      </c>
      <c r="D132" s="60">
        <v>7</v>
      </c>
      <c r="E132" s="103">
        <v>180</v>
      </c>
    </row>
    <row r="133" spans="1:5">
      <c r="A133" s="21">
        <v>11</v>
      </c>
      <c r="B133" s="198" t="str">
        <f ca="1">IFERROR(__xludf.DUMMYFUNCTION("GOOGLETRANSLATE(B2200:B2215,""RU"",""UK"")"),"Різець-вставка ельборова К01 d12х60мм лів")</f>
        <v>Різець-вставка ельборова К01 d12х60мм лів</v>
      </c>
      <c r="C133" s="60" t="s">
        <v>6</v>
      </c>
      <c r="D133" s="60">
        <v>4</v>
      </c>
      <c r="E133" s="103">
        <v>210</v>
      </c>
    </row>
    <row r="134" spans="1:5">
      <c r="A134" s="21">
        <v>14</v>
      </c>
      <c r="B134" s="198" t="str">
        <f ca="1">IFERROR(__xludf.DUMMYFUNCTION("GOOGLETRANSLATE(B2201:B2216,""RU"",""UK"")"),"Різець-вставка ельборова К01 d16х31мм прав.")</f>
        <v>Різець-вставка ельборова К01 d16х31мм прав.</v>
      </c>
      <c r="C134" s="60" t="s">
        <v>6</v>
      </c>
      <c r="D134" s="60">
        <v>1</v>
      </c>
      <c r="E134" s="103">
        <v>200</v>
      </c>
    </row>
    <row r="135" spans="1:5">
      <c r="A135" s="21">
        <v>15</v>
      </c>
      <c r="B135" s="164" t="str">
        <f ca="1">IFERROR(__xludf.DUMMYFUNCTION("GOOGLETRANSLATE(B2201:B2216,""RU"",""UK"")"),"Різець-вставка ельборова К10 d16х35мм прав")</f>
        <v>Різець-вставка ельборова К10 d16х35мм прав</v>
      </c>
      <c r="C135" s="60" t="s">
        <v>6</v>
      </c>
      <c r="D135" s="60">
        <v>10</v>
      </c>
      <c r="E135" s="103">
        <v>195</v>
      </c>
    </row>
    <row r="136" spans="1:5">
      <c r="A136" s="21">
        <f>A135+1</f>
        <v>16</v>
      </c>
      <c r="B136" s="164" t="str">
        <f ca="1">IFERROR(__xludf.DUMMYFUNCTION("GOOGLETRANSLATE(B2201:B2216,""RU"",""UK"")"),"Різець-вставка ельборова К01 d16х35мм лів")</f>
        <v>Різець-вставка ельборова К01 d16х35мм лів</v>
      </c>
      <c r="C136" s="60" t="s">
        <v>6</v>
      </c>
      <c r="D136" s="60">
        <v>10</v>
      </c>
      <c r="E136" s="103">
        <v>195</v>
      </c>
    </row>
    <row r="137" spans="1:5">
      <c r="A137" s="21">
        <f>A136+1</f>
        <v>17</v>
      </c>
      <c r="B137" s="198" t="str">
        <f ca="1">IFERROR(__xludf.DUMMYFUNCTION("GOOGLETRANSLATE(B2201:B2216,""RU"",""UK"")"),"Різець-вставка ельборова К01 d16х60мм лів")</f>
        <v>Різець-вставка ельборова К01 d16х60мм лів</v>
      </c>
      <c r="C137" s="60" t="s">
        <v>6</v>
      </c>
      <c r="D137" s="60">
        <v>4</v>
      </c>
      <c r="E137" s="103">
        <v>220</v>
      </c>
    </row>
    <row r="138" spans="1:5">
      <c r="A138" s="21">
        <f>A137+1</f>
        <v>18</v>
      </c>
      <c r="B138" s="198" t="str">
        <f ca="1">IFERROR(__xludf.DUMMYFUNCTION("GOOGLETRANSLATE(B2203:B2218,""RU"",""UK"")"),"Різець-вставка ельборова К01-12х12х65мм лів")</f>
        <v>Різець-вставка ельборова К01-12х12х65мм лів</v>
      </c>
      <c r="C138" s="60" t="s">
        <v>6</v>
      </c>
      <c r="D138" s="60">
        <v>1</v>
      </c>
      <c r="E138" s="103">
        <v>220</v>
      </c>
    </row>
    <row r="139" spans="1:5">
      <c r="A139" s="21">
        <f>A138+1</f>
        <v>19</v>
      </c>
      <c r="B139" s="198" t="str">
        <f ca="1">IFERROR(__xludf.DUMMYFUNCTION("GOOGLETRANSLATE(B2203:B2218,""RU"",""UK"")"),"Різець-вставка ельборова К10-12х12х65мм лів")</f>
        <v>Різець-вставка ельборова К10-12х12х65мм лів</v>
      </c>
      <c r="C139" s="60" t="s">
        <v>6</v>
      </c>
      <c r="D139" s="60">
        <v>4</v>
      </c>
      <c r="E139" s="103">
        <v>220</v>
      </c>
    </row>
    <row r="140" spans="1:5">
      <c r="A140" s="21">
        <f t="shared" ref="A140:A142" si="4">A139+1</f>
        <v>20</v>
      </c>
      <c r="B140" s="198" t="str">
        <f ca="1">IFERROR(__xludf.DUMMYFUNCTION("GOOGLETRANSLATE(B2204:B2219,""RU"",""UK"")"),"Різець-вставка ельборова К01-16х16х80мм правий")</f>
        <v>Різець-вставка ельборова К01-16х16х80мм правий</v>
      </c>
      <c r="C140" s="60" t="s">
        <v>6</v>
      </c>
      <c r="D140" s="60">
        <v>6</v>
      </c>
      <c r="E140" s="103">
        <v>250</v>
      </c>
    </row>
    <row r="141" spans="1:5">
      <c r="A141" s="21">
        <f t="shared" si="4"/>
        <v>21</v>
      </c>
      <c r="B141" s="198" t="str">
        <f ca="1">IFERROR(__xludf.DUMMYFUNCTION("GOOGLETRANSLATE(B2204:B2219,""RU"",""UK"")"),"Різець-вставка ельборова К10-16х16х80мм правий")</f>
        <v>Різець-вставка ельборова К10-16х16х80мм правий</v>
      </c>
      <c r="C141" s="60" t="s">
        <v>6</v>
      </c>
      <c r="D141" s="60">
        <v>4</v>
      </c>
      <c r="E141" s="103">
        <v>250</v>
      </c>
    </row>
    <row r="142" spans="1:5">
      <c r="A142" s="21">
        <f t="shared" si="4"/>
        <v>22</v>
      </c>
      <c r="B142" s="198" t="str">
        <f ca="1">IFERROR(__xludf.DUMMYFUNCTION("GOOGLETRANSLATE(B2204:B2219,""RU"",""UK"")"),"Різець-вставка ельборова К10-16х16х80мм лівий")</f>
        <v>Різець-вставка ельборова К10-16х16х80мм лівий</v>
      </c>
      <c r="C142" s="60" t="s">
        <v>6</v>
      </c>
      <c r="D142" s="60">
        <v>17</v>
      </c>
      <c r="E142" s="103">
        <v>250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7"/>
  <sheetViews>
    <sheetView topLeftCell="A207" zoomScale="250" zoomScaleNormal="250" workbookViewId="0">
      <selection activeCell="B214" sqref="B214"/>
    </sheetView>
  </sheetViews>
  <sheetFormatPr defaultRowHeight="12.75"/>
  <cols>
    <col min="2" max="2" width="43.85546875" customWidth="1"/>
  </cols>
  <sheetData>
    <row r="1" spans="1:5">
      <c r="A1" s="68"/>
      <c r="B1" s="119" t="s">
        <v>6063</v>
      </c>
      <c r="C1" s="69"/>
      <c r="D1" s="69"/>
      <c r="E1" s="106"/>
    </row>
    <row r="2" spans="1:5">
      <c r="A2" s="21">
        <v>1</v>
      </c>
      <c r="B2" s="47" t="str">
        <f ca="1">IFERROR(__xludf.DUMMYFUNCTION("GOOGLETRANSLATE(B4173:B4188,""RU"",""UK"")"),"Цвях 20мм (3кгх4шт)")</f>
        <v>Цвях 20мм (3кгх4шт)</v>
      </c>
      <c r="C2" s="59" t="s">
        <v>130</v>
      </c>
      <c r="D2" s="59">
        <v>12</v>
      </c>
      <c r="E2" s="91" t="s">
        <v>201</v>
      </c>
    </row>
    <row r="3" spans="1:5">
      <c r="A3" s="21">
        <v>2</v>
      </c>
      <c r="B3" s="85" t="str">
        <f ca="1">IFERROR(__xludf.DUMMYFUNCTION("GOOGLETRANSLATE(B4174:B4189,""RU"",""UK"")"),"Цвях 25мм (3х3+(10кгх3шт)+8+9кг)")</f>
        <v>Цвях 25мм (3х3+(10кгх3шт)+8+9кг)</v>
      </c>
      <c r="C3" s="59" t="s">
        <v>130</v>
      </c>
      <c r="D3" s="59">
        <v>56</v>
      </c>
      <c r="E3" s="91">
        <v>45</v>
      </c>
    </row>
    <row r="4" spans="1:5">
      <c r="A4" s="21">
        <v>3</v>
      </c>
      <c r="B4" s="85" t="str">
        <f ca="1">IFERROR(__xludf.DUMMYFUNCTION("GOOGLETRANSLATE(B4175:B4190,""RU"",""UK"")"),"Цвях 32мм (3кгх4шт+13+2кг)")</f>
        <v>Цвях 32мм (3кгх4шт+13+2кг)</v>
      </c>
      <c r="C4" s="59" t="s">
        <v>130</v>
      </c>
      <c r="D4" s="59">
        <v>27</v>
      </c>
      <c r="E4" s="91">
        <v>45</v>
      </c>
    </row>
    <row r="5" spans="1:5">
      <c r="A5" s="21">
        <v>4</v>
      </c>
      <c r="B5" s="85" t="str">
        <f ca="1">IFERROR(__xludf.DUMMYFUNCTION("GOOGLETRANSLATE(B4176:B4191,""RU"",""UK"")"),"Цвях 40мм (20кгх3шт+10кгх2+3кгх5)")</f>
        <v>Цвях 40мм (20кгх3шт+10кгх2+3кгх5)</v>
      </c>
      <c r="C5" s="59" t="s">
        <v>130</v>
      </c>
      <c r="D5" s="59">
        <v>88</v>
      </c>
      <c r="E5" s="91">
        <v>45</v>
      </c>
    </row>
    <row r="6" spans="1:5">
      <c r="A6" s="68"/>
      <c r="B6" s="110" t="s">
        <v>6064</v>
      </c>
      <c r="C6" s="69"/>
      <c r="D6" s="69"/>
      <c r="E6" s="106"/>
    </row>
    <row r="7" spans="1:5">
      <c r="A7" s="21">
        <v>1</v>
      </c>
      <c r="B7" s="85" t="str">
        <f ca="1">IFERROR(__xludf.DUMMYFUNCTION("GOOGLETRANSLATE(B4180:B4195,""RU"",""UK"")"),"Гайка 4")</f>
        <v>Гайка 4</v>
      </c>
      <c r="C7" s="59" t="s">
        <v>130</v>
      </c>
      <c r="D7" s="59">
        <v>0</v>
      </c>
      <c r="E7" s="91" t="s">
        <v>631</v>
      </c>
    </row>
    <row r="8" spans="1:5">
      <c r="A8" s="21">
        <f>A7+1</f>
        <v>2</v>
      </c>
      <c r="B8" s="85" t="str">
        <f ca="1">IFERROR(__xludf.DUMMYFUNCTION("GOOGLETRANSLATE(B4181:B4196,""RU"",""UK"")"),"Гайка 5")</f>
        <v>Гайка 5</v>
      </c>
      <c r="C8" s="59" t="s">
        <v>130</v>
      </c>
      <c r="D8" s="59" t="s">
        <v>5544</v>
      </c>
      <c r="E8" s="91" t="s">
        <v>319</v>
      </c>
    </row>
    <row r="9" spans="1:5">
      <c r="A9" s="21">
        <f t="shared" ref="A9:A71" si="0">A8+1</f>
        <v>3</v>
      </c>
      <c r="B9" s="85" t="str">
        <f ca="1">IFERROR(__xludf.DUMMYFUNCTION("GOOGLETRANSLATE(B4182:B4197,""RU"",""UK"")"),"Гайка 6")</f>
        <v>Гайка 6</v>
      </c>
      <c r="C9" s="59" t="s">
        <v>130</v>
      </c>
      <c r="D9" s="59">
        <v>5</v>
      </c>
      <c r="E9" s="91" t="s">
        <v>317</v>
      </c>
    </row>
    <row r="10" spans="1:5">
      <c r="A10" s="21">
        <f t="shared" si="0"/>
        <v>4</v>
      </c>
      <c r="B10" s="85" t="str">
        <f ca="1">IFERROR(__xludf.DUMMYFUNCTION("GOOGLETRANSLATE(B4183:B4198,""RU"",""UK"")"),"Гайка 8")</f>
        <v>Гайка 8</v>
      </c>
      <c r="C10" s="59" t="s">
        <v>130</v>
      </c>
      <c r="D10" s="59">
        <v>0</v>
      </c>
      <c r="E10" s="91" t="s">
        <v>317</v>
      </c>
    </row>
    <row r="11" spans="1:5">
      <c r="A11" s="21">
        <f t="shared" si="0"/>
        <v>5</v>
      </c>
      <c r="B11" s="85" t="str">
        <f ca="1">IFERROR(__xludf.DUMMYFUNCTION("GOOGLETRANSLATE(B4184:B4199,""RU"",""UK"")"),"Гайка 10")</f>
        <v>Гайка 10</v>
      </c>
      <c r="C11" s="59" t="s">
        <v>130</v>
      </c>
      <c r="D11" s="59">
        <v>0</v>
      </c>
      <c r="E11" s="91">
        <v>135</v>
      </c>
    </row>
    <row r="12" spans="1:5">
      <c r="A12" s="21">
        <f t="shared" si="0"/>
        <v>6</v>
      </c>
      <c r="B12" s="85" t="str">
        <f ca="1">IFERROR(__xludf.DUMMYFUNCTION("GOOGLETRANSLATE(B4185:B4200,""RU"",""UK"")"),"Гайка 12")</f>
        <v>Гайка 12</v>
      </c>
      <c r="C12" s="59" t="s">
        <v>130</v>
      </c>
      <c r="D12" s="59">
        <v>13.7</v>
      </c>
      <c r="E12" s="91" t="s">
        <v>194</v>
      </c>
    </row>
    <row r="13" spans="1:5">
      <c r="A13" s="21">
        <f t="shared" si="0"/>
        <v>7</v>
      </c>
      <c r="B13" s="85" t="str">
        <f ca="1">IFERROR(__xludf.DUMMYFUNCTION("GOOGLETRANSLATE(B4186:B4201,""RU"",""UK"")"),"Гайка 12оц.")</f>
        <v>Гайка 12оц.</v>
      </c>
      <c r="C13" s="59" t="s">
        <v>130</v>
      </c>
      <c r="D13" s="59">
        <v>16</v>
      </c>
      <c r="E13" s="91" t="s">
        <v>317</v>
      </c>
    </row>
    <row r="14" spans="1:5">
      <c r="A14" s="21">
        <f t="shared" si="0"/>
        <v>8</v>
      </c>
      <c r="B14" s="85" t="str">
        <f ca="1">IFERROR(__xludf.DUMMYFUNCTION("GOOGLETRANSLATE(B4187:B4202,""RU"",""UK"")"),"Гайка 14")</f>
        <v>Гайка 14</v>
      </c>
      <c r="C14" s="59" t="s">
        <v>130</v>
      </c>
      <c r="D14" s="59">
        <v>0</v>
      </c>
      <c r="E14" s="91" t="s">
        <v>194</v>
      </c>
    </row>
    <row r="15" spans="1:5">
      <c r="A15" s="21">
        <f t="shared" si="0"/>
        <v>9</v>
      </c>
      <c r="B15" s="85" t="str">
        <f ca="1">IFERROR(__xludf.DUMMYFUNCTION("GOOGLETRANSLATE(B4188:B4203,""RU"",""UK"")"),"Гайка 16")</f>
        <v>Гайка 16</v>
      </c>
      <c r="C15" s="59" t="s">
        <v>130</v>
      </c>
      <c r="D15" s="59">
        <v>33</v>
      </c>
      <c r="E15" s="91" t="s">
        <v>194</v>
      </c>
    </row>
    <row r="16" spans="1:5">
      <c r="A16" s="21">
        <f t="shared" si="0"/>
        <v>10</v>
      </c>
      <c r="B16" s="85" t="str">
        <f ca="1">IFERROR(__xludf.DUMMYFUNCTION("GOOGLETRANSLATE(B4189:B4204,""RU"",""UK"")"),"Гайка 16оц.")</f>
        <v>Гайка 16оц.</v>
      </c>
      <c r="C16" s="59" t="s">
        <v>130</v>
      </c>
      <c r="D16" s="59">
        <v>236</v>
      </c>
      <c r="E16" s="91" t="s">
        <v>348</v>
      </c>
    </row>
    <row r="17" spans="1:5">
      <c r="A17" s="21">
        <f t="shared" si="0"/>
        <v>11</v>
      </c>
      <c r="B17" s="85" t="str">
        <f ca="1">IFERROR(__xludf.DUMMYFUNCTION("GOOGLETRANSLATE(B4190:B4205,""RU"",""UK"")"),"Гайка 18")</f>
        <v>Гайка 18</v>
      </c>
      <c r="C17" s="59" t="s">
        <v>130</v>
      </c>
      <c r="D17" s="59">
        <v>12</v>
      </c>
      <c r="E17" s="91" t="s">
        <v>194</v>
      </c>
    </row>
    <row r="18" spans="1:5">
      <c r="A18" s="21">
        <f t="shared" si="0"/>
        <v>12</v>
      </c>
      <c r="B18" s="85" t="str">
        <f ca="1">IFERROR(__xludf.DUMMYFUNCTION("GOOGLETRANSLATE(B4191:B4206,""RU"",""UK"")"),"Гайка 20")</f>
        <v>Гайка 20</v>
      </c>
      <c r="C18" s="59" t="s">
        <v>130</v>
      </c>
      <c r="D18" s="59">
        <v>0</v>
      </c>
      <c r="E18" s="91" t="s">
        <v>136</v>
      </c>
    </row>
    <row r="19" spans="1:5">
      <c r="A19" s="21">
        <f t="shared" si="0"/>
        <v>13</v>
      </c>
      <c r="B19" s="85" t="str">
        <f ca="1">IFERROR(__xludf.DUMMYFUNCTION("GOOGLETRANSLATE(B4192:B4207,""RU"",""UK"")"),"Гайка 22 / 24")</f>
        <v>Гайка 22 / 24</v>
      </c>
      <c r="C19" s="59" t="s">
        <v>130</v>
      </c>
      <c r="D19" s="59" t="s">
        <v>6131</v>
      </c>
      <c r="E19" s="91" t="s">
        <v>1194</v>
      </c>
    </row>
    <row r="20" spans="1:5">
      <c r="A20" s="21">
        <f t="shared" si="0"/>
        <v>14</v>
      </c>
      <c r="B20" s="85" t="str">
        <f ca="1">IFERROR(__xludf.DUMMYFUNCTION("GOOGLETRANSLATE(B4193:B4208,""RU"",""UK"")"),"Гайка 24х1,5оц")</f>
        <v>Гайка 24х1,5оц</v>
      </c>
      <c r="C20" s="59" t="s">
        <v>130</v>
      </c>
      <c r="D20" s="59">
        <v>3</v>
      </c>
      <c r="E20" s="91" t="s">
        <v>1194</v>
      </c>
    </row>
    <row r="21" spans="1:5">
      <c r="A21" s="21">
        <f t="shared" si="0"/>
        <v>15</v>
      </c>
      <c r="B21" s="85" t="str">
        <f ca="1">IFERROR(__xludf.DUMMYFUNCTION("GOOGLETRANSLATE(B4194:B4209,""RU"",""UK"")"),"Гайка 27оц. / 30оц.")</f>
        <v>Гайка 27оц. / 30оц.</v>
      </c>
      <c r="C21" s="59" t="s">
        <v>130</v>
      </c>
      <c r="D21" s="59" t="s">
        <v>3720</v>
      </c>
      <c r="E21" s="91" t="s">
        <v>557</v>
      </c>
    </row>
    <row r="22" spans="1:5">
      <c r="A22" s="21">
        <f t="shared" si="0"/>
        <v>16</v>
      </c>
      <c r="B22" s="85" t="str">
        <f ca="1">IFERROR(__xludf.DUMMYFUNCTION("GOOGLETRANSLATE(B4195:B4210,""RU"",""UK"")"),"Гайка 30")</f>
        <v>Гайка 30</v>
      </c>
      <c r="C22" s="59" t="s">
        <v>130</v>
      </c>
      <c r="D22" s="59">
        <v>9</v>
      </c>
      <c r="E22" s="91" t="s">
        <v>136</v>
      </c>
    </row>
    <row r="23" spans="1:5">
      <c r="A23" s="21">
        <f t="shared" si="0"/>
        <v>17</v>
      </c>
      <c r="B23" s="85" t="str">
        <f ca="1">IFERROR(__xludf.DUMMYFUNCTION("GOOGLETRANSLATE(B4196:B4211,""RU"",""UK"")"),"Гайка 36оц.")</f>
        <v>Гайка 36оц.</v>
      </c>
      <c r="C23" s="59" t="s">
        <v>130</v>
      </c>
      <c r="D23" s="59">
        <v>10</v>
      </c>
      <c r="E23" s="91" t="s">
        <v>557</v>
      </c>
    </row>
    <row r="24" spans="1:5">
      <c r="A24" s="21">
        <f t="shared" si="0"/>
        <v>18</v>
      </c>
      <c r="B24" s="85" t="str">
        <f ca="1">IFERROR(__xludf.DUMMYFUNCTION("GOOGLETRANSLATE(B4197:B4212,""RU"",""UK"")"),"Гайка 42")</f>
        <v>Гайка 42</v>
      </c>
      <c r="C24" s="59" t="s">
        <v>6</v>
      </c>
      <c r="D24" s="59">
        <v>7</v>
      </c>
      <c r="E24" s="91" t="s">
        <v>136</v>
      </c>
    </row>
    <row r="25" spans="1:5">
      <c r="A25" s="21">
        <f t="shared" si="0"/>
        <v>19</v>
      </c>
      <c r="B25" s="85" t="str">
        <f ca="1">IFERROR(__xludf.DUMMYFUNCTION("GOOGLETRANSLATE(B4198:B4213,""RU"",""UK"")"),"Шайба гровер 4оц")</f>
        <v>Шайба гровер 4оц</v>
      </c>
      <c r="C25" s="59" t="s">
        <v>130</v>
      </c>
      <c r="D25" s="59" t="s">
        <v>5309</v>
      </c>
      <c r="E25" s="91" t="s">
        <v>185</v>
      </c>
    </row>
    <row r="26" spans="1:5">
      <c r="A26" s="21">
        <f t="shared" si="0"/>
        <v>20</v>
      </c>
      <c r="B26" s="85" t="str">
        <f ca="1">IFERROR(__xludf.DUMMYFUNCTION("GOOGLETRANSLATE(B4199:B4214,""RU"",""UK"")"),"Шайба гровер 5")</f>
        <v>Шайба гровер 5</v>
      </c>
      <c r="C26" s="59" t="s">
        <v>130</v>
      </c>
      <c r="D26" s="59">
        <v>21</v>
      </c>
      <c r="E26" s="91" t="s">
        <v>185</v>
      </c>
    </row>
    <row r="27" spans="1:5">
      <c r="A27" s="21">
        <f t="shared" si="0"/>
        <v>21</v>
      </c>
      <c r="B27" s="85" t="str">
        <f ca="1">IFERROR(__xludf.DUMMYFUNCTION("GOOGLETRANSLATE(B4200:B4215,""RU"",""UK"")"),"Шайба гровер 6")</f>
        <v>Шайба гровер 6</v>
      </c>
      <c r="C27" s="59" t="s">
        <v>130</v>
      </c>
      <c r="D27" s="59">
        <v>64</v>
      </c>
      <c r="E27" s="91" t="s">
        <v>212</v>
      </c>
    </row>
    <row r="28" spans="1:5">
      <c r="A28" s="21">
        <f t="shared" si="0"/>
        <v>22</v>
      </c>
      <c r="B28" s="85" t="str">
        <f ca="1">IFERROR(__xludf.DUMMYFUNCTION("GOOGLETRANSLATE(B4201:B4216,""RU"",""UK"")"),"Шайба гровер 8")</f>
        <v>Шайба гровер 8</v>
      </c>
      <c r="C28" s="59" t="s">
        <v>130</v>
      </c>
      <c r="D28" s="59">
        <v>0</v>
      </c>
      <c r="E28" s="91" t="s">
        <v>212</v>
      </c>
    </row>
    <row r="29" spans="1:5">
      <c r="A29" s="21">
        <f t="shared" si="0"/>
        <v>23</v>
      </c>
      <c r="B29" s="85" t="str">
        <f ca="1">IFERROR(__xludf.DUMMYFUNCTION("GOOGLETRANSLATE(B4202:B4217,""RU"",""UK"")"),"Шайба гровер 12")</f>
        <v>Шайба гровер 12</v>
      </c>
      <c r="C29" s="59" t="s">
        <v>130</v>
      </c>
      <c r="D29" s="59">
        <v>17</v>
      </c>
      <c r="E29" s="91">
        <v>110</v>
      </c>
    </row>
    <row r="30" spans="1:5">
      <c r="A30" s="21">
        <f t="shared" si="0"/>
        <v>24</v>
      </c>
      <c r="B30" s="85" t="str">
        <f ca="1">IFERROR(__xludf.DUMMYFUNCTION("GOOGLETRANSLATE(B4203:B4218,""RU"",""UK"")"),"Шайба гровер 16")</f>
        <v>Шайба гровер 16</v>
      </c>
      <c r="C30" s="59" t="s">
        <v>130</v>
      </c>
      <c r="D30" s="59">
        <v>44</v>
      </c>
      <c r="E30" s="91">
        <v>110</v>
      </c>
    </row>
    <row r="31" spans="1:5">
      <c r="A31" s="21">
        <f t="shared" si="0"/>
        <v>25</v>
      </c>
      <c r="B31" s="85" t="str">
        <f ca="1">IFERROR(__xludf.DUMMYFUNCTION("GOOGLETRANSLATE(B4204:B4219,""RU"",""UK"")"),"Шайба гровер 16оц.")</f>
        <v>Шайба гровер 16оц.</v>
      </c>
      <c r="C31" s="59" t="s">
        <v>130</v>
      </c>
      <c r="D31" s="59">
        <v>9.5</v>
      </c>
      <c r="E31" s="91">
        <v>115</v>
      </c>
    </row>
    <row r="32" spans="1:5">
      <c r="A32" s="21">
        <f t="shared" si="0"/>
        <v>26</v>
      </c>
      <c r="B32" s="85" t="str">
        <f ca="1">IFERROR(__xludf.DUMMYFUNCTION("GOOGLETRANSLATE(B4205:B4220,""RU"",""UK"")"),"Шайба гровер 18 / 20")</f>
        <v>Шайба гровер 18 / 20</v>
      </c>
      <c r="C32" s="59" t="s">
        <v>130</v>
      </c>
      <c r="D32" s="59" t="s">
        <v>6232</v>
      </c>
      <c r="E32" s="91">
        <v>110</v>
      </c>
    </row>
    <row r="33" spans="1:5">
      <c r="A33" s="21">
        <f t="shared" si="0"/>
        <v>27</v>
      </c>
      <c r="B33" s="85" t="str">
        <f ca="1">IFERROR(__xludf.DUMMYFUNCTION("GOOGLETRANSLATE(B4206:B4221,""RU"",""UK"")"),"Шайба гровер 20оц.")</f>
        <v>Шайба гровер 20оц.</v>
      </c>
      <c r="C33" s="59" t="s">
        <v>130</v>
      </c>
      <c r="D33" s="59">
        <v>14</v>
      </c>
      <c r="E33" s="91">
        <v>115</v>
      </c>
    </row>
    <row r="34" spans="1:5">
      <c r="A34" s="21">
        <f t="shared" si="0"/>
        <v>28</v>
      </c>
      <c r="B34" s="85" t="str">
        <f ca="1">IFERROR(__xludf.DUMMYFUNCTION("GOOGLETRANSLATE(B4207:B4222,""RU"",""UK"")"),"Шайба гровер 24оц.")</f>
        <v>Шайба гровер 24оц.</v>
      </c>
      <c r="C34" s="59" t="s">
        <v>130</v>
      </c>
      <c r="D34" s="59">
        <v>9.5</v>
      </c>
      <c r="E34" s="91">
        <v>110</v>
      </c>
    </row>
    <row r="35" spans="1:5">
      <c r="A35" s="21">
        <f t="shared" si="0"/>
        <v>29</v>
      </c>
      <c r="B35" s="85" t="str">
        <f ca="1">IFERROR(__xludf.DUMMYFUNCTION("GOOGLETRANSLATE(B4208:B4223,""RU"",""UK"")"),"Шайба гровер 27")</f>
        <v>Шайба гровер 27</v>
      </c>
      <c r="C35" s="59" t="s">
        <v>130</v>
      </c>
      <c r="D35" s="59" t="s">
        <v>5576</v>
      </c>
      <c r="E35" s="91" t="s">
        <v>564</v>
      </c>
    </row>
    <row r="36" spans="1:5">
      <c r="A36" s="21">
        <f t="shared" si="0"/>
        <v>30</v>
      </c>
      <c r="B36" s="85" t="str">
        <f ca="1">IFERROR(__xludf.DUMMYFUNCTION("GOOGLETRANSLATE(B4209:B4224,""RU"",""UK"")"),"Шайба плоска 5")</f>
        <v>Шайба плоска 5</v>
      </c>
      <c r="C36" s="59" t="s">
        <v>130</v>
      </c>
      <c r="D36" s="59">
        <v>52</v>
      </c>
      <c r="E36" s="91" t="s">
        <v>185</v>
      </c>
    </row>
    <row r="37" spans="1:5">
      <c r="A37" s="21">
        <f t="shared" si="0"/>
        <v>31</v>
      </c>
      <c r="B37" s="85" t="str">
        <f ca="1">IFERROR(__xludf.DUMMYFUNCTION("GOOGLETRANSLATE(B4210:B4225,""RU"",""UK"")"),"Шайба плоска 6")</f>
        <v>Шайба плоска 6</v>
      </c>
      <c r="C37" s="59" t="s">
        <v>130</v>
      </c>
      <c r="D37" s="59">
        <v>1</v>
      </c>
      <c r="E37" s="91" t="s">
        <v>185</v>
      </c>
    </row>
    <row r="38" spans="1:5">
      <c r="A38" s="21">
        <f t="shared" si="0"/>
        <v>32</v>
      </c>
      <c r="B38" s="85" t="str">
        <f ca="1">IFERROR(__xludf.DUMMYFUNCTION("GOOGLETRANSLATE(B4211:B4226,""RU"",""UK"")"),"Шайба плоска 8")</f>
        <v>Шайба плоска 8</v>
      </c>
      <c r="C38" s="59" t="s">
        <v>130</v>
      </c>
      <c r="D38" s="59">
        <v>2.5</v>
      </c>
      <c r="E38" s="91" t="s">
        <v>185</v>
      </c>
    </row>
    <row r="39" spans="1:5">
      <c r="A39" s="21">
        <f t="shared" si="0"/>
        <v>33</v>
      </c>
      <c r="B39" s="85" t="str">
        <f ca="1">IFERROR(__xludf.DUMMYFUNCTION("GOOGLETRANSLATE(B4212:B4227,""RU"",""UK"")"),"Шайба плоска 10")</f>
        <v>Шайба плоска 10</v>
      </c>
      <c r="C39" s="59" t="s">
        <v>130</v>
      </c>
      <c r="D39" s="59">
        <v>3.5</v>
      </c>
      <c r="E39" s="91" t="s">
        <v>185</v>
      </c>
    </row>
    <row r="40" spans="1:5">
      <c r="A40" s="21">
        <f t="shared" si="0"/>
        <v>34</v>
      </c>
      <c r="B40" s="85" t="str">
        <f ca="1">IFERROR(__xludf.DUMMYFUNCTION("GOOGLETRANSLATE(B4213:B4228,""RU"",""UK"")"),"Шайба плоска 12")</f>
        <v>Шайба плоска 12</v>
      </c>
      <c r="C40" s="59" t="s">
        <v>130</v>
      </c>
      <c r="D40" s="59">
        <v>574.5</v>
      </c>
      <c r="E40" s="91" t="s">
        <v>212</v>
      </c>
    </row>
    <row r="41" spans="1:5">
      <c r="A41" s="21">
        <f t="shared" si="0"/>
        <v>35</v>
      </c>
      <c r="B41" s="85" t="str">
        <f ca="1">IFERROR(__xludf.DUMMYFUNCTION("GOOGLETRANSLATE(B4214:B4229,""RU"",""UK"")"),"Шайба плоска 12оц.")</f>
        <v>Шайба плоска 12оц.</v>
      </c>
      <c r="C41" s="59" t="s">
        <v>130</v>
      </c>
      <c r="D41" s="59">
        <v>49.5</v>
      </c>
      <c r="E41" s="91" t="s">
        <v>212</v>
      </c>
    </row>
    <row r="42" spans="1:5">
      <c r="A42" s="21">
        <f t="shared" si="0"/>
        <v>36</v>
      </c>
      <c r="B42" s="85" t="str">
        <f ca="1">IFERROR(__xludf.DUMMYFUNCTION("GOOGLETRANSLATE(B4215:B4230,""RU"",""UK"")"),"Шайба плоска бронзова 12")</f>
        <v>Шайба плоска бронзова 12</v>
      </c>
      <c r="C42" s="59" t="s">
        <v>130</v>
      </c>
      <c r="D42" s="59" t="s">
        <v>5584</v>
      </c>
      <c r="E42" s="91" t="s">
        <v>140</v>
      </c>
    </row>
    <row r="43" spans="1:5">
      <c r="A43" s="21">
        <f t="shared" si="0"/>
        <v>37</v>
      </c>
      <c r="B43" s="85" t="str">
        <f ca="1">IFERROR(__xludf.DUMMYFUNCTION("GOOGLETRANSLATE(B4216:B4231,""RU"",""UK"")"),"Шайба плоска 14")</f>
        <v>Шайба плоска 14</v>
      </c>
      <c r="C43" s="59" t="s">
        <v>130</v>
      </c>
      <c r="D43" s="59">
        <v>1</v>
      </c>
      <c r="E43" s="91" t="s">
        <v>212</v>
      </c>
    </row>
    <row r="44" spans="1:5">
      <c r="A44" s="21">
        <f t="shared" si="0"/>
        <v>38</v>
      </c>
      <c r="B44" s="85" t="str">
        <f ca="1">IFERROR(__xludf.DUMMYFUNCTION("GOOGLETRANSLATE(B4217:B4232,""RU"",""UK"")"),"Шайба плоска 16")</f>
        <v>Шайба плоска 16</v>
      </c>
      <c r="C44" s="59" t="s">
        <v>130</v>
      </c>
      <c r="D44" s="59">
        <v>0</v>
      </c>
      <c r="E44" s="91" t="s">
        <v>495</v>
      </c>
    </row>
    <row r="45" spans="1:5">
      <c r="A45" s="21">
        <f t="shared" si="0"/>
        <v>39</v>
      </c>
      <c r="B45" s="85" t="str">
        <f ca="1">IFERROR(__xludf.DUMMYFUNCTION("GOOGLETRANSLATE(B4218:B4233,""RU"",""UK"")"),"Шайба плоска 18 / 20")</f>
        <v>Шайба плоска 18 / 20</v>
      </c>
      <c r="C45" s="59" t="s">
        <v>130</v>
      </c>
      <c r="D45" s="159" t="s">
        <v>6168</v>
      </c>
      <c r="E45" s="91" t="s">
        <v>495</v>
      </c>
    </row>
    <row r="46" spans="1:5">
      <c r="A46" s="21">
        <f t="shared" si="0"/>
        <v>40</v>
      </c>
      <c r="B46" s="85" t="str">
        <f ca="1">IFERROR(__xludf.DUMMYFUNCTION("GOOGLETRANSLATE(B4219:B4234,""RU"",""UK"")"),"Шайба плоска 22 / 24")</f>
        <v>Шайба плоска 22 / 24</v>
      </c>
      <c r="C46" s="59" t="s">
        <v>130</v>
      </c>
      <c r="D46" s="59" t="s">
        <v>6132</v>
      </c>
      <c r="E46" s="91" t="s">
        <v>495</v>
      </c>
    </row>
    <row r="47" spans="1:5">
      <c r="A47" s="21">
        <f t="shared" si="0"/>
        <v>41</v>
      </c>
      <c r="B47" s="85" t="str">
        <f ca="1">IFERROR(__xludf.DUMMYFUNCTION("GOOGLETRANSLATE(B4220:B4235,""RU"",""UK"")"),"Шайба плоска 30")</f>
        <v>Шайба плоска 30</v>
      </c>
      <c r="C47" s="59" t="s">
        <v>130</v>
      </c>
      <c r="D47" s="59" t="s">
        <v>5592</v>
      </c>
      <c r="E47" s="91" t="s">
        <v>495</v>
      </c>
    </row>
    <row r="48" spans="1:5">
      <c r="A48" s="21">
        <f t="shared" si="0"/>
        <v>42</v>
      </c>
      <c r="B48" s="85" t="str">
        <f ca="1">IFERROR(__xludf.DUMMYFUNCTION("GOOGLETRANSLATE(B4221:B4236,""RU"",""UK"")"),"Шайба плоска 30оц / 36оц")</f>
        <v>Шайба плоска 30оц / 36оц</v>
      </c>
      <c r="C48" s="59" t="s">
        <v>130</v>
      </c>
      <c r="D48" s="59" t="s">
        <v>5594</v>
      </c>
      <c r="E48" s="91" t="s">
        <v>212</v>
      </c>
    </row>
    <row r="49" spans="1:5">
      <c r="A49" s="21">
        <f t="shared" si="0"/>
        <v>43</v>
      </c>
      <c r="B49" s="85" t="str">
        <f ca="1">IFERROR(__xludf.DUMMYFUNCTION("GOOGLETRANSLATE(B4222:B4237,""RU"",""UK"")"),"Шайба стопорна багатолапчаста 12, 16, 24, 30, 42мм")</f>
        <v>Шайба стопорна багатолапчаста 12, 16, 24, 30, 42мм</v>
      </c>
      <c r="C49" s="59" t="s">
        <v>130</v>
      </c>
      <c r="D49" s="59">
        <v>13</v>
      </c>
      <c r="E49" s="91" t="s">
        <v>185</v>
      </c>
    </row>
    <row r="50" spans="1:5">
      <c r="A50" s="21">
        <f t="shared" si="0"/>
        <v>44</v>
      </c>
      <c r="B50" s="85" t="str">
        <f ca="1">IFERROR(__xludf.DUMMYFUNCTION("GOOGLETRANSLATE(B4223:B4238,""RU"",""UK"")"),"Болт 5х35/6х25")</f>
        <v>Болт 5х35/6х25</v>
      </c>
      <c r="C50" s="59" t="s">
        <v>130</v>
      </c>
      <c r="D50" s="59" t="s">
        <v>5597</v>
      </c>
      <c r="E50" s="91">
        <v>99</v>
      </c>
    </row>
    <row r="51" spans="1:5">
      <c r="A51" s="21">
        <f t="shared" si="0"/>
        <v>45</v>
      </c>
      <c r="B51" s="85" t="str">
        <f ca="1">IFERROR(__xludf.DUMMYFUNCTION("GOOGLETRANSLATE(B4224:B4239,""RU"",""UK"")"),"Болт 6х35 (20)")</f>
        <v>Болт 6х35 (20)</v>
      </c>
      <c r="C51" s="59" t="s">
        <v>130</v>
      </c>
      <c r="D51" s="59">
        <v>60</v>
      </c>
      <c r="E51" s="91">
        <v>99</v>
      </c>
    </row>
    <row r="52" spans="1:5">
      <c r="A52" s="21">
        <f t="shared" si="0"/>
        <v>46</v>
      </c>
      <c r="B52" s="85" t="str">
        <f ca="1">IFERROR(__xludf.DUMMYFUNCTION("GOOGLETRANSLATE(B4225:B4240,""RU"",""UK"")"),"Болт 6х35 (20) оцін. / 6х40оц")</f>
        <v>Болт 6х35 (20) оцін. / 6х40оц</v>
      </c>
      <c r="C52" s="59" t="s">
        <v>130</v>
      </c>
      <c r="D52" s="59" t="s">
        <v>5600</v>
      </c>
      <c r="E52" s="91">
        <v>110</v>
      </c>
    </row>
    <row r="53" spans="1:5">
      <c r="A53" s="21">
        <f t="shared" si="0"/>
        <v>47</v>
      </c>
      <c r="B53" s="85" t="str">
        <f ca="1">IFERROR(__xludf.DUMMYFUNCTION("GOOGLETRANSLATE(B4226:B4241,""RU"",""UK"")"),"Болт 6х45 (20)")</f>
        <v>Болт 6х45 (20)</v>
      </c>
      <c r="C53" s="59" t="s">
        <v>130</v>
      </c>
      <c r="D53" s="59">
        <v>48</v>
      </c>
      <c r="E53" s="91" t="s">
        <v>338</v>
      </c>
    </row>
    <row r="54" spans="1:5">
      <c r="A54" s="21">
        <f t="shared" si="0"/>
        <v>48</v>
      </c>
      <c r="B54" s="85" t="str">
        <f ca="1">IFERROR(__xludf.DUMMYFUNCTION("GOOGLETRANSLATE(B4227:B4242,""RU"",""UK"")"),"Болт 8х16")</f>
        <v>Болт 8х16</v>
      </c>
      <c r="C54" s="59" t="s">
        <v>130</v>
      </c>
      <c r="D54" s="59">
        <v>89</v>
      </c>
      <c r="E54" s="91" t="s">
        <v>338</v>
      </c>
    </row>
    <row r="55" spans="1:5">
      <c r="A55" s="21">
        <f t="shared" si="0"/>
        <v>49</v>
      </c>
      <c r="B55" s="85" t="str">
        <f ca="1">IFERROR(__xludf.DUMMYFUNCTION("GOOGLETRANSLATE(B4228:B4243,""RU"",""UK"")"),"Болт 8х16 оцін. (5,8)")</f>
        <v>Болт 8х16 оцін. (5,8)</v>
      </c>
      <c r="C55" s="59" t="s">
        <v>130</v>
      </c>
      <c r="D55" s="59">
        <v>16</v>
      </c>
      <c r="E55" s="91">
        <v>110</v>
      </c>
    </row>
    <row r="56" spans="1:5">
      <c r="A56" s="21">
        <f t="shared" si="0"/>
        <v>50</v>
      </c>
      <c r="B56" s="85" t="str">
        <f ca="1">IFERROR(__xludf.DUMMYFUNCTION("GOOGLETRANSLATE(B4230:B4245,""RU"",""UK"")"),"Болт 8х60 (30)")</f>
        <v>Болт 8х60 (30)</v>
      </c>
      <c r="C56" s="59" t="s">
        <v>130</v>
      </c>
      <c r="D56" s="59">
        <v>34</v>
      </c>
      <c r="E56" s="91" t="s">
        <v>338</v>
      </c>
    </row>
    <row r="57" spans="1:5">
      <c r="A57" s="21">
        <f t="shared" si="0"/>
        <v>51</v>
      </c>
      <c r="B57" s="85" t="str">
        <f ca="1">IFERROR(__xludf.DUMMYFUNCTION("GOOGLETRANSLATE(B4231:B4246,""RU"",""UK"")"),"Болт 8х120 (20)")</f>
        <v>Болт 8х120 (20)</v>
      </c>
      <c r="C57" s="59" t="s">
        <v>130</v>
      </c>
      <c r="D57" s="59" t="s">
        <v>5609</v>
      </c>
      <c r="E57" s="91" t="s">
        <v>338</v>
      </c>
    </row>
    <row r="58" spans="1:5">
      <c r="A58" s="21">
        <f t="shared" si="0"/>
        <v>52</v>
      </c>
      <c r="B58" s="85" t="str">
        <f ca="1">IFERROR(__xludf.DUMMYFUNCTION("GOOGLETRANSLATE(B4232:B4247,""RU"",""UK"")"),"Болт 10х20")</f>
        <v>Болт 10х20</v>
      </c>
      <c r="C58" s="59" t="s">
        <v>130</v>
      </c>
      <c r="D58" s="59">
        <v>217</v>
      </c>
      <c r="E58" s="91" t="s">
        <v>338</v>
      </c>
    </row>
    <row r="59" spans="1:5">
      <c r="A59" s="21">
        <f t="shared" si="0"/>
        <v>53</v>
      </c>
      <c r="B59" s="85" t="str">
        <f ca="1">IFERROR(__xludf.DUMMYFUNCTION("GOOGLETRANSLATE(B4233:B4248,""RU"",""UK"")"),"Болт 10х20оц (5,8)")</f>
        <v>Болт 10х20оц (5,8)</v>
      </c>
      <c r="C59" s="59" t="s">
        <v>130</v>
      </c>
      <c r="D59" s="59">
        <v>8.6</v>
      </c>
      <c r="E59" s="91">
        <v>110</v>
      </c>
    </row>
    <row r="60" spans="1:5">
      <c r="A60" s="21">
        <f t="shared" si="0"/>
        <v>54</v>
      </c>
      <c r="B60" s="85" t="str">
        <f ca="1">IFERROR(__xludf.DUMMYFUNCTION("GOOGLETRANSLATE(B4234:B4249,""RU"",""UK"")"),"Болт 10х25")</f>
        <v>Болт 10х25</v>
      </c>
      <c r="C60" s="59" t="s">
        <v>130</v>
      </c>
      <c r="D60" s="59">
        <v>104</v>
      </c>
      <c r="E60" s="91" t="s">
        <v>338</v>
      </c>
    </row>
    <row r="61" spans="1:5">
      <c r="A61" s="21">
        <f t="shared" si="0"/>
        <v>55</v>
      </c>
      <c r="B61" s="85" t="str">
        <f ca="1">IFERROR(__xludf.DUMMYFUNCTION("GOOGLETRANSLATE(B4235:B4250,""RU"",""UK"")"),"Болт 10х30")</f>
        <v>Болт 10х30</v>
      </c>
      <c r="C61" s="59" t="s">
        <v>130</v>
      </c>
      <c r="D61" s="59">
        <v>264</v>
      </c>
      <c r="E61" s="91" t="s">
        <v>338</v>
      </c>
    </row>
    <row r="62" spans="1:5">
      <c r="A62" s="21">
        <f t="shared" si="0"/>
        <v>56</v>
      </c>
      <c r="B62" s="85" t="str">
        <f ca="1">IFERROR(__xludf.DUMMYFUNCTION("GOOGLETRANSLATE(B4236:B4251,""RU"",""UK"")"),"Болт 10х30 оцін.")</f>
        <v>Болт 10х30 оцін.</v>
      </c>
      <c r="C62" s="59" t="s">
        <v>130</v>
      </c>
      <c r="D62" s="59">
        <v>164.5</v>
      </c>
      <c r="E62" s="91">
        <v>110</v>
      </c>
    </row>
    <row r="63" spans="1:5">
      <c r="A63" s="21">
        <f t="shared" si="0"/>
        <v>57</v>
      </c>
      <c r="B63" s="85" t="str">
        <f ca="1">IFERROR(__xludf.DUMMYFUNCTION("GOOGLETRANSLATE(B4237:B4252,""RU"",""UK"")"),"Болт 10х35")</f>
        <v>Болт 10х35</v>
      </c>
      <c r="C63" s="59" t="s">
        <v>130</v>
      </c>
      <c r="D63" s="59">
        <v>124</v>
      </c>
      <c r="E63" s="91" t="s">
        <v>338</v>
      </c>
    </row>
    <row r="64" spans="1:5">
      <c r="A64" s="21">
        <f t="shared" si="0"/>
        <v>58</v>
      </c>
      <c r="B64" s="85" t="str">
        <f ca="1">IFERROR(__xludf.DUMMYFUNCTION("GOOGLETRANSLATE(B4238:B4253,""RU"",""UK"")"),"Болт 10х40оц.")</f>
        <v>Болт 10х40оц.</v>
      </c>
      <c r="C64" s="59" t="s">
        <v>130</v>
      </c>
      <c r="D64" s="59">
        <v>2.5</v>
      </c>
      <c r="E64" s="91">
        <v>110</v>
      </c>
    </row>
    <row r="65" spans="1:5">
      <c r="A65" s="21">
        <f t="shared" si="0"/>
        <v>59</v>
      </c>
      <c r="B65" s="85" t="str">
        <f ca="1">IFERROR(__xludf.DUMMYFUNCTION("GOOGLETRANSLATE(B4239:B4254,""RU"",""UK"")"),"Болт 10х35 нарійний (квадрат)")</f>
        <v>Болт 10х35 нарійний (квадрат)</v>
      </c>
      <c r="C65" s="59" t="s">
        <v>130</v>
      </c>
      <c r="D65" s="59">
        <v>12</v>
      </c>
      <c r="E65" s="91" t="s">
        <v>338</v>
      </c>
    </row>
    <row r="66" spans="1:5">
      <c r="A66" s="21">
        <f t="shared" si="0"/>
        <v>60</v>
      </c>
      <c r="B66" s="85" t="str">
        <f ca="1">IFERROR(__xludf.DUMMYFUNCTION("GOOGLETRANSLATE(B4240:B4255,""RU"",""UK"")"),"Болт 10х40 (25)")</f>
        <v>Болт 10х40 (25)</v>
      </c>
      <c r="C66" s="59" t="s">
        <v>130</v>
      </c>
      <c r="D66" s="59">
        <v>130</v>
      </c>
      <c r="E66" s="91">
        <v>120</v>
      </c>
    </row>
    <row r="67" spans="1:5">
      <c r="A67" s="21">
        <f t="shared" si="0"/>
        <v>61</v>
      </c>
      <c r="B67" s="85" t="str">
        <f ca="1">IFERROR(__xludf.DUMMYFUNCTION("GOOGLETRANSLATE(B4241:B4256,""RU"",""UK"")"),"Болт 10х45 (30)")</f>
        <v>Болт 10х45 (30)</v>
      </c>
      <c r="C67" s="59" t="s">
        <v>130</v>
      </c>
      <c r="D67" s="59">
        <v>358</v>
      </c>
      <c r="E67" s="91" t="s">
        <v>564</v>
      </c>
    </row>
    <row r="68" spans="1:5">
      <c r="A68" s="21">
        <f t="shared" si="0"/>
        <v>62</v>
      </c>
      <c r="B68" s="85" t="str">
        <f ca="1">IFERROR(__xludf.DUMMYFUNCTION("GOOGLETRANSLATE(B4242:B4257,""RU"",""UK"")"),"Болт 10х50(25)/10х55(45)")</f>
        <v>Болт 10х50(25)/10х55(45)</v>
      </c>
      <c r="C68" s="59" t="s">
        <v>130</v>
      </c>
      <c r="D68" s="59" t="s">
        <v>6129</v>
      </c>
      <c r="E68" s="91" t="s">
        <v>338</v>
      </c>
    </row>
    <row r="69" spans="1:5">
      <c r="A69" s="21">
        <f t="shared" si="0"/>
        <v>63</v>
      </c>
      <c r="B69" s="85" t="str">
        <f ca="1">IFERROR(__xludf.DUMMYFUNCTION("GOOGLETRANSLATE(B4243:B4258,""RU"",""UK"")"),"Болт 10х50 (30) оцін (5,8) / 10х60 (30) оцін.")</f>
        <v>Болт 10х50 (30) оцін (5,8) / 10х60 (30) оцін.</v>
      </c>
      <c r="C69" s="59" t="s">
        <v>130</v>
      </c>
      <c r="D69" s="59" t="s">
        <v>6187</v>
      </c>
      <c r="E69" s="91">
        <v>110</v>
      </c>
    </row>
    <row r="70" spans="1:5">
      <c r="A70" s="21">
        <f t="shared" si="0"/>
        <v>64</v>
      </c>
      <c r="B70" s="85" t="str">
        <f ca="1">IFERROR(__xludf.DUMMYFUNCTION("GOOGLETRANSLATE(B4244:B4259,""RU"",""UK"")"),"Болт 10х60(30)/10х70(35)")</f>
        <v>Болт 10х60(30)/10х70(35)</v>
      </c>
      <c r="C70" s="59" t="s">
        <v>130</v>
      </c>
      <c r="D70" s="59" t="s">
        <v>5626</v>
      </c>
      <c r="E70" s="91" t="s">
        <v>338</v>
      </c>
    </row>
    <row r="71" spans="1:5">
      <c r="A71" s="21">
        <f t="shared" si="0"/>
        <v>65</v>
      </c>
      <c r="B71" s="85" t="str">
        <f ca="1">IFERROR(__xludf.DUMMYFUNCTION("GOOGLETRANSLATE(B4245:B4260,""RU"",""UK"")"),"Болт 10х80 (30) / 10х90 (30)")</f>
        <v>Болт 10х80 (30) / 10х90 (30)</v>
      </c>
      <c r="C71" s="59" t="s">
        <v>130</v>
      </c>
      <c r="D71" s="59" t="s">
        <v>5628</v>
      </c>
      <c r="E71" s="91" t="s">
        <v>338</v>
      </c>
    </row>
    <row r="72" spans="1:5">
      <c r="A72" s="21">
        <f t="shared" ref="A72:A136" si="1">A71+1</f>
        <v>66</v>
      </c>
      <c r="B72" s="85" t="str">
        <f ca="1">IFERROR(__xludf.DUMMYFUNCTION("GOOGLETRANSLATE(B4246:B4261,""RU"",""UK"")"),"Болт 10х80(30)оц")</f>
        <v>Болт 10х80(30)оц</v>
      </c>
      <c r="C72" s="59" t="s">
        <v>130</v>
      </c>
      <c r="D72" s="59" t="s">
        <v>5287</v>
      </c>
      <c r="E72" s="91">
        <v>110</v>
      </c>
    </row>
    <row r="73" spans="1:5">
      <c r="A73" s="21">
        <f t="shared" si="1"/>
        <v>67</v>
      </c>
      <c r="B73" s="85" t="str">
        <f ca="1">IFERROR(__xludf.DUMMYFUNCTION("GOOGLETRANSLATE(B4247:B4262,""RU"",""UK"")"),"Болт 10х100 (30)")</f>
        <v>Болт 10х100 (30)</v>
      </c>
      <c r="C73" s="59" t="s">
        <v>130</v>
      </c>
      <c r="D73" s="59">
        <v>17</v>
      </c>
      <c r="E73" s="91" t="s">
        <v>338</v>
      </c>
    </row>
    <row r="74" spans="1:5">
      <c r="A74" s="21">
        <f t="shared" si="1"/>
        <v>68</v>
      </c>
      <c r="B74" s="85" t="str">
        <f ca="1">IFERROR(__xludf.DUMMYFUNCTION("GOOGLETRANSLATE(B4248:B4263,""RU"",""UK"")"),"Болт 12х25оц.")</f>
        <v>Болт 12х25оц.</v>
      </c>
      <c r="C74" s="59" t="s">
        <v>130</v>
      </c>
      <c r="D74" s="59">
        <v>167.5</v>
      </c>
      <c r="E74" s="91">
        <v>110</v>
      </c>
    </row>
    <row r="75" spans="1:5">
      <c r="A75" s="21">
        <f t="shared" si="1"/>
        <v>69</v>
      </c>
      <c r="B75" s="85" t="str">
        <f ca="1">IFERROR(__xludf.DUMMYFUNCTION("GOOGLETRANSLATE(B4249:B4264,""RU"",""UK"")"),"Болт 12х25")</f>
        <v>Болт 12х25</v>
      </c>
      <c r="C75" s="59" t="s">
        <v>130</v>
      </c>
      <c r="D75" s="59">
        <v>141</v>
      </c>
      <c r="E75" s="91" t="s">
        <v>338</v>
      </c>
    </row>
    <row r="76" spans="1:5">
      <c r="A76" s="21">
        <f t="shared" si="1"/>
        <v>70</v>
      </c>
      <c r="B76" s="85" t="str">
        <f ca="1">IFERROR(__xludf.DUMMYFUNCTION("GOOGLETRANSLATE(B4250:B4265,""RU"",""UK"")"),"Болт 12х30")</f>
        <v>Болт 12х30</v>
      </c>
      <c r="C76" s="59" t="s">
        <v>130</v>
      </c>
      <c r="D76" s="59">
        <v>26</v>
      </c>
      <c r="E76" s="91" t="s">
        <v>338</v>
      </c>
    </row>
    <row r="77" spans="1:5">
      <c r="A77" s="21">
        <f t="shared" si="1"/>
        <v>71</v>
      </c>
      <c r="B77" s="85" t="str">
        <f ca="1">IFERROR(__xludf.DUMMYFUNCTION("GOOGLETRANSLATE(B4251:B4266,""RU"",""UK"")"),"Болт 12х30 оц (т5,8)")</f>
        <v>Болт 12х30 оц (т5,8)</v>
      </c>
      <c r="C77" s="59" t="s">
        <v>130</v>
      </c>
      <c r="D77" s="59">
        <v>48</v>
      </c>
      <c r="E77" s="91">
        <v>110</v>
      </c>
    </row>
    <row r="78" spans="1:5">
      <c r="A78" s="21">
        <f t="shared" si="1"/>
        <v>72</v>
      </c>
      <c r="B78" s="85" t="str">
        <f ca="1">IFERROR(__xludf.DUMMYFUNCTION("GOOGLETRANSLATE(B4252:B4267,""RU"",""UK"")"),"Болт 12х35")</f>
        <v>Болт 12х35</v>
      </c>
      <c r="C78" s="59" t="s">
        <v>130</v>
      </c>
      <c r="D78" s="59">
        <v>331</v>
      </c>
      <c r="E78" s="91" t="s">
        <v>338</v>
      </c>
    </row>
    <row r="79" spans="1:5">
      <c r="A79" s="21">
        <f t="shared" si="1"/>
        <v>73</v>
      </c>
      <c r="B79" s="85" t="str">
        <f ca="1">IFERROR(__xludf.DUMMYFUNCTION("GOOGLETRANSLATE(B4253:B4268,""RU"",""UK"")"),"Болт 12х40")</f>
        <v>Болт 12х40</v>
      </c>
      <c r="C79" s="59" t="s">
        <v>130</v>
      </c>
      <c r="D79" s="59">
        <v>280</v>
      </c>
      <c r="E79" s="91" t="s">
        <v>338</v>
      </c>
    </row>
    <row r="80" spans="1:5">
      <c r="A80" s="21">
        <f t="shared" si="1"/>
        <v>74</v>
      </c>
      <c r="B80" s="85" t="str">
        <f ca="1">IFERROR(__xludf.DUMMYFUNCTION("GOOGLETRANSLATE(B4254:B4269,""RU"",""UK"")"),"Болт 12х45/12х45 (30)")</f>
        <v>Болт 12х45/12х45 (30)</v>
      </c>
      <c r="C80" s="59" t="s">
        <v>130</v>
      </c>
      <c r="D80" s="59" t="s">
        <v>5639</v>
      </c>
      <c r="E80" s="91" t="s">
        <v>338</v>
      </c>
    </row>
    <row r="81" spans="1:5">
      <c r="A81" s="21">
        <f t="shared" si="1"/>
        <v>75</v>
      </c>
      <c r="B81" s="85" t="str">
        <f ca="1">IFERROR(__xludf.DUMMYFUNCTION("GOOGLETRANSLATE(B4255:B4270,""RU"",""UK"")"),"Болт 12х40оц (т5,8) / 12х45 (25) оцін. (Т5,8)")</f>
        <v>Болт 12х40оц (т5,8) / 12х45 (25) оцін. (Т5,8)</v>
      </c>
      <c r="C81" s="59" t="s">
        <v>130</v>
      </c>
      <c r="D81" s="59" t="s">
        <v>6166</v>
      </c>
      <c r="E81" s="91">
        <v>110</v>
      </c>
    </row>
    <row r="82" spans="1:5">
      <c r="A82" s="21">
        <f t="shared" si="1"/>
        <v>76</v>
      </c>
      <c r="B82" s="85" t="str">
        <f ca="1">IFERROR(__xludf.DUMMYFUNCTION("GOOGLETRANSLATE(B4256:B4271,""RU"",""UK"")"),"Болт 12х50(30)/12х50 з гайкою")</f>
        <v>Болт 12х50(30)/12х50 з гайкою</v>
      </c>
      <c r="C82" s="59" t="s">
        <v>130</v>
      </c>
      <c r="D82" s="59" t="s">
        <v>6188</v>
      </c>
      <c r="E82" s="91" t="s">
        <v>338</v>
      </c>
    </row>
    <row r="83" spans="1:5">
      <c r="A83" s="21">
        <f t="shared" si="1"/>
        <v>77</v>
      </c>
      <c r="B83" s="85" t="str">
        <f ca="1">IFERROR(__xludf.DUMMYFUNCTION("GOOGLETRANSLATE(B4257:B4272,""RU"",""UK"")"),"Болт 12х50 (35) оцін. / 12х55 (25) оцін.")</f>
        <v>Болт 12х50 (35) оцін. / 12х55 (25) оцін.</v>
      </c>
      <c r="C83" s="59" t="s">
        <v>130</v>
      </c>
      <c r="D83" s="59" t="s">
        <v>6167</v>
      </c>
      <c r="E83" s="91">
        <v>110</v>
      </c>
    </row>
    <row r="84" spans="1:5">
      <c r="A84" s="21">
        <f t="shared" si="1"/>
        <v>78</v>
      </c>
      <c r="B84" s="85" t="str">
        <f ca="1">IFERROR(__xludf.DUMMYFUNCTION("GOOGLETRANSLATE(B4258:B4273,""RU"",""UK"")"),"Болт 12х55")</f>
        <v>Болт 12х55</v>
      </c>
      <c r="C84" s="59" t="s">
        <v>130</v>
      </c>
      <c r="D84" s="59">
        <v>73</v>
      </c>
      <c r="E84" s="91" t="s">
        <v>338</v>
      </c>
    </row>
    <row r="85" spans="1:5">
      <c r="A85" s="21">
        <f t="shared" si="1"/>
        <v>79</v>
      </c>
      <c r="B85" s="85" t="str">
        <f ca="1">IFERROR(__xludf.DUMMYFUNCTION("GOOGLETRANSLATE(B4259:B4274,""RU"",""UK"")"),"Болт 12х55 (30)")</f>
        <v>Болт 12х55 (30)</v>
      </c>
      <c r="C85" s="59" t="s">
        <v>130</v>
      </c>
      <c r="D85" s="59">
        <v>80</v>
      </c>
      <c r="E85" s="91" t="s">
        <v>338</v>
      </c>
    </row>
    <row r="86" spans="1:5">
      <c r="A86" s="21">
        <f t="shared" si="1"/>
        <v>80</v>
      </c>
      <c r="B86" s="85" t="str">
        <f ca="1">IFERROR(__xludf.DUMMYFUNCTION("GOOGLETRANSLATE(B4260:B4275,""RU"",""UK"")"),"Болт 12х60")</f>
        <v>Болт 12х60</v>
      </c>
      <c r="C86" s="59" t="s">
        <v>130</v>
      </c>
      <c r="D86" s="59">
        <v>125</v>
      </c>
      <c r="E86" s="91" t="s">
        <v>338</v>
      </c>
    </row>
    <row r="87" spans="1:5">
      <c r="A87" s="21">
        <f t="shared" si="1"/>
        <v>81</v>
      </c>
      <c r="B87" s="85" t="str">
        <f ca="1">IFERROR(__xludf.DUMMYFUNCTION("GOOGLETRANSLATE(B4261:B4276,""RU"",""UK"")"),"Болт 12х60(30)оц (т5,8)")</f>
        <v>Болт 12х60(30)оц (т5,8)</v>
      </c>
      <c r="C87" s="59" t="s">
        <v>130</v>
      </c>
      <c r="D87" s="59">
        <v>14</v>
      </c>
      <c r="E87" s="91">
        <v>110</v>
      </c>
    </row>
    <row r="88" spans="1:5">
      <c r="A88" s="21">
        <f t="shared" si="1"/>
        <v>82</v>
      </c>
      <c r="B88" s="85" t="str">
        <f ca="1">IFERROR(__xludf.DUMMYFUNCTION("GOOGLETRANSLATE(B4262:B4277,""RU"",""UK"")"),"Болт 12х80 (30)")</f>
        <v>Болт 12х80 (30)</v>
      </c>
      <c r="C88" s="59" t="s">
        <v>130</v>
      </c>
      <c r="D88" s="59">
        <v>24</v>
      </c>
      <c r="E88" s="91">
        <v>96</v>
      </c>
    </row>
    <row r="89" spans="1:5">
      <c r="A89" s="21">
        <f t="shared" si="1"/>
        <v>83</v>
      </c>
      <c r="B89" s="85" t="str">
        <f ca="1">IFERROR(__xludf.DUMMYFUNCTION("GOOGLETRANSLATE(B4263:B4278,""RU"",""UK"")"),"Болт 12х80(35)оц (т5,8) / 12х90(30)оц (т5,8)")</f>
        <v>Болт 12х80(35)оц (т5,8) / 12х90(30)оц (т5,8)</v>
      </c>
      <c r="C89" s="59" t="s">
        <v>130</v>
      </c>
      <c r="D89" s="59" t="s">
        <v>5653</v>
      </c>
      <c r="E89" s="91">
        <v>110</v>
      </c>
    </row>
    <row r="90" spans="1:5">
      <c r="A90" s="21">
        <f t="shared" si="1"/>
        <v>84</v>
      </c>
      <c r="B90" s="85" t="str">
        <f ca="1">IFERROR(__xludf.DUMMYFUNCTION("GOOGLETRANSLATE(B4264:B4279,""RU"",""UK"")"),"Болт 12х90 (35) / 12х110")</f>
        <v>Болт 12х90 (35) / 12х110</v>
      </c>
      <c r="C90" s="59" t="s">
        <v>130</v>
      </c>
      <c r="D90" s="59" t="s">
        <v>5655</v>
      </c>
      <c r="E90" s="91" t="s">
        <v>338</v>
      </c>
    </row>
    <row r="91" spans="1:5">
      <c r="A91" s="21">
        <f t="shared" si="1"/>
        <v>85</v>
      </c>
      <c r="B91" s="85" t="str">
        <f ca="1">IFERROR(__xludf.DUMMYFUNCTION("GOOGLETRANSLATE(B4265:B4280,""RU"",""UK"")"),"Болт 14х45 (35)")</f>
        <v>Болт 14х45 (35)</v>
      </c>
      <c r="C91" s="59" t="s">
        <v>130</v>
      </c>
      <c r="D91" s="59" t="s">
        <v>5657</v>
      </c>
      <c r="E91" s="91" t="s">
        <v>338</v>
      </c>
    </row>
    <row r="92" spans="1:5">
      <c r="A92" s="21">
        <f t="shared" si="1"/>
        <v>86</v>
      </c>
      <c r="B92" s="85" t="str">
        <f ca="1">IFERROR(__xludf.DUMMYFUNCTION("GOOGLETRANSLATE(B4266:B4281,""RU"",""UK"")"),"Болт 14х50 (35)")</f>
        <v>Болт 14х50 (35)</v>
      </c>
      <c r="C92" s="59" t="s">
        <v>130</v>
      </c>
      <c r="D92" s="59">
        <v>158</v>
      </c>
      <c r="E92" s="91" t="s">
        <v>338</v>
      </c>
    </row>
    <row r="93" spans="1:5">
      <c r="A93" s="21">
        <f t="shared" si="1"/>
        <v>87</v>
      </c>
      <c r="B93" s="85" t="str">
        <f ca="1">IFERROR(__xludf.DUMMYFUNCTION("GOOGLETRANSLATE(B4267:B4282,""RU"",""UK"")"),"Болт 14х50оц.")</f>
        <v>Болт 14х50оц.</v>
      </c>
      <c r="C93" s="59" t="s">
        <v>130</v>
      </c>
      <c r="D93" s="59">
        <v>381</v>
      </c>
      <c r="E93" s="91">
        <v>110</v>
      </c>
    </row>
    <row r="94" spans="1:5">
      <c r="A94" s="21">
        <f t="shared" si="1"/>
        <v>88</v>
      </c>
      <c r="B94" s="85" t="str">
        <f ca="1">IFERROR(__xludf.DUMMYFUNCTION("GOOGLETRANSLATE(B4268:B4283,""RU"",""UK"")"),"Болт 14х55")</f>
        <v>Болт 14х55</v>
      </c>
      <c r="C94" s="59" t="s">
        <v>130</v>
      </c>
      <c r="D94" s="59">
        <v>34</v>
      </c>
      <c r="E94" s="91" t="s">
        <v>338</v>
      </c>
    </row>
    <row r="95" spans="1:5">
      <c r="A95" s="21">
        <f t="shared" si="1"/>
        <v>89</v>
      </c>
      <c r="B95" s="85" t="str">
        <f ca="1">IFERROR(__xludf.DUMMYFUNCTION("GOOGLETRANSLATE(B4269:B4284,""RU"",""UK"")"),"Болт 14х70(40) / 14х75")</f>
        <v>Болт 14х70(40) / 14х75</v>
      </c>
      <c r="C95" s="59" t="s">
        <v>130</v>
      </c>
      <c r="D95" s="59" t="s">
        <v>5662</v>
      </c>
      <c r="E95" s="91" t="s">
        <v>338</v>
      </c>
    </row>
    <row r="96" spans="1:5">
      <c r="A96" s="21">
        <f t="shared" si="1"/>
        <v>90</v>
      </c>
      <c r="B96" s="85" t="str">
        <f ca="1">IFERROR(__xludf.DUMMYFUNCTION("GOOGLETRANSLATE(B4270:B4285,""RU"",""UK"")"),"Болт 14х90(50)")</f>
        <v>Болт 14х90(50)</v>
      </c>
      <c r="C96" s="59" t="s">
        <v>130</v>
      </c>
      <c r="D96" s="59">
        <v>21</v>
      </c>
      <c r="E96" s="91" t="s">
        <v>338</v>
      </c>
    </row>
    <row r="97" spans="1:5">
      <c r="A97" s="21">
        <f t="shared" si="1"/>
        <v>91</v>
      </c>
      <c r="B97" s="85" t="str">
        <f ca="1">IFERROR(__xludf.DUMMYFUNCTION("GOOGLETRANSLATE(B4271:B4286,""RU"",""UK"")"),"Болт 16х35")</f>
        <v>Болт 16х35</v>
      </c>
      <c r="C97" s="59" t="s">
        <v>130</v>
      </c>
      <c r="D97" s="59">
        <v>10</v>
      </c>
      <c r="E97" s="91" t="s">
        <v>338</v>
      </c>
    </row>
    <row r="98" spans="1:5">
      <c r="A98" s="21">
        <f t="shared" si="1"/>
        <v>92</v>
      </c>
      <c r="B98" s="85" t="str">
        <f ca="1">IFERROR(__xludf.DUMMYFUNCTION("GOOGLETRANSLATE(B4272:B4287,""RU"",""UK"")"),"Болт 16х40/16х45")</f>
        <v>Болт 16х40/16х45</v>
      </c>
      <c r="C98" s="59" t="s">
        <v>130</v>
      </c>
      <c r="D98" s="59" t="s">
        <v>5666</v>
      </c>
      <c r="E98" s="91" t="s">
        <v>338</v>
      </c>
    </row>
    <row r="99" spans="1:5">
      <c r="A99" s="21">
        <f t="shared" si="1"/>
        <v>93</v>
      </c>
      <c r="B99" s="85" t="str">
        <f ca="1">IFERROR(__xludf.DUMMYFUNCTION("GOOGLETRANSLATE(B4273:B4288,""RU"",""UK"")"),"Болт 16х40оц. / 16х50оц. (Т5,8)")</f>
        <v>Болт 16х40оц. / 16х50оц. (Т5,8)</v>
      </c>
      <c r="C99" s="59" t="s">
        <v>130</v>
      </c>
      <c r="D99" s="59" t="s">
        <v>5668</v>
      </c>
      <c r="E99" s="91">
        <v>110</v>
      </c>
    </row>
    <row r="100" spans="1:5">
      <c r="A100" s="21">
        <f t="shared" si="1"/>
        <v>94</v>
      </c>
      <c r="B100" s="85" t="str">
        <f ca="1">IFERROR(__xludf.DUMMYFUNCTION("GOOGLETRANSLATE(B4274:B4289,""RU"",""UK"")"),"Болт 16х50 (40) оцін.")</f>
        <v>Болт 16х50 (40) оцін.</v>
      </c>
      <c r="C100" s="59" t="s">
        <v>130</v>
      </c>
      <c r="D100" s="59">
        <v>7</v>
      </c>
      <c r="E100" s="91">
        <v>110</v>
      </c>
    </row>
    <row r="101" spans="1:5">
      <c r="A101" s="21">
        <f t="shared" si="1"/>
        <v>95</v>
      </c>
      <c r="B101" s="85" t="str">
        <f ca="1">IFERROR(__xludf.DUMMYFUNCTION("GOOGLETRANSLATE(B4275:B4290,""RU"",""UK"")"),"Болт 16х60 (40мм)")</f>
        <v>Болт 16х60 (40мм)</v>
      </c>
      <c r="C101" s="59" t="s">
        <v>130</v>
      </c>
      <c r="D101" s="59">
        <v>30</v>
      </c>
      <c r="E101" s="91" t="s">
        <v>338</v>
      </c>
    </row>
    <row r="102" spans="1:5">
      <c r="A102" s="21">
        <f t="shared" si="1"/>
        <v>96</v>
      </c>
      <c r="B102" s="85" t="str">
        <f ca="1">IFERROR(__xludf.DUMMYFUNCTION("GOOGLETRANSLATE(B4276:B4291,""RU"",""UK"")"),"Болт 16х60оц. / 16х70 (40) оцін.")</f>
        <v>Болт 16х60оц. / 16х70 (40) оцін.</v>
      </c>
      <c r="C102" s="59" t="s">
        <v>130</v>
      </c>
      <c r="D102" s="59" t="s">
        <v>5672</v>
      </c>
      <c r="E102" s="91">
        <v>110</v>
      </c>
    </row>
    <row r="103" spans="1:5">
      <c r="A103" s="21">
        <f t="shared" si="1"/>
        <v>97</v>
      </c>
      <c r="B103" s="85" t="str">
        <f ca="1">IFERROR(__xludf.DUMMYFUNCTION("GOOGLETRANSLATE(B4277:B4292,""RU"",""UK"")"),"Болт 16х65 (35)")</f>
        <v>Болт 16х65 (35)</v>
      </c>
      <c r="C103" s="59" t="s">
        <v>130</v>
      </c>
      <c r="D103" s="59">
        <v>112</v>
      </c>
      <c r="E103" s="91" t="s">
        <v>338</v>
      </c>
    </row>
    <row r="104" spans="1:5">
      <c r="A104" s="21">
        <f t="shared" si="1"/>
        <v>98</v>
      </c>
      <c r="B104" s="85" t="str">
        <f ca="1">IFERROR(__xludf.DUMMYFUNCTION("GOOGLETRANSLATE(B4278:B4293,""RU"",""UK"")"),"Болт 16х70 (35) (т8,8) / 16х70 оц 8,8 / 16х80 оц. (т8,8)")</f>
        <v>Болт 16х70 (35) (т8,8) / 16х70 оц 8,8 / 16х80 оц. (т8,8)</v>
      </c>
      <c r="C104" s="59" t="s">
        <v>130</v>
      </c>
      <c r="D104" s="59" t="s">
        <v>5675</v>
      </c>
      <c r="E104" s="91">
        <v>110</v>
      </c>
    </row>
    <row r="105" spans="1:5">
      <c r="A105" s="21">
        <f t="shared" si="1"/>
        <v>99</v>
      </c>
      <c r="B105" s="85" t="str">
        <f ca="1">IFERROR(__xludf.DUMMYFUNCTION("GOOGLETRANSLATE(B4279:B4294,""RU"",""UK"")"),"Болт 16х70 (35)оц / 16х70 (45)оц (т5,8)")</f>
        <v>Болт 16х70 (35)оц / 16х70 (45)оц (т5,8)</v>
      </c>
      <c r="C105" s="59" t="s">
        <v>130</v>
      </c>
      <c r="D105" s="59" t="s">
        <v>5677</v>
      </c>
      <c r="E105" s="91">
        <v>110</v>
      </c>
    </row>
    <row r="106" spans="1:5">
      <c r="A106" s="21">
        <f t="shared" si="1"/>
        <v>100</v>
      </c>
      <c r="B106" s="85" t="str">
        <f ca="1">IFERROR(__xludf.DUMMYFUNCTION("GOOGLETRANSLATE(B4280:B4295,""RU"",""UK"")"),"Болт 16х80 (40) оцін. (Т5,8)")</f>
        <v>Болт 16х80 (40) оцін. (Т5,8)</v>
      </c>
      <c r="C106" s="59" t="s">
        <v>130</v>
      </c>
      <c r="D106" s="59">
        <v>14</v>
      </c>
      <c r="E106" s="91">
        <v>110</v>
      </c>
    </row>
    <row r="107" spans="1:5">
      <c r="A107" s="21">
        <f t="shared" si="1"/>
        <v>101</v>
      </c>
      <c r="B107" s="85" t="str">
        <f ca="1">IFERROR(__xludf.DUMMYFUNCTION("GOOGLETRANSLATE(B4281:B4296,""RU"",""UK"")"),"Болт 16х85 (40) оцін. / 16х90 (45) оцін.")</f>
        <v>Болт 16х85 (40) оцін. / 16х90 (45) оцін.</v>
      </c>
      <c r="C107" s="59" t="s">
        <v>130</v>
      </c>
      <c r="D107" s="59" t="s">
        <v>5680</v>
      </c>
      <c r="E107" s="91">
        <v>110</v>
      </c>
    </row>
    <row r="108" spans="1:5">
      <c r="A108" s="21">
        <f t="shared" si="1"/>
        <v>102</v>
      </c>
      <c r="B108" s="85" t="str">
        <f ca="1">IFERROR(__xludf.DUMMYFUNCTION("GOOGLETRANSLATE(B4282:B4297,""RU"",""UK"")"),"Болт 16х120 (40) оцін. (т8,8) / 16х130 (45) оцін. (т8,8)")</f>
        <v>Болт 16х120 (40) оцін. (т8,8) / 16х130 (45) оцін. (т8,8)</v>
      </c>
      <c r="C108" s="59" t="s">
        <v>130</v>
      </c>
      <c r="D108" s="59" t="s">
        <v>5682</v>
      </c>
      <c r="E108" s="91">
        <v>110</v>
      </c>
    </row>
    <row r="109" spans="1:5">
      <c r="A109" s="21">
        <f t="shared" si="1"/>
        <v>103</v>
      </c>
      <c r="B109" s="85" t="str">
        <f ca="1">IFERROR(__xludf.DUMMYFUNCTION("GOOGLETRANSLATE(B4282:B4297,""RU"",""UK"")"),"Болт 16х160 (40) оцін. (т10,8) ")</f>
        <v xml:space="preserve">Болт 16х160 (40) оцін. (т10,8) </v>
      </c>
      <c r="C109" s="59" t="s">
        <v>130</v>
      </c>
      <c r="D109" s="59">
        <v>11</v>
      </c>
      <c r="E109" s="91">
        <v>200</v>
      </c>
    </row>
    <row r="110" spans="1:5">
      <c r="A110" s="21">
        <f t="shared" si="1"/>
        <v>104</v>
      </c>
      <c r="B110" s="85" t="str">
        <f ca="1">IFERROR(__xludf.DUMMYFUNCTION("GOOGLETRANSLATE(B4283:B4298,""RU"",""UK"")"),"Болт 18х60")</f>
        <v>Болт 18х60</v>
      </c>
      <c r="C110" s="59" t="s">
        <v>130</v>
      </c>
      <c r="D110" s="59">
        <v>6</v>
      </c>
      <c r="E110" s="91" t="s">
        <v>338</v>
      </c>
    </row>
    <row r="111" spans="1:5">
      <c r="A111" s="21">
        <f t="shared" si="1"/>
        <v>105</v>
      </c>
      <c r="B111" s="85" t="str">
        <f ca="1">IFERROR(__xludf.DUMMYFUNCTION("GOOGLETRANSLATE(B4284:B4299,""RU"",""UK"")"),"Болт 18х60 оц (т8,8)")</f>
        <v>Болт 18х60 оц (т8,8)</v>
      </c>
      <c r="C111" s="59" t="s">
        <v>130</v>
      </c>
      <c r="D111" s="59">
        <v>43</v>
      </c>
      <c r="E111" s="91">
        <v>110</v>
      </c>
    </row>
    <row r="112" spans="1:5">
      <c r="A112" s="21">
        <f t="shared" si="1"/>
        <v>106</v>
      </c>
      <c r="B112" s="85" t="str">
        <f ca="1">IFERROR(__xludf.DUMMYFUNCTION("GOOGLETRANSLATE(B4285:B4300,""RU"",""UK"")"),"Болт 20х45оц / 20х60 (40) оцін.")</f>
        <v>Болт 20х45оц / 20х60 (40) оцін.</v>
      </c>
      <c r="C112" s="59" t="s">
        <v>130</v>
      </c>
      <c r="D112" s="59" t="s">
        <v>5686</v>
      </c>
      <c r="E112" s="91">
        <v>110</v>
      </c>
    </row>
    <row r="113" spans="1:5">
      <c r="A113" s="21">
        <f t="shared" si="1"/>
        <v>107</v>
      </c>
      <c r="B113" s="85" t="str">
        <f ca="1">IFERROR(__xludf.DUMMYFUNCTION("GOOGLETRANSLATE(B4286:B4301,""RU"",""UK"")"),"Болт 20х70 оц (т8,8)")</f>
        <v>Болт 20х70 оц (т8,8)</v>
      </c>
      <c r="C113" s="59" t="s">
        <v>130</v>
      </c>
      <c r="D113" s="59" t="s">
        <v>5688</v>
      </c>
      <c r="E113" s="91">
        <v>110</v>
      </c>
    </row>
    <row r="114" spans="1:5">
      <c r="A114" s="21">
        <f t="shared" si="1"/>
        <v>108</v>
      </c>
      <c r="B114" s="85" t="str">
        <f ca="1">IFERROR(__xludf.DUMMYFUNCTION("GOOGLETRANSLATE(B4287:B4302,""RU"",""UK"")"),"Болт 20х70 (45) оцін.")</f>
        <v>Болт 20х70 (45) оцін.</v>
      </c>
      <c r="C114" s="59" t="s">
        <v>130</v>
      </c>
      <c r="D114" s="59">
        <v>55</v>
      </c>
      <c r="E114" s="91">
        <v>110</v>
      </c>
    </row>
    <row r="115" spans="1:5">
      <c r="A115" s="21">
        <f t="shared" si="1"/>
        <v>109</v>
      </c>
      <c r="B115" s="85" t="str">
        <f ca="1">IFERROR(__xludf.DUMMYFUNCTION("GOOGLETRANSLATE(B4288:B4303,""RU"",""UK"")"),"Болт 20х90(45-70)")</f>
        <v>Болт 20х90(45-70)</v>
      </c>
      <c r="C115" s="59" t="s">
        <v>130</v>
      </c>
      <c r="D115" s="59">
        <v>0</v>
      </c>
      <c r="E115" s="91" t="s">
        <v>338</v>
      </c>
    </row>
    <row r="116" spans="1:5">
      <c r="A116" s="21">
        <f t="shared" si="1"/>
        <v>110</v>
      </c>
      <c r="B116" s="85" t="str">
        <f ca="1">IFERROR(__xludf.DUMMYFUNCTION("GOOGLETRANSLATE(B4289:B4304,""RU"",""UK"")"),"Болт 20х75(40) оц / 20х90(45)оц")</f>
        <v>Болт 20х75(40) оц / 20х90(45)оц</v>
      </c>
      <c r="C116" s="59" t="s">
        <v>130</v>
      </c>
      <c r="D116" s="59" t="s">
        <v>5692</v>
      </c>
      <c r="E116" s="91">
        <v>110</v>
      </c>
    </row>
    <row r="117" spans="1:5">
      <c r="A117" s="21">
        <f t="shared" si="1"/>
        <v>111</v>
      </c>
      <c r="B117" s="85" t="str">
        <f ca="1">IFERROR(__xludf.DUMMYFUNCTION("GOOGLETRANSLATE(B4290:B4305,""RU"",""UK"")"),"Болт 20х100 (50)")</f>
        <v>Болт 20х100 (50)</v>
      </c>
      <c r="C117" s="59" t="s">
        <v>130</v>
      </c>
      <c r="D117" s="59">
        <v>101</v>
      </c>
      <c r="E117" s="91" t="s">
        <v>338</v>
      </c>
    </row>
    <row r="118" spans="1:5">
      <c r="A118" s="21">
        <f t="shared" si="1"/>
        <v>112</v>
      </c>
      <c r="B118" s="85" t="str">
        <f ca="1">IFERROR(__xludf.DUMMYFUNCTION("GOOGLETRANSLATE(B4291:B4306,""RU"",""UK"")"),"Болт 20х100оц")</f>
        <v>Болт 20х100оц</v>
      </c>
      <c r="C118" s="59" t="s">
        <v>130</v>
      </c>
      <c r="D118" s="59" t="s">
        <v>5155</v>
      </c>
      <c r="E118" s="91">
        <v>110</v>
      </c>
    </row>
    <row r="119" spans="1:5">
      <c r="A119" s="21">
        <f t="shared" si="1"/>
        <v>113</v>
      </c>
      <c r="B119" s="85" t="str">
        <f ca="1">IFERROR(__xludf.DUMMYFUNCTION("GOOGLETRANSLATE(B4292:B4307,""RU"",""UK"")"),"Болт 20х100(50)оц (т8,8)")</f>
        <v>Болт 20х100(50)оц (т8,8)</v>
      </c>
      <c r="C119" s="59" t="s">
        <v>130</v>
      </c>
      <c r="D119" s="59" t="s">
        <v>5544</v>
      </c>
      <c r="E119" s="91">
        <v>110</v>
      </c>
    </row>
    <row r="120" spans="1:5">
      <c r="A120" s="21">
        <f t="shared" si="1"/>
        <v>114</v>
      </c>
      <c r="B120" s="85" t="str">
        <f ca="1">IFERROR(__xludf.DUMMYFUNCTION("GOOGLETRANSLATE(B4293:B4308,""RU"",""UK"")"),"Болт 20х110(70)оц / 20х120(55)оц")</f>
        <v>Болт 20х110(70)оц / 20х120(55)оц</v>
      </c>
      <c r="C120" s="59" t="s">
        <v>130</v>
      </c>
      <c r="D120" s="59" t="s">
        <v>5697</v>
      </c>
      <c r="E120" s="91">
        <v>110</v>
      </c>
    </row>
    <row r="121" spans="1:5">
      <c r="A121" s="21">
        <f t="shared" si="1"/>
        <v>115</v>
      </c>
      <c r="B121" s="85" t="str">
        <f ca="1">IFERROR(__xludf.DUMMYFUNCTION("GOOGLETRANSLATE(B4294:B4309,""RU"",""UK"")"),"Болт 20х150 (60)оц")</f>
        <v>Болт 20х150 (60)оц</v>
      </c>
      <c r="C121" s="59" t="s">
        <v>130</v>
      </c>
      <c r="D121" s="59">
        <v>10</v>
      </c>
      <c r="E121" s="91">
        <v>110</v>
      </c>
    </row>
    <row r="122" spans="1:5">
      <c r="A122" s="21">
        <f t="shared" si="1"/>
        <v>116</v>
      </c>
      <c r="B122" s="85" t="str">
        <f ca="1">IFERROR(__xludf.DUMMYFUNCTION("GOOGLETRANSLATE(B4295:B4310,""RU"",""UK"")"),"Болт 20х160 (60)")</f>
        <v>Болт 20х160 (60)</v>
      </c>
      <c r="C122" s="59" t="s">
        <v>130</v>
      </c>
      <c r="D122" s="59">
        <v>39</v>
      </c>
      <c r="E122" s="91" t="s">
        <v>338</v>
      </c>
    </row>
    <row r="123" spans="1:5">
      <c r="A123" s="21">
        <f t="shared" si="1"/>
        <v>117</v>
      </c>
      <c r="B123" s="85" t="str">
        <f ca="1">IFERROR(__xludf.DUMMYFUNCTION("GOOGLETRANSLATE(B4296:B4311,""RU"",""UK"")"),"Болт 20х210 (70)оц (т8,8)")</f>
        <v>Болт 20х210 (70)оц (т8,8)</v>
      </c>
      <c r="C123" s="59" t="s">
        <v>130</v>
      </c>
      <c r="D123" s="59">
        <v>80</v>
      </c>
      <c r="E123" s="91" t="s">
        <v>564</v>
      </c>
    </row>
    <row r="124" spans="1:5">
      <c r="A124" s="21">
        <f t="shared" si="1"/>
        <v>118</v>
      </c>
      <c r="B124" s="85" t="str">
        <f ca="1">IFERROR(__xludf.DUMMYFUNCTION("GOOGLETRANSLATE(B4297:B4312,""RU"",""UK"")"),"Болт 22х70")</f>
        <v>Болт 22х70</v>
      </c>
      <c r="C124" s="59" t="s">
        <v>130</v>
      </c>
      <c r="D124" s="59">
        <v>5</v>
      </c>
      <c r="E124" s="91" t="s">
        <v>338</v>
      </c>
    </row>
    <row r="125" spans="1:5">
      <c r="A125" s="21">
        <f t="shared" si="1"/>
        <v>119</v>
      </c>
      <c r="B125" s="85" t="str">
        <f ca="1">IFERROR(__xludf.DUMMYFUNCTION("GOOGLETRANSLATE(B4298:B4313,""RU"",""UK"")"),"Болт 22х90 (55) / 22х100 (50)")</f>
        <v>Болт 22х90 (55) / 22х100 (50)</v>
      </c>
      <c r="C125" s="59" t="s">
        <v>130</v>
      </c>
      <c r="D125" s="59" t="s">
        <v>5703</v>
      </c>
      <c r="E125" s="91" t="s">
        <v>338</v>
      </c>
    </row>
    <row r="126" spans="1:5">
      <c r="A126" s="21">
        <f t="shared" si="1"/>
        <v>120</v>
      </c>
      <c r="B126" s="85" t="str">
        <f ca="1">IFERROR(__xludf.DUMMYFUNCTION("GOOGLETRANSLATE(B4299:B4314,""RU"",""UK"")"),"Болт 22х140 (60)")</f>
        <v>Болт 22х140 (60)</v>
      </c>
      <c r="C126" s="59" t="s">
        <v>130</v>
      </c>
      <c r="D126" s="59">
        <v>131</v>
      </c>
      <c r="E126" s="91" t="s">
        <v>338</v>
      </c>
    </row>
    <row r="127" spans="1:5">
      <c r="A127" s="21">
        <f t="shared" si="1"/>
        <v>121</v>
      </c>
      <c r="B127" s="85" t="str">
        <f ca="1">IFERROR(__xludf.DUMMYFUNCTION("GOOGLETRANSLATE(B4300:B4315,""RU"",""UK"")"),"Болт 22х160 (60)оц (т8,8)")</f>
        <v>Болт 22х160 (60)оц (т8,8)</v>
      </c>
      <c r="C127" s="59" t="s">
        <v>130</v>
      </c>
      <c r="D127" s="59" t="s">
        <v>5706</v>
      </c>
      <c r="E127" s="91" t="s">
        <v>564</v>
      </c>
    </row>
    <row r="128" spans="1:5">
      <c r="A128" s="21">
        <f t="shared" si="1"/>
        <v>122</v>
      </c>
      <c r="B128" s="85" t="str">
        <f ca="1">IFERROR(__xludf.DUMMYFUNCTION("GOOGLETRANSLATE(B4301:B4316,""RU"",""UK"")"),"Болт 24х60(60) / 24х65(45)")</f>
        <v>Болт 24х60(60) / 24х65(45)</v>
      </c>
      <c r="C128" s="59" t="s">
        <v>130</v>
      </c>
      <c r="D128" s="59" t="s">
        <v>4985</v>
      </c>
      <c r="E128" s="91" t="s">
        <v>338</v>
      </c>
    </row>
    <row r="129" spans="1:5">
      <c r="A129" s="21">
        <f t="shared" si="1"/>
        <v>123</v>
      </c>
      <c r="B129" s="85" t="str">
        <f ca="1">IFERROR(__xludf.DUMMYFUNCTION("GOOGLETRANSLATE(B4302:B4317,""RU"",""UK"")"),"Болт 24х65 оц")</f>
        <v>Болт 24х65 оц</v>
      </c>
      <c r="C129" s="59" t="s">
        <v>130</v>
      </c>
      <c r="D129" s="59" t="s">
        <v>5709</v>
      </c>
      <c r="E129" s="91" t="s">
        <v>564</v>
      </c>
    </row>
    <row r="130" spans="1:5">
      <c r="A130" s="21">
        <f t="shared" si="1"/>
        <v>124</v>
      </c>
      <c r="B130" s="85" t="str">
        <f ca="1">IFERROR(__xludf.DUMMYFUNCTION("GOOGLETRANSLATE(B4303:B4318,""RU"",""UK"")"),"Болт 24х75 (гайка+шайби)оц / 24х85 (гайка+шайби)оц")</f>
        <v>Болт 24х75 (гайка+шайби)оц / 24х85 (гайка+шайби)оц</v>
      </c>
      <c r="C130" s="59" t="s">
        <v>130</v>
      </c>
      <c r="D130" s="59" t="s">
        <v>2023</v>
      </c>
      <c r="E130" s="91" t="s">
        <v>564</v>
      </c>
    </row>
    <row r="131" spans="1:5">
      <c r="A131" s="21">
        <f t="shared" si="1"/>
        <v>125</v>
      </c>
      <c r="B131" s="85" t="str">
        <f ca="1">IFERROR(__xludf.DUMMYFUNCTION("GOOGLETRANSLATE(B4304:B4319,""RU"",""UK"")"),"Болт 24х80 (60)")</f>
        <v>Болт 24х80 (60)</v>
      </c>
      <c r="C131" s="59" t="s">
        <v>130</v>
      </c>
      <c r="D131" s="59">
        <v>219</v>
      </c>
      <c r="E131" s="91">
        <v>96</v>
      </c>
    </row>
    <row r="132" spans="1:5">
      <c r="A132" s="21">
        <f t="shared" si="1"/>
        <v>126</v>
      </c>
      <c r="B132" s="85" t="str">
        <f ca="1">IFERROR(__xludf.DUMMYFUNCTION("GOOGLETRANSLATE(B4305:B4320,""RU"",""UK"")"),"Болт 24х100оц (т8,8)")</f>
        <v>Болт 24х100оц (т8,8)</v>
      </c>
      <c r="C132" s="59" t="s">
        <v>130</v>
      </c>
      <c r="D132" s="59">
        <v>10</v>
      </c>
      <c r="E132" s="91" t="s">
        <v>564</v>
      </c>
    </row>
    <row r="133" spans="1:5">
      <c r="A133" s="21">
        <f t="shared" si="1"/>
        <v>127</v>
      </c>
      <c r="B133" s="85" t="str">
        <f ca="1">IFERROR(__xludf.DUMMYFUNCTION("GOOGLETRANSLATE(B4306:B4321,""RU"",""UK"")"),"Болт 24х120 (50)")</f>
        <v>Болт 24х120 (50)</v>
      </c>
      <c r="C133" s="59" t="s">
        <v>130</v>
      </c>
      <c r="D133" s="59">
        <v>132</v>
      </c>
      <c r="E133" s="91" t="s">
        <v>338</v>
      </c>
    </row>
    <row r="134" spans="1:5">
      <c r="A134" s="21">
        <f t="shared" si="1"/>
        <v>128</v>
      </c>
      <c r="B134" s="85" t="str">
        <f ca="1">IFERROR(__xludf.DUMMYFUNCTION("GOOGLETRANSLATE(B4307:B4322,""RU"",""UK"")"),"Болт 24х130 (65) / 24х150 (60)")</f>
        <v>Болт 24х130 (65) / 24х150 (60)</v>
      </c>
      <c r="C134" s="59" t="s">
        <v>130</v>
      </c>
      <c r="D134" s="59" t="s">
        <v>5715</v>
      </c>
      <c r="E134" s="91" t="s">
        <v>338</v>
      </c>
    </row>
    <row r="135" spans="1:5">
      <c r="A135" s="21">
        <f t="shared" si="1"/>
        <v>129</v>
      </c>
      <c r="B135" s="85" t="str">
        <f ca="1">IFERROR(__xludf.DUMMYFUNCTION("GOOGLETRANSLATE(B4308:B4323,""RU"",""UK"")"),"Болт 24х160 (60) / 24х180 (60)")</f>
        <v>Болт 24х160 (60) / 24х180 (60)</v>
      </c>
      <c r="C135" s="59" t="s">
        <v>130</v>
      </c>
      <c r="D135" s="59" t="s">
        <v>5717</v>
      </c>
      <c r="E135" s="91" t="s">
        <v>338</v>
      </c>
    </row>
    <row r="136" spans="1:5">
      <c r="A136" s="21">
        <f t="shared" si="1"/>
        <v>130</v>
      </c>
      <c r="B136" s="85" t="str">
        <f ca="1">IFERROR(__xludf.DUMMYFUNCTION("GOOGLETRANSLATE(B4309:B4324,""RU"",""UK"")"),"Болт 27х60")</f>
        <v>Болт 27х60</v>
      </c>
      <c r="C136" s="59" t="s">
        <v>130</v>
      </c>
      <c r="D136" s="59">
        <v>11</v>
      </c>
      <c r="E136" s="91" t="s">
        <v>338</v>
      </c>
    </row>
    <row r="137" spans="1:5">
      <c r="A137" s="21">
        <f t="shared" ref="A137:A200" si="2">A136+1</f>
        <v>131</v>
      </c>
      <c r="B137" s="85" t="str">
        <f ca="1">IFERROR(__xludf.DUMMYFUNCTION("GOOGLETRANSLATE(B4310:B4325,""RU"",""UK"")"),"Болт 27х70")</f>
        <v>Болт 27х70</v>
      </c>
      <c r="C137" s="59" t="s">
        <v>130</v>
      </c>
      <c r="D137" s="59">
        <v>25</v>
      </c>
      <c r="E137" s="91" t="s">
        <v>338</v>
      </c>
    </row>
    <row r="138" spans="1:5">
      <c r="A138" s="21">
        <f t="shared" si="2"/>
        <v>132</v>
      </c>
      <c r="B138" s="85" t="str">
        <f ca="1">IFERROR(__xludf.DUMMYFUNCTION("GOOGLETRANSLATE(B4311:B4326,""RU"",""UK"")"),"Болт 30х80 (гайка+шайби)оц / 30х90(гайка+шайби)оц")</f>
        <v>Болт 30х80 (гайка+шайби)оц / 30х90(гайка+шайби)оц</v>
      </c>
      <c r="C138" s="59" t="s">
        <v>130</v>
      </c>
      <c r="D138" s="59" t="s">
        <v>1420</v>
      </c>
      <c r="E138" s="91" t="s">
        <v>338</v>
      </c>
    </row>
    <row r="139" spans="1:5">
      <c r="A139" s="21">
        <f t="shared" si="2"/>
        <v>133</v>
      </c>
      <c r="B139" s="85" t="str">
        <f ca="1">IFERROR(__xludf.DUMMYFUNCTION("GOOGLETRANSLATE(B4312:B4327,""RU"",""UK"")"),"Болт 30х90 (60) = 80шт")</f>
        <v>Болт 30х90 (60) = 80шт</v>
      </c>
      <c r="C139" s="59" t="s">
        <v>130</v>
      </c>
      <c r="D139" s="59">
        <v>50</v>
      </c>
      <c r="E139" s="91" t="s">
        <v>338</v>
      </c>
    </row>
    <row r="140" spans="1:5">
      <c r="A140" s="21">
        <f t="shared" si="2"/>
        <v>134</v>
      </c>
      <c r="B140" s="85" t="str">
        <f ca="1">IFERROR(__xludf.DUMMYFUNCTION("GOOGLETRANSLATE(B4313:B4328,""RU"",""UK"")"),"Гвинт внутр. шестигранник 6х16мм/6х50мм")</f>
        <v>Гвинт внутр. шестигранник 6х16мм/6х50мм</v>
      </c>
      <c r="C140" s="59" t="s">
        <v>130</v>
      </c>
      <c r="D140" s="59" t="s">
        <v>5723</v>
      </c>
      <c r="E140" s="91" t="s">
        <v>136</v>
      </c>
    </row>
    <row r="141" spans="1:5">
      <c r="A141" s="21">
        <f t="shared" si="2"/>
        <v>135</v>
      </c>
      <c r="B141" s="85" t="str">
        <f ca="1">IFERROR(__xludf.DUMMYFUNCTION("GOOGLETRANSLATE(B4314:B4329,""RU"",""UK"")"),"Гвинт внутр. шестигранник 8х30мм")</f>
        <v>Гвинт внутр. шестигранник 8х30мм</v>
      </c>
      <c r="C141" s="59" t="s">
        <v>130</v>
      </c>
      <c r="D141" s="59">
        <v>17</v>
      </c>
      <c r="E141" s="91" t="s">
        <v>136</v>
      </c>
    </row>
    <row r="142" spans="1:5">
      <c r="A142" s="21">
        <f t="shared" si="2"/>
        <v>136</v>
      </c>
      <c r="B142" s="85" t="str">
        <f ca="1">IFERROR(__xludf.DUMMYFUNCTION("GOOGLETRANSLATE(B4315:B4330,""RU"",""UK"")"),"Гвинт внутр. шестигранник 8х35мм")</f>
        <v>Гвинт внутр. шестигранник 8х35мм</v>
      </c>
      <c r="C142" s="59" t="s">
        <v>130</v>
      </c>
      <c r="D142" s="59" t="s">
        <v>5131</v>
      </c>
      <c r="E142" s="91" t="s">
        <v>136</v>
      </c>
    </row>
    <row r="143" spans="1:5">
      <c r="A143" s="21">
        <f t="shared" si="2"/>
        <v>137</v>
      </c>
      <c r="B143" s="85" t="str">
        <f ca="1">IFERROR(__xludf.DUMMYFUNCTION("GOOGLETRANSLATE(B4316:B4331,""RU"",""UK"")"),"Гвинт внутр. шестигранник 8х35мм оц")</f>
        <v>Гвинт внутр. шестигранник 8х35мм оц</v>
      </c>
      <c r="C143" s="59" t="s">
        <v>130</v>
      </c>
      <c r="D143" s="59" t="s">
        <v>5727</v>
      </c>
      <c r="E143" s="91" t="s">
        <v>136</v>
      </c>
    </row>
    <row r="144" spans="1:5">
      <c r="A144" s="21">
        <f t="shared" si="2"/>
        <v>138</v>
      </c>
      <c r="B144" s="85" t="str">
        <f ca="1">IFERROR(__xludf.DUMMYFUNCTION("GOOGLETRANSLATE(B4317:B4332,""RU"",""UK"")"),"Гвинт внутр. шестигранник 8х45мм")</f>
        <v>Гвинт внутр. шестигранник 8х45мм</v>
      </c>
      <c r="C144" s="59" t="s">
        <v>130</v>
      </c>
      <c r="D144" s="59">
        <v>20</v>
      </c>
      <c r="E144" s="91" t="s">
        <v>136</v>
      </c>
    </row>
    <row r="145" spans="1:5">
      <c r="A145" s="21">
        <f t="shared" si="2"/>
        <v>139</v>
      </c>
      <c r="B145" s="85" t="str">
        <f ca="1">IFERROR(__xludf.DUMMYFUNCTION("GOOGLETRANSLATE(B4318:B4333,""RU"",""UK"")"),"Гвинт внутр. шестигранник 8х50мм (30) / 8х70мм (25)")</f>
        <v>Гвинт внутр. шестигранник 8х50мм (30) / 8х70мм (25)</v>
      </c>
      <c r="C145" s="59" t="s">
        <v>130</v>
      </c>
      <c r="D145" s="59" t="s">
        <v>5730</v>
      </c>
      <c r="E145" s="91" t="s">
        <v>136</v>
      </c>
    </row>
    <row r="146" spans="1:5">
      <c r="A146" s="21">
        <f t="shared" si="2"/>
        <v>140</v>
      </c>
      <c r="B146" s="85" t="str">
        <f ca="1">IFERROR(__xludf.DUMMYFUNCTION("GOOGLETRANSLATE(B4319:B4334,""RU"",""UK"")"),"Гвинт внутр. шестигранник 8х80мм/8х90мм")</f>
        <v>Гвинт внутр. шестигранник 8х80мм/8х90мм</v>
      </c>
      <c r="C146" s="59" t="s">
        <v>130</v>
      </c>
      <c r="D146" s="59" t="s">
        <v>5732</v>
      </c>
      <c r="E146" s="91" t="s">
        <v>136</v>
      </c>
    </row>
    <row r="147" spans="1:5">
      <c r="A147" s="21">
        <f t="shared" si="2"/>
        <v>141</v>
      </c>
      <c r="B147" s="85" t="str">
        <f ca="1">IFERROR(__xludf.DUMMYFUNCTION("GOOGLETRANSLATE(B4320:B4335,""RU"",""UK"")"),"Гвинт внутр. шестигранник 10х16мм")</f>
        <v>Гвинт внутр. шестигранник 10х16мм</v>
      </c>
      <c r="C147" s="59" t="s">
        <v>130</v>
      </c>
      <c r="D147" s="59">
        <v>16</v>
      </c>
      <c r="E147" s="91" t="s">
        <v>136</v>
      </c>
    </row>
    <row r="148" spans="1:5">
      <c r="A148" s="21">
        <f t="shared" si="2"/>
        <v>142</v>
      </c>
      <c r="B148" s="85" t="str">
        <f ca="1">IFERROR(__xludf.DUMMYFUNCTION("GOOGLETRANSLATE(B4321:B4336,""RU"",""UK"")"),"Гвинт внутр. шестигранник 10х20мм / 10х35оц")</f>
        <v>Гвинт внутр. шестигранник 10х20мм / 10х35оц</v>
      </c>
      <c r="C148" s="59" t="s">
        <v>130</v>
      </c>
      <c r="D148" s="59" t="s">
        <v>5735</v>
      </c>
      <c r="E148" s="91" t="s">
        <v>212</v>
      </c>
    </row>
    <row r="149" spans="1:5">
      <c r="A149" s="21">
        <f t="shared" si="2"/>
        <v>143</v>
      </c>
      <c r="B149" s="85" t="str">
        <f ca="1">IFERROR(__xludf.DUMMYFUNCTION("GOOGLETRANSLATE(B4322:B4337,""RU"",""UK"")"),"Гвинт внутр. шестигранник 10х45мм (35)")</f>
        <v>Гвинт внутр. шестигранник 10х45мм (35)</v>
      </c>
      <c r="C149" s="59" t="s">
        <v>130</v>
      </c>
      <c r="D149" s="59" t="s">
        <v>5411</v>
      </c>
      <c r="E149" s="91" t="s">
        <v>212</v>
      </c>
    </row>
    <row r="150" spans="1:5">
      <c r="A150" s="21">
        <f t="shared" si="2"/>
        <v>144</v>
      </c>
      <c r="B150" s="85" t="str">
        <f ca="1">IFERROR(__xludf.DUMMYFUNCTION("GOOGLETRANSLATE(B4323:B4338,""RU"",""UK"")"),"Гвинт внутр. шестигранник 10х60мм (30)")</f>
        <v>Гвинт внутр. шестигранник 10х60мм (30)</v>
      </c>
      <c r="C150" s="59" t="s">
        <v>130</v>
      </c>
      <c r="D150" s="59">
        <v>52</v>
      </c>
      <c r="E150" s="91" t="s">
        <v>212</v>
      </c>
    </row>
    <row r="151" spans="1:5">
      <c r="A151" s="21">
        <f t="shared" si="2"/>
        <v>145</v>
      </c>
      <c r="B151" s="85" t="str">
        <f ca="1">IFERROR(__xludf.DUMMYFUNCTION("GOOGLETRANSLATE(B4324:B4339,""RU"",""UK"")"),"Гвинт внутр. шестигранник 10х80мм")</f>
        <v>Гвинт внутр. шестигранник 10х80мм</v>
      </c>
      <c r="C151" s="59" t="s">
        <v>130</v>
      </c>
      <c r="D151" s="59" t="s">
        <v>5739</v>
      </c>
      <c r="E151" s="91" t="s">
        <v>212</v>
      </c>
    </row>
    <row r="152" spans="1:5">
      <c r="A152" s="21">
        <f t="shared" si="2"/>
        <v>146</v>
      </c>
      <c r="B152" s="85" t="str">
        <f ca="1">IFERROR(__xludf.DUMMYFUNCTION("GOOGLETRANSLATE(B4325:B4340,""RU"",""UK"")"),"Гвинт внутр. шестигранник 12х20мм/12х25мм")</f>
        <v>Гвинт внутр. шестигранник 12х20мм/12х25мм</v>
      </c>
      <c r="C152" s="59" t="s">
        <v>130</v>
      </c>
      <c r="D152" s="59" t="s">
        <v>5741</v>
      </c>
      <c r="E152" s="91" t="s">
        <v>212</v>
      </c>
    </row>
    <row r="153" spans="1:5">
      <c r="A153" s="21">
        <f t="shared" si="2"/>
        <v>147</v>
      </c>
      <c r="B153" s="85" t="str">
        <f ca="1">IFERROR(__xludf.DUMMYFUNCTION("GOOGLETRANSLATE(B4326:B4341,""RU"",""UK"")"),"Гвинт внутр. шестигранник 12х30мм/12х40мм")</f>
        <v>Гвинт внутр. шестигранник 12х30мм/12х40мм</v>
      </c>
      <c r="C153" s="59" t="s">
        <v>130</v>
      </c>
      <c r="D153" s="59" t="s">
        <v>5743</v>
      </c>
      <c r="E153" s="91" t="s">
        <v>212</v>
      </c>
    </row>
    <row r="154" spans="1:5">
      <c r="A154" s="21">
        <f t="shared" si="2"/>
        <v>148</v>
      </c>
      <c r="B154" s="85" t="str">
        <f ca="1">IFERROR(__xludf.DUMMYFUNCTION("GOOGLETRANSLATE(B4327:B4342,""RU"",""UK"")"),"Гвинт внутр. шестигранник 12х50мм/12х55мм")</f>
        <v>Гвинт внутр. шестигранник 12х50мм/12х55мм</v>
      </c>
      <c r="C154" s="59" t="s">
        <v>130</v>
      </c>
      <c r="D154" s="59" t="s">
        <v>5745</v>
      </c>
      <c r="E154" s="91" t="s">
        <v>212</v>
      </c>
    </row>
    <row r="155" spans="1:5">
      <c r="A155" s="21">
        <f t="shared" si="2"/>
        <v>149</v>
      </c>
      <c r="B155" s="85" t="str">
        <f ca="1">IFERROR(__xludf.DUMMYFUNCTION("GOOGLETRANSLATE(B4328:B4343,""RU"",""UK"")"),"Гвинт внутр. шестигранник 12х60мм/12х65мм")</f>
        <v>Гвинт внутр. шестигранник 12х60мм/12х65мм</v>
      </c>
      <c r="C155" s="59" t="s">
        <v>130</v>
      </c>
      <c r="D155" s="59" t="s">
        <v>5747</v>
      </c>
      <c r="E155" s="91" t="s">
        <v>212</v>
      </c>
    </row>
    <row r="156" spans="1:5">
      <c r="A156" s="21">
        <f t="shared" si="2"/>
        <v>150</v>
      </c>
      <c r="B156" s="85" t="str">
        <f ca="1">IFERROR(__xludf.DUMMYFUNCTION("GOOGLETRANSLATE(B4329:B4344,""RU"",""UK"")"),"Гвинт внутр. шестигранник 12х80мм")</f>
        <v>Гвинт внутр. шестигранник 12х80мм</v>
      </c>
      <c r="C156" s="59" t="s">
        <v>130</v>
      </c>
      <c r="D156" s="59">
        <v>20</v>
      </c>
      <c r="E156" s="91" t="s">
        <v>212</v>
      </c>
    </row>
    <row r="157" spans="1:5">
      <c r="A157" s="21">
        <f t="shared" si="2"/>
        <v>151</v>
      </c>
      <c r="B157" s="85" t="str">
        <f ca="1">IFERROR(__xludf.DUMMYFUNCTION("GOOGLETRANSLATE(B4330:B4345,""RU"",""UK"")"),"Гвинт внутр. шестигранник 16х35мм/16х40мм")</f>
        <v>Гвинт внутр. шестигранник 16х35мм/16х40мм</v>
      </c>
      <c r="C157" s="59" t="s">
        <v>130</v>
      </c>
      <c r="D157" s="59" t="s">
        <v>4240</v>
      </c>
      <c r="E157" s="91" t="s">
        <v>212</v>
      </c>
    </row>
    <row r="158" spans="1:5">
      <c r="A158" s="21">
        <f t="shared" si="2"/>
        <v>152</v>
      </c>
      <c r="B158" s="85" t="str">
        <f ca="1">IFERROR(__xludf.DUMMYFUNCTION("GOOGLETRANSLATE(B4331:B4346,""RU"",""UK"")"),"Гвинт внутр. шестигранник 16х45мм/16х50мм")</f>
        <v>Гвинт внутр. шестигранник 16х45мм/16х50мм</v>
      </c>
      <c r="C158" s="59" t="s">
        <v>130</v>
      </c>
      <c r="D158" s="59" t="s">
        <v>5751</v>
      </c>
      <c r="E158" s="91" t="s">
        <v>212</v>
      </c>
    </row>
    <row r="159" spans="1:5">
      <c r="A159" s="21">
        <f t="shared" si="2"/>
        <v>153</v>
      </c>
      <c r="B159" s="85" t="str">
        <f ca="1">IFERROR(__xludf.DUMMYFUNCTION("GOOGLETRANSLATE(B4332:B4347,""RU"",""UK"")"),"Гвинт внутр. шестигранник 16х60мм/16х70мм")</f>
        <v>Гвинт внутр. шестигранник 16х60мм/16х70мм</v>
      </c>
      <c r="C159" s="59" t="s">
        <v>130</v>
      </c>
      <c r="D159" s="59" t="s">
        <v>6226</v>
      </c>
      <c r="E159" s="91" t="s">
        <v>212</v>
      </c>
    </row>
    <row r="160" spans="1:5">
      <c r="A160" s="21">
        <f t="shared" si="2"/>
        <v>154</v>
      </c>
      <c r="B160" s="85" t="str">
        <f ca="1">IFERROR(__xludf.DUMMYFUNCTION("GOOGLETRANSLATE(B4333:B4348,""RU"",""UK"")"),"Гвинт внутр. шестигранник 16х80мм/16х90мм")</f>
        <v>Гвинт внутр. шестигранник 16х80мм/16х90мм</v>
      </c>
      <c r="C160" s="59" t="s">
        <v>130</v>
      </c>
      <c r="D160" s="59" t="s">
        <v>5755</v>
      </c>
      <c r="E160" s="91" t="s">
        <v>212</v>
      </c>
    </row>
    <row r="161" spans="1:5">
      <c r="A161" s="21">
        <f t="shared" si="2"/>
        <v>155</v>
      </c>
      <c r="B161" s="85" t="str">
        <f ca="1">IFERROR(__xludf.DUMMYFUNCTION("GOOGLETRANSLATE(B4334:B4349,""RU"",""UK"")"),"Гвинт внутр. шестигранник 16х100мм/16х110 (з гол.120)мм")</f>
        <v>Гвинт внутр. шестигранник 16х100мм/16х110 (з гол.120)мм</v>
      </c>
      <c r="C161" s="59" t="s">
        <v>130</v>
      </c>
      <c r="D161" s="59" t="s">
        <v>5757</v>
      </c>
      <c r="E161" s="91" t="s">
        <v>212</v>
      </c>
    </row>
    <row r="162" spans="1:5">
      <c r="A162" s="21">
        <f t="shared" si="2"/>
        <v>156</v>
      </c>
      <c r="B162" s="85" t="str">
        <f ca="1">IFERROR(__xludf.DUMMYFUNCTION("GOOGLETRANSLATE(B4335:B4350,""RU"",""UK"")"),"Гвинт внутр. шестигранник 20х50мм/20х60мм")</f>
        <v>Гвинт внутр. шестигранник 20х50мм/20х60мм</v>
      </c>
      <c r="C162" s="59" t="s">
        <v>130</v>
      </c>
      <c r="D162" s="59" t="s">
        <v>5759</v>
      </c>
      <c r="E162" s="91" t="s">
        <v>212</v>
      </c>
    </row>
    <row r="163" spans="1:5">
      <c r="A163" s="21">
        <f t="shared" si="2"/>
        <v>157</v>
      </c>
      <c r="B163" s="85" t="str">
        <f ca="1">IFERROR(__xludf.DUMMYFUNCTION("GOOGLETRANSLATE(B4336:B4351,""RU"",""UK"")"),"Гвинт внутр. шестигранник 20х70мм/20х85мм")</f>
        <v>Гвинт внутр. шестигранник 20х70мм/20х85мм</v>
      </c>
      <c r="C163" s="59" t="s">
        <v>130</v>
      </c>
      <c r="D163" s="59" t="s">
        <v>743</v>
      </c>
      <c r="E163" s="91" t="s">
        <v>212</v>
      </c>
    </row>
    <row r="164" spans="1:5">
      <c r="A164" s="21">
        <f t="shared" si="2"/>
        <v>158</v>
      </c>
      <c r="B164" s="85" t="str">
        <f ca="1">IFERROR(__xludf.DUMMYFUNCTION("GOOGLETRANSLATE(B4337:B4352,""RU"",""UK"")"),"Гвинт внутр. шестигранник 20х90мм/20х130мм")</f>
        <v>Гвинт внутр. шестигранник 20х90мм/20х130мм</v>
      </c>
      <c r="C164" s="59" t="s">
        <v>130</v>
      </c>
      <c r="D164" s="59" t="s">
        <v>5762</v>
      </c>
      <c r="E164" s="91" t="s">
        <v>212</v>
      </c>
    </row>
    <row r="165" spans="1:5">
      <c r="A165" s="21">
        <f t="shared" si="2"/>
        <v>159</v>
      </c>
      <c r="B165" s="85" t="str">
        <f ca="1">IFERROR(__xludf.DUMMYFUNCTION("GOOGLETRANSLATE(B4338:B4353,""RU"",""UK"")"),"Гвинт внутр. шестигранник 20х140мм")</f>
        <v>Гвинт внутр. шестигранник 20х140мм</v>
      </c>
      <c r="C165" s="59" t="s">
        <v>130</v>
      </c>
      <c r="D165" s="59">
        <v>27</v>
      </c>
      <c r="E165" s="91" t="s">
        <v>212</v>
      </c>
    </row>
    <row r="166" spans="1:5">
      <c r="A166" s="21">
        <f t="shared" si="2"/>
        <v>160</v>
      </c>
      <c r="B166" s="85" t="str">
        <f ca="1">IFERROR(__xludf.DUMMYFUNCTION("GOOGLETRANSLATE(B4339:B4354,""RU"",""UK"")"),"Гвинт внутр. шестигранник 24х50мм/24х70мм")</f>
        <v>Гвинт внутр. шестигранник 24х50мм/24х70мм</v>
      </c>
      <c r="C166" s="59" t="s">
        <v>130</v>
      </c>
      <c r="D166" s="59" t="s">
        <v>5765</v>
      </c>
      <c r="E166" s="91" t="s">
        <v>212</v>
      </c>
    </row>
    <row r="167" spans="1:5">
      <c r="A167" s="21">
        <f t="shared" si="2"/>
        <v>161</v>
      </c>
      <c r="B167" s="85" t="str">
        <f ca="1">IFERROR(__xludf.DUMMYFUNCTION("GOOGLETRANSLATE(B4340:B4355,""RU"",""UK"")"),"Гвинт внутр. шестигранник 24х100мм/24х130мм")</f>
        <v>Гвинт внутр. шестигранник 24х100мм/24х130мм</v>
      </c>
      <c r="C167" s="59" t="s">
        <v>130</v>
      </c>
      <c r="D167" s="59" t="s">
        <v>1929</v>
      </c>
      <c r="E167" s="91" t="s">
        <v>212</v>
      </c>
    </row>
    <row r="168" spans="1:5">
      <c r="A168" s="21">
        <f t="shared" si="2"/>
        <v>162</v>
      </c>
      <c r="B168" s="85" t="str">
        <f ca="1">IFERROR(__xludf.DUMMYFUNCTION("GOOGLETRANSLATE(B4341:B4356,""RU"",""UK"")"),"Гвинт 3х8оц. гол.п/кругла")</f>
        <v>Гвинт 3х8оц. гол.п/кругла</v>
      </c>
      <c r="C168" s="59" t="s">
        <v>130</v>
      </c>
      <c r="D168" s="59" t="s">
        <v>5768</v>
      </c>
      <c r="E168" s="91" t="s">
        <v>212</v>
      </c>
    </row>
    <row r="169" spans="1:5">
      <c r="A169" s="21">
        <f t="shared" si="2"/>
        <v>163</v>
      </c>
      <c r="B169" s="85" t="str">
        <f ca="1">IFERROR(__xludf.DUMMYFUNCTION("GOOGLETRANSLATE(B4342:B4357,""RU"",""UK"")"),"Гвинт 4х20 (гол.потай)")</f>
        <v>Гвинт 4х20 (гол.потай)</v>
      </c>
      <c r="C169" s="59" t="s">
        <v>130</v>
      </c>
      <c r="D169" s="59" t="s">
        <v>5770</v>
      </c>
      <c r="E169" s="91" t="s">
        <v>212</v>
      </c>
    </row>
    <row r="170" spans="1:5">
      <c r="A170" s="21">
        <f t="shared" si="2"/>
        <v>164</v>
      </c>
      <c r="B170" s="85" t="str">
        <f ca="1">IFERROR(__xludf.DUMMYFUNCTION("GOOGLETRANSLATE(B4343:B4358,""RU"",""UK"")"),"Гвинт 4х8оц. / 4х12оц. (гол.п/кругла)")</f>
        <v>Гвинт 4х8оц. / 4х12оц. (гол.п/кругла)</v>
      </c>
      <c r="C170" s="59" t="s">
        <v>130</v>
      </c>
      <c r="D170" s="59" t="s">
        <v>5772</v>
      </c>
      <c r="E170" s="91" t="s">
        <v>212</v>
      </c>
    </row>
    <row r="171" spans="1:5">
      <c r="A171" s="21">
        <f t="shared" si="2"/>
        <v>165</v>
      </c>
      <c r="B171" s="85" t="str">
        <f ca="1">IFERROR(__xludf.DUMMYFUNCTION("GOOGLETRANSLATE(B4344:B4359,""RU"",""UK"")"),"Гвинт 4х10/4х12 (гол.п/кругла)")</f>
        <v>Гвинт 4х10/4х12 (гол.п/кругла)</v>
      </c>
      <c r="C171" s="59" t="s">
        <v>130</v>
      </c>
      <c r="D171" s="59" t="s">
        <v>5774</v>
      </c>
      <c r="E171" s="91" t="s">
        <v>212</v>
      </c>
    </row>
    <row r="172" spans="1:5">
      <c r="A172" s="21">
        <f t="shared" si="2"/>
        <v>166</v>
      </c>
      <c r="B172" s="85" t="str">
        <f ca="1">IFERROR(__xludf.DUMMYFUNCTION("GOOGLETRANSLATE(B4345:B4360,""RU"",""UK"")"),"Гвинт 4х25 (гол.п/кругла)")</f>
        <v>Гвинт 4х25 (гол.п/кругла)</v>
      </c>
      <c r="C172" s="59" t="s">
        <v>130</v>
      </c>
      <c r="D172" s="59" t="s">
        <v>5709</v>
      </c>
      <c r="E172" s="91" t="s">
        <v>212</v>
      </c>
    </row>
    <row r="173" spans="1:5">
      <c r="A173" s="21">
        <f t="shared" si="2"/>
        <v>167</v>
      </c>
      <c r="B173" s="85" t="str">
        <f ca="1">IFERROR(__xludf.DUMMYFUNCTION("GOOGLETRANSLATE(B4346:B4361,""RU"",""UK"")"),"Гвинт 5х12оц. (потай)")</f>
        <v>Гвинт 5х12оц. (потай)</v>
      </c>
      <c r="C173" s="59" t="s">
        <v>130</v>
      </c>
      <c r="D173" s="59" t="s">
        <v>5777</v>
      </c>
      <c r="E173" s="91" t="s">
        <v>27</v>
      </c>
    </row>
    <row r="174" spans="1:5">
      <c r="A174" s="21">
        <f t="shared" si="2"/>
        <v>168</v>
      </c>
      <c r="B174" s="85" t="str">
        <f ca="1">IFERROR(__xludf.DUMMYFUNCTION("GOOGLETRANSLATE(B4347:B4362,""RU"",""UK"")"),"Гвинт 5х8/5х10 (гол.п/кругла)")</f>
        <v>Гвинт 5х8/5х10 (гол.п/кругла)</v>
      </c>
      <c r="C174" s="59" t="s">
        <v>130</v>
      </c>
      <c r="D174" s="59" t="s">
        <v>5779</v>
      </c>
      <c r="E174" s="91" t="s">
        <v>212</v>
      </c>
    </row>
    <row r="175" spans="1:5">
      <c r="A175" s="21">
        <f t="shared" si="2"/>
        <v>169</v>
      </c>
      <c r="B175" s="85" t="str">
        <f ca="1">IFERROR(__xludf.DUMMYFUNCTION("GOOGLETRANSLATE(B4348:B4363,""RU"",""UK"")"),"Гвинт 5х30(15) оцін.(гол.п/кругла)")</f>
        <v>Гвинт 5х30(15) оцін.(гол.п/кругла)</v>
      </c>
      <c r="C175" s="59" t="s">
        <v>130</v>
      </c>
      <c r="D175" s="59" t="s">
        <v>5709</v>
      </c>
      <c r="E175" s="91" t="s">
        <v>212</v>
      </c>
    </row>
    <row r="176" spans="1:5">
      <c r="A176" s="21">
        <f t="shared" si="2"/>
        <v>170</v>
      </c>
      <c r="B176" s="85" t="str">
        <f ca="1">IFERROR(__xludf.DUMMYFUNCTION("GOOGLETRANSLATE(B4349:B4364,""RU"",""UK"")"),"Гвинт 5х30 (15) / 5х35 / 5х40 (гол.п/кругла)")</f>
        <v>Гвинт 5х30 (15) / 5х35 / 5х40 (гол.п/кругла)</v>
      </c>
      <c r="C176" s="59" t="s">
        <v>130</v>
      </c>
      <c r="D176" s="59" t="s">
        <v>5782</v>
      </c>
      <c r="E176" s="91" t="s">
        <v>212</v>
      </c>
    </row>
    <row r="177" spans="1:5">
      <c r="A177" s="21">
        <f t="shared" si="2"/>
        <v>171</v>
      </c>
      <c r="B177" s="85" t="str">
        <f ca="1">IFERROR(__xludf.DUMMYFUNCTION("GOOGLETRANSLATE(B4350:B4365,""RU"",""UK"")"),"Гвинт 6х10/6х16оц (гол.п/кругла)")</f>
        <v>Гвинт 6х10/6х16оц (гол.п/кругла)</v>
      </c>
      <c r="C177" s="59" t="s">
        <v>130</v>
      </c>
      <c r="D177" s="59" t="s">
        <v>5784</v>
      </c>
      <c r="E177" s="91" t="s">
        <v>212</v>
      </c>
    </row>
    <row r="178" spans="1:5">
      <c r="A178" s="21">
        <f t="shared" si="2"/>
        <v>172</v>
      </c>
      <c r="B178" s="85" t="str">
        <f ca="1">IFERROR(__xludf.DUMMYFUNCTION("GOOGLETRANSLATE(B4351:B4366,""RU"",""UK"")"),"Гвинт 6х20/6х30 (20) (гол.п/кругла)")</f>
        <v>Гвинт 6х20/6х30 (20) (гол.п/кругла)</v>
      </c>
      <c r="C178" s="59" t="s">
        <v>130</v>
      </c>
      <c r="D178" s="59" t="s">
        <v>5786</v>
      </c>
      <c r="E178" s="91" t="s">
        <v>212</v>
      </c>
    </row>
    <row r="179" spans="1:5">
      <c r="A179" s="21">
        <f t="shared" si="2"/>
        <v>173</v>
      </c>
      <c r="B179" s="85" t="str">
        <f ca="1">IFERROR(__xludf.DUMMYFUNCTION("GOOGLETRANSLATE(B4352:B4367,""RU"",""UK"")"),"Гвинт 6х16/6х35/6х45 (гол.потай)")</f>
        <v>Гвинт 6х16/6х35/6х45 (гол.потай)</v>
      </c>
      <c r="C179" s="59" t="s">
        <v>130</v>
      </c>
      <c r="D179" s="59" t="s">
        <v>5788</v>
      </c>
      <c r="E179" s="91" t="s">
        <v>212</v>
      </c>
    </row>
    <row r="180" spans="1:5">
      <c r="A180" s="21">
        <f t="shared" si="2"/>
        <v>174</v>
      </c>
      <c r="B180" s="85" t="str">
        <f ca="1">IFERROR(__xludf.DUMMYFUNCTION("GOOGLETRANSLATE(B4353:B4368,""RU"",""UK"")"),"Гвинт 8х40 (гол.п/кругла)")</f>
        <v>Гвинт 8х40 (гол.п/кругла)</v>
      </c>
      <c r="C180" s="59" t="s">
        <v>130</v>
      </c>
      <c r="D180" s="59">
        <v>11</v>
      </c>
      <c r="E180" s="91" t="s">
        <v>212</v>
      </c>
    </row>
    <row r="181" spans="1:5">
      <c r="A181" s="21">
        <f t="shared" si="2"/>
        <v>175</v>
      </c>
      <c r="B181" s="85" t="str">
        <f ca="1">IFERROR(__xludf.DUMMYFUNCTION("GOOGLETRANSLATE(B4354:B4369,""RU"",""UK"")"),"Гвинт 8х25/8х30/10х25 (потай)")</f>
        <v>Гвинт 8х25/8х30/10х25 (потай)</v>
      </c>
      <c r="C181" s="59" t="s">
        <v>130</v>
      </c>
      <c r="D181" s="59" t="s">
        <v>5791</v>
      </c>
      <c r="E181" s="91" t="s">
        <v>212</v>
      </c>
    </row>
    <row r="182" spans="1:5">
      <c r="A182" s="21">
        <f t="shared" si="2"/>
        <v>176</v>
      </c>
      <c r="B182" s="85" t="str">
        <f ca="1">IFERROR(__xludf.DUMMYFUNCTION("GOOGLETRANSLATE(B4355:B4370,""RU"",""UK"")"),"РИМ болт оцін. М10/М12/М16")</f>
        <v>РИМ болт оцін. М10/М12/М16</v>
      </c>
      <c r="C182" s="59" t="s">
        <v>6</v>
      </c>
      <c r="D182" s="59" t="s">
        <v>3210</v>
      </c>
      <c r="E182" s="91" t="s">
        <v>212</v>
      </c>
    </row>
    <row r="183" spans="1:5">
      <c r="A183" s="21">
        <f t="shared" si="2"/>
        <v>177</v>
      </c>
      <c r="B183" s="85" t="str">
        <f ca="1">IFERROR(__xludf.DUMMYFUNCTION("GOOGLETRANSLATE(B4356:B4371,""RU"",""UK"")"),"Шпилька оцін. (стрижень метричний) 6х1000")</f>
        <v>Шпилька оцін. (стрижень метричний) 6х1000</v>
      </c>
      <c r="C183" s="59" t="s">
        <v>6</v>
      </c>
      <c r="D183" s="59">
        <v>0</v>
      </c>
      <c r="E183" s="91" t="s">
        <v>290</v>
      </c>
    </row>
    <row r="184" spans="1:5">
      <c r="A184" s="21">
        <f t="shared" si="2"/>
        <v>178</v>
      </c>
      <c r="B184" s="85" t="str">
        <f ca="1">IFERROR(__xludf.DUMMYFUNCTION("GOOGLETRANSLATE(B4357:B4372,""RU"",""UK"")"),"Шпилька оцін. (стрижень метричний) 8х1000")</f>
        <v>Шпилька оцін. (стрижень метричний) 8х1000</v>
      </c>
      <c r="C184" s="59" t="s">
        <v>6</v>
      </c>
      <c r="D184" s="59"/>
      <c r="E184" s="91" t="s">
        <v>366</v>
      </c>
    </row>
    <row r="185" spans="1:5">
      <c r="A185" s="21">
        <f t="shared" si="2"/>
        <v>179</v>
      </c>
      <c r="B185" s="85" t="str">
        <f ca="1">IFERROR(__xludf.DUMMYFUNCTION("GOOGLETRANSLATE(B4358:B4373,""RU"",""UK"")"),"Шпилька оцін. (стрижень метричний) 10х1000")</f>
        <v>Шпилька оцін. (стрижень метричний) 10х1000</v>
      </c>
      <c r="C185" s="59" t="s">
        <v>6</v>
      </c>
      <c r="D185" s="59"/>
      <c r="E185" s="91" t="s">
        <v>169</v>
      </c>
    </row>
    <row r="186" spans="1:5">
      <c r="A186" s="21">
        <f t="shared" si="2"/>
        <v>180</v>
      </c>
      <c r="B186" s="85" t="str">
        <f ca="1">IFERROR(__xludf.DUMMYFUNCTION("GOOGLETRANSLATE(B4359:B4374,""RU"",""UK"")"),"Шпилька оцін. 10х90")</f>
        <v>Шпилька оцін. 10х90</v>
      </c>
      <c r="C186" s="59" t="s">
        <v>130</v>
      </c>
      <c r="D186" s="59">
        <v>20</v>
      </c>
      <c r="E186" s="91" t="s">
        <v>255</v>
      </c>
    </row>
    <row r="187" spans="1:5">
      <c r="A187" s="21">
        <f t="shared" si="2"/>
        <v>181</v>
      </c>
      <c r="B187" s="85" t="str">
        <f ca="1">IFERROR(__xludf.DUMMYFUNCTION("GOOGLETRANSLATE(B4360:B4375,""RU"",""UK"")"),"Шпилька оцін. (стрижень метричний) 12х1000")</f>
        <v>Шпилька оцін. (стрижень метричний) 12х1000</v>
      </c>
      <c r="C187" s="59" t="s">
        <v>6</v>
      </c>
      <c r="D187" s="59">
        <v>0</v>
      </c>
      <c r="E187" s="91" t="s">
        <v>209</v>
      </c>
    </row>
    <row r="188" spans="1:5">
      <c r="A188" s="21">
        <f t="shared" si="2"/>
        <v>182</v>
      </c>
      <c r="B188" s="85" t="str">
        <f ca="1">IFERROR(__xludf.DUMMYFUNCTION("GOOGLETRANSLATE(B4361:B4376,""RU"",""UK"")"),"Шпилька бронзова 12х100")</f>
        <v>Шпилька бронзова 12х100</v>
      </c>
      <c r="C188" s="59" t="s">
        <v>130</v>
      </c>
      <c r="D188" s="59" t="s">
        <v>5295</v>
      </c>
      <c r="E188" s="91" t="s">
        <v>24</v>
      </c>
    </row>
    <row r="189" spans="1:5">
      <c r="A189" s="21">
        <f t="shared" si="2"/>
        <v>183</v>
      </c>
      <c r="B189" s="85" t="str">
        <f ca="1">IFERROR(__xludf.DUMMYFUNCTION("GOOGLETRANSLATE(B4362:B4377,""RU"",""UK"")"),"Шпилька оцін. (стрижень метричний) 22х1000")</f>
        <v>Шпилька оцін. (стрижень метричний) 22х1000</v>
      </c>
      <c r="C189" s="59" t="s">
        <v>6</v>
      </c>
      <c r="D189" s="59">
        <v>4</v>
      </c>
      <c r="E189" s="91" t="s">
        <v>140</v>
      </c>
    </row>
    <row r="190" spans="1:5">
      <c r="A190" s="21">
        <f t="shared" si="2"/>
        <v>184</v>
      </c>
      <c r="B190" s="85" t="str">
        <f ca="1">IFERROR(__xludf.DUMMYFUNCTION("GOOGLETRANSLATE(B4363:B4378,""RU"",""UK"")"),"Шпилька чорна. 24х110 / 36х200 = 7шт")</f>
        <v>Шпилька чорна. 24х110 / 36х200 = 7шт</v>
      </c>
      <c r="C190" s="59" t="s">
        <v>130</v>
      </c>
      <c r="D190" s="59" t="s">
        <v>5801</v>
      </c>
      <c r="E190" s="91" t="s">
        <v>104</v>
      </c>
    </row>
    <row r="191" spans="1:5">
      <c r="A191" s="21">
        <f t="shared" si="2"/>
        <v>185</v>
      </c>
      <c r="B191" s="85" t="str">
        <f ca="1">IFERROR(__xludf.DUMMYFUNCTION("GOOGLETRANSLATE(B4364:B4379,""RU"",""UK"")"),"Шплінт 1,6х16")</f>
        <v>Шплінт 1,6х16</v>
      </c>
      <c r="C191" s="59" t="s">
        <v>130</v>
      </c>
      <c r="D191" s="59" t="s">
        <v>5287</v>
      </c>
      <c r="E191" s="91" t="s">
        <v>136</v>
      </c>
    </row>
    <row r="192" spans="1:5">
      <c r="A192" s="21">
        <f t="shared" si="2"/>
        <v>186</v>
      </c>
      <c r="B192" s="85" t="str">
        <f ca="1">IFERROR(__xludf.DUMMYFUNCTION("GOOGLETRANSLATE(B4365:B4380,""RU"",""UK"")"),"Шплінт 2х20оц")</f>
        <v>Шплінт 2х20оц</v>
      </c>
      <c r="C192" s="59" t="s">
        <v>6</v>
      </c>
      <c r="D192" s="59">
        <v>1000</v>
      </c>
      <c r="E192" s="91" t="s">
        <v>5804</v>
      </c>
    </row>
    <row r="193" spans="1:5">
      <c r="A193" s="21">
        <f t="shared" si="2"/>
        <v>187</v>
      </c>
      <c r="B193" s="85" t="str">
        <f ca="1">IFERROR(__xludf.DUMMYFUNCTION("GOOGLETRANSLATE(B4366:B4381,""RU"",""UK"")"),"Шплінт 3х25")</f>
        <v>Шплінт 3х25</v>
      </c>
      <c r="C193" s="59" t="s">
        <v>6</v>
      </c>
      <c r="D193" s="59" t="s">
        <v>5806</v>
      </c>
      <c r="E193" s="91" t="s">
        <v>212</v>
      </c>
    </row>
    <row r="194" spans="1:5">
      <c r="A194" s="21">
        <f t="shared" si="2"/>
        <v>188</v>
      </c>
      <c r="B194" s="85" t="str">
        <f ca="1">IFERROR(__xludf.DUMMYFUNCTION("GOOGLETRANSLATE(B4367:B4382,""RU"",""UK"")"),"Шплінти в асортименті")</f>
        <v>Шплінти в асортименті</v>
      </c>
      <c r="C194" s="59" t="s">
        <v>130</v>
      </c>
      <c r="D194" s="59">
        <v>10</v>
      </c>
      <c r="E194" s="91">
        <v>200</v>
      </c>
    </row>
    <row r="195" spans="1:5">
      <c r="A195" s="21">
        <f t="shared" si="2"/>
        <v>189</v>
      </c>
      <c r="B195" s="85" t="str">
        <f ca="1">IFERROR(__xludf.DUMMYFUNCTION("GOOGLETRANSLATE(B4368:B4383,""RU"",""UK"")"),"Шпонковий квадрат 4х4мм")</f>
        <v>Шпонковий квадрат 4х4мм</v>
      </c>
      <c r="C195" s="59" t="s">
        <v>130</v>
      </c>
      <c r="D195" s="59">
        <v>12</v>
      </c>
      <c r="E195" s="91">
        <v>240</v>
      </c>
    </row>
    <row r="196" spans="1:5">
      <c r="A196" s="21">
        <f t="shared" si="2"/>
        <v>190</v>
      </c>
      <c r="B196" s="85" t="str">
        <f ca="1">IFERROR(__xludf.DUMMYFUNCTION("GOOGLETRANSLATE(B4369:B4384,""RU"",""UK"")"),"Шпонковий квадрат 5х5мм")</f>
        <v>Шпонковий квадрат 5х5мм</v>
      </c>
      <c r="C196" s="59" t="s">
        <v>130</v>
      </c>
      <c r="D196" s="59">
        <v>20.5</v>
      </c>
      <c r="E196" s="91">
        <v>240</v>
      </c>
    </row>
    <row r="197" spans="1:5">
      <c r="A197" s="21">
        <f t="shared" si="2"/>
        <v>191</v>
      </c>
      <c r="B197" s="85" t="str">
        <f ca="1">IFERROR(__xludf.DUMMYFUNCTION("GOOGLETRANSLATE(B4370:B4385,""RU"",""UK"")"),"Шпонковий квадрат 6х6мм")</f>
        <v>Шпонковий квадрат 6х6мм</v>
      </c>
      <c r="C197" s="59" t="s">
        <v>130</v>
      </c>
      <c r="D197" s="59">
        <v>42.2</v>
      </c>
      <c r="E197" s="91">
        <v>240.00200000000001</v>
      </c>
    </row>
    <row r="198" spans="1:5">
      <c r="A198" s="21">
        <f t="shared" si="2"/>
        <v>192</v>
      </c>
      <c r="B198" s="85" t="str">
        <f ca="1">IFERROR(__xludf.DUMMYFUNCTION("GOOGLETRANSLATE(B4371:B4386,""RU"",""UK"")"),"Шпонковий квадрат 8х8мм")</f>
        <v>Шпонковий квадрат 8х8мм</v>
      </c>
      <c r="C198" s="59" t="s">
        <v>130</v>
      </c>
      <c r="D198" s="59">
        <v>17.7</v>
      </c>
      <c r="E198" s="91">
        <v>240</v>
      </c>
    </row>
    <row r="199" spans="1:5">
      <c r="A199" s="21">
        <f t="shared" si="2"/>
        <v>193</v>
      </c>
      <c r="B199" s="85" t="str">
        <f ca="1">IFERROR(__xludf.DUMMYFUNCTION("GOOGLETRANSLATE(B4372:B4387,""RU"",""UK"")"),"Шпонковий матеріал 10х8, ст. 45")</f>
        <v>Шпонковий матеріал 10х8, ст. 45</v>
      </c>
      <c r="C199" s="59" t="s">
        <v>634</v>
      </c>
      <c r="D199" s="59">
        <v>1</v>
      </c>
      <c r="E199" s="91">
        <v>110</v>
      </c>
    </row>
    <row r="200" spans="1:5">
      <c r="A200" s="21">
        <f t="shared" si="2"/>
        <v>194</v>
      </c>
      <c r="B200" s="85" t="str">
        <f ca="1">IFERROR(__xludf.DUMMYFUNCTION("GOOGLETRANSLATE(B4372:B4387,""RU"",""UK"")"),"Шпонковий матеріал 10х10х600мм, ст. 45")</f>
        <v>Шпонковий матеріал 10х10х600мм, ст. 45</v>
      </c>
      <c r="C200" s="59" t="s">
        <v>6</v>
      </c>
      <c r="D200" s="59">
        <v>3</v>
      </c>
      <c r="E200" s="91">
        <v>110</v>
      </c>
    </row>
    <row r="201" spans="1:5">
      <c r="A201" s="21">
        <f t="shared" ref="A201" si="3">A200+1</f>
        <v>195</v>
      </c>
      <c r="B201" s="85" t="str">
        <f ca="1">IFERROR(__xludf.DUMMYFUNCTION("GOOGLETRANSLATE(B4372:B4387,""RU"",""UK"")"),"Шпонковий матеріал 12х8х500мм, ст. 45")</f>
        <v>Шпонковий матеріал 12х8х500мм, ст. 45</v>
      </c>
      <c r="C201" s="59" t="s">
        <v>6</v>
      </c>
      <c r="D201" s="59">
        <v>1</v>
      </c>
      <c r="E201" s="91" t="s">
        <v>2437</v>
      </c>
    </row>
    <row r="202" spans="1:5">
      <c r="A202" s="21">
        <f t="shared" ref="A202" si="4">A201+1</f>
        <v>196</v>
      </c>
      <c r="B202" s="85" t="str">
        <f ca="1">IFERROR(__xludf.DUMMYFUNCTION("GOOGLETRANSLATE(B4373:B4388,""RU"",""UK"")"),"Шпонковий маткріал 12х10, ст. 45")</f>
        <v>Шпонковий маткріал 12х10, ст. 45</v>
      </c>
      <c r="C202" s="59" t="s">
        <v>634</v>
      </c>
      <c r="D202" s="59">
        <v>0</v>
      </c>
      <c r="E202" s="91" t="s">
        <v>5816</v>
      </c>
    </row>
    <row r="203" spans="1:5">
      <c r="A203" s="21">
        <f t="shared" ref="A203:A217" si="5">A202+1</f>
        <v>197</v>
      </c>
      <c r="B203" s="85" t="str">
        <f ca="1">IFERROR(__xludf.DUMMYFUNCTION("GOOGLETRANSLATE(B4374:B4389,""RU"",""UK"")"),"Шпонковий маткріал 14х9, ст. 45")</f>
        <v>Шпонковий маткріал 14х9, ст. 45</v>
      </c>
      <c r="C203" s="59" t="s">
        <v>634</v>
      </c>
      <c r="D203" s="59" t="s">
        <v>5818</v>
      </c>
      <c r="E203" s="91" t="s">
        <v>140</v>
      </c>
    </row>
    <row r="204" spans="1:5">
      <c r="A204" s="21">
        <f t="shared" si="5"/>
        <v>198</v>
      </c>
      <c r="B204" s="85" t="str">
        <f ca="1">IFERROR(__xludf.DUMMYFUNCTION("GOOGLETRANSLATE(B4375:B4390,""RU"",""UK"")"),"Заклепка алюм. потай 4х15мм")</f>
        <v>Заклепка алюм. потай 4х15мм</v>
      </c>
      <c r="C204" s="59" t="s">
        <v>130</v>
      </c>
      <c r="D204" s="59" t="s">
        <v>5820</v>
      </c>
      <c r="E204" s="91" t="s">
        <v>106</v>
      </c>
    </row>
    <row r="205" spans="1:5">
      <c r="A205" s="21">
        <f t="shared" si="5"/>
        <v>199</v>
      </c>
      <c r="B205" s="85" t="str">
        <f ca="1">IFERROR(__xludf.DUMMYFUNCTION("GOOGLETRANSLATE(B4376:B4391,""RU"",""UK"")"),"Заклепування оцін. 5х45мм")</f>
        <v>Заклепування оцін. 5х45мм</v>
      </c>
      <c r="C205" s="59" t="s">
        <v>130</v>
      </c>
      <c r="D205" s="59">
        <v>3</v>
      </c>
      <c r="E205" s="91" t="s">
        <v>212</v>
      </c>
    </row>
    <row r="206" spans="1:5">
      <c r="A206" s="21">
        <f t="shared" si="5"/>
        <v>200</v>
      </c>
      <c r="B206" s="85" t="str">
        <f ca="1">IFERROR(__xludf.DUMMYFUNCTION("GOOGLETRANSLATE(B4377:B4392,""RU"",""UK"")"),"Скоба такелажна 4т (20мм)")</f>
        <v>Скоба такелажна 4т (20мм)</v>
      </c>
      <c r="C206" s="59" t="s">
        <v>6</v>
      </c>
      <c r="D206" s="59">
        <v>9</v>
      </c>
      <c r="E206" s="91" t="s">
        <v>140</v>
      </c>
    </row>
    <row r="207" spans="1:5">
      <c r="A207" s="21">
        <f t="shared" si="5"/>
        <v>201</v>
      </c>
      <c r="B207" s="85" t="str">
        <f ca="1">IFERROR(__xludf.DUMMYFUNCTION("GOOGLETRANSLATE(B4378:B4393,""RU"",""UK"")"),"Скоба такелажна 8,5т (25мм)")</f>
        <v>Скоба такелажна 8,5т (25мм)</v>
      </c>
      <c r="C207" s="59" t="s">
        <v>6</v>
      </c>
      <c r="D207" s="59">
        <v>1</v>
      </c>
      <c r="E207" s="91" t="s">
        <v>78</v>
      </c>
    </row>
    <row r="208" spans="1:5">
      <c r="A208" s="21">
        <f t="shared" si="5"/>
        <v>202</v>
      </c>
      <c r="B208" s="85" t="str">
        <f ca="1">IFERROR(__xludf.DUMMYFUNCTION("GOOGLETRANSLATE(B4379:B4394,""RU"",""UK"")"),"Затискач троса 14мм")</f>
        <v>Затискач троса 14мм</v>
      </c>
      <c r="C208" s="59" t="s">
        <v>6</v>
      </c>
      <c r="D208" s="59">
        <v>10</v>
      </c>
      <c r="E208" s="91" t="s">
        <v>167</v>
      </c>
    </row>
    <row r="209" spans="1:5">
      <c r="A209" s="21">
        <f t="shared" si="5"/>
        <v>203</v>
      </c>
      <c r="B209" s="85" t="str">
        <f ca="1">IFERROR(__xludf.DUMMYFUNCTION("GOOGLETRANSLATE(B4380:B4395,""RU"",""UK"")"),"Наконечник до маслонагнітачника")</f>
        <v>Наконечник до маслонагнітачника</v>
      </c>
      <c r="C209" s="59" t="s">
        <v>6</v>
      </c>
      <c r="D209" s="59">
        <v>5</v>
      </c>
      <c r="E209" s="91" t="s">
        <v>248</v>
      </c>
    </row>
    <row r="210" spans="1:5">
      <c r="A210" s="21">
        <f t="shared" si="5"/>
        <v>204</v>
      </c>
      <c r="B210" s="85" t="str">
        <f ca="1">IFERROR(__xludf.DUMMYFUNCTION("GOOGLETRANSLATE(B4381:B4396,""RU"",""UK"")"),"Прес-масляна ковпачкова велика М14х1,5")</f>
        <v>Прес-масляна ковпачкова велика М14х1,5</v>
      </c>
      <c r="C210" s="59" t="s">
        <v>6</v>
      </c>
      <c r="D210" s="59">
        <v>30</v>
      </c>
      <c r="E210" s="91" t="s">
        <v>286</v>
      </c>
    </row>
    <row r="211" spans="1:5">
      <c r="A211" s="21">
        <f t="shared" si="5"/>
        <v>205</v>
      </c>
      <c r="B211" s="85" t="str">
        <f ca="1">IFERROR(__xludf.DUMMYFUNCTION("GOOGLETRANSLATE(B4382:B4397,""RU"",""UK"")"),"Прес-масляна ковпачкова середня М14х1,5")</f>
        <v>Прес-масляна ковпачкова середня М14х1,5</v>
      </c>
      <c r="C211" s="59" t="s">
        <v>6</v>
      </c>
      <c r="D211" s="59">
        <v>12</v>
      </c>
      <c r="E211" s="91" t="s">
        <v>361</v>
      </c>
    </row>
    <row r="212" spans="1:5">
      <c r="A212" s="21">
        <f t="shared" si="5"/>
        <v>206</v>
      </c>
      <c r="B212" s="85" t="str">
        <f ca="1">IFERROR(__xludf.DUMMYFUNCTION("GOOGLETRANSLATE(B4383:B4398,""RU"",""UK"")"),"Прес-маслянка ковпачкова мала М14х1, 5")</f>
        <v>Прес-маслянка ковпачкова мала М14х1, 5</v>
      </c>
      <c r="C212" s="59" t="s">
        <v>6</v>
      </c>
      <c r="D212" s="59">
        <v>30</v>
      </c>
      <c r="E212" s="91" t="s">
        <v>132</v>
      </c>
    </row>
    <row r="213" spans="1:5">
      <c r="A213" s="21">
        <f t="shared" si="5"/>
        <v>207</v>
      </c>
      <c r="B213" s="85" t="str">
        <f ca="1">IFERROR(__xludf.DUMMYFUNCTION("GOOGLETRANSLATE(B4384:B4399,""RU"",""UK"")"),"Прес-маслянка М6х1пряма ")</f>
        <v xml:space="preserve">Прес-маслянка М6х1пряма </v>
      </c>
      <c r="C213" s="59" t="s">
        <v>6</v>
      </c>
      <c r="D213" s="59">
        <v>1</v>
      </c>
      <c r="E213" s="91" t="s">
        <v>132</v>
      </c>
    </row>
    <row r="214" spans="1:5">
      <c r="A214" s="21">
        <f t="shared" si="5"/>
        <v>208</v>
      </c>
      <c r="B214" s="85" t="str">
        <f ca="1">IFERROR(__xludf.DUMMYFUNCTION("GOOGLETRANSLATE(B4385:B4400,""RU"",""UK"")"),"Прес-маслянка М8х1пряма")</f>
        <v>Прес-маслянка М8х1пряма</v>
      </c>
      <c r="C214" s="59" t="s">
        <v>6</v>
      </c>
      <c r="D214" s="59">
        <v>0</v>
      </c>
      <c r="E214" s="91" t="s">
        <v>1294</v>
      </c>
    </row>
    <row r="215" spans="1:5">
      <c r="A215" s="21">
        <f t="shared" si="5"/>
        <v>209</v>
      </c>
      <c r="B215" s="85" t="str">
        <f ca="1">IFERROR(__xludf.DUMMYFUNCTION("GOOGLETRANSLATE(B4386:B4401,""RU"",""UK"")"),"Прес-маслянка М10х1пряма")</f>
        <v>Прес-маслянка М10х1пряма</v>
      </c>
      <c r="C215" s="59" t="s">
        <v>6</v>
      </c>
      <c r="D215" s="59">
        <v>410</v>
      </c>
      <c r="E215" s="91" t="s">
        <v>361</v>
      </c>
    </row>
    <row r="216" spans="1:5">
      <c r="A216" s="21">
        <f t="shared" si="5"/>
        <v>210</v>
      </c>
      <c r="B216" s="115" t="str">
        <f ca="1">IFERROR(__xludf.DUMMYFUNCTION("GOOGLETRANSLATE(B4387:B4402,""RU"",""UK"")"),"Прес-маслянка М10х1 кутова 90*")</f>
        <v>Прес-маслянка М10х1 кутова 90*</v>
      </c>
      <c r="C216" s="59" t="s">
        <v>6</v>
      </c>
      <c r="D216" s="59">
        <v>20</v>
      </c>
      <c r="E216" s="91" t="s">
        <v>1936</v>
      </c>
    </row>
    <row r="217" spans="1:5">
      <c r="A217" s="21">
        <f t="shared" si="5"/>
        <v>211</v>
      </c>
      <c r="B217" s="115" t="str">
        <f ca="1">IFERROR(__xludf.DUMMYFUNCTION("GOOGLETRANSLATE(B4387:B4402,""RU"",""UK"")"),"Прес-маслянка М10х1 кутова 45*")</f>
        <v>Прес-маслянка М10х1 кутова 45*</v>
      </c>
      <c r="C217" s="59" t="s">
        <v>6</v>
      </c>
      <c r="D217" s="59">
        <v>210</v>
      </c>
      <c r="E217" s="91" t="s">
        <v>1936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2"/>
  <sheetViews>
    <sheetView topLeftCell="A435" zoomScale="220" zoomScaleNormal="220" workbookViewId="0">
      <selection activeCell="D447" sqref="D447"/>
    </sheetView>
  </sheetViews>
  <sheetFormatPr defaultRowHeight="12.75"/>
  <cols>
    <col min="2" max="2" width="68.7109375" customWidth="1"/>
    <col min="3" max="3" width="7.85546875" customWidth="1"/>
    <col min="4" max="4" width="10.7109375" customWidth="1"/>
    <col min="5" max="5" width="11.5703125" customWidth="1"/>
  </cols>
  <sheetData>
    <row r="1" spans="1:5">
      <c r="A1" s="68"/>
      <c r="B1" s="110" t="s">
        <v>6039</v>
      </c>
      <c r="C1" s="69"/>
      <c r="D1" s="69"/>
      <c r="E1" s="106"/>
    </row>
    <row r="2" spans="1:5">
      <c r="A2" s="21">
        <v>1</v>
      </c>
      <c r="B2" s="85" t="str">
        <f ca="1">IFERROR(__xludf.DUMMYFUNCTION("GOOGLETRANSLATE(B2534:B2549,""RU"",""UK"")"),"Штангенциркуль із глибиноміром ШЦ-125-0,1 Кл.2 ")</f>
        <v xml:space="preserve">Штангенциркуль із глибиноміром ШЦ-125-0,1 Кл.2 </v>
      </c>
      <c r="C2" s="59" t="s">
        <v>6</v>
      </c>
      <c r="D2" s="59">
        <v>1</v>
      </c>
      <c r="E2" s="91">
        <v>1080</v>
      </c>
    </row>
    <row r="3" spans="1:5">
      <c r="A3" s="21">
        <v>2</v>
      </c>
      <c r="B3" s="85" t="str">
        <f ca="1">IFERROR(__xludf.DUMMYFUNCTION("GOOGLETRANSLATE(B2534:B2549,""RU"",""UK"")"),"Штангенциркуль із глибиноміром ШЦ-125-0,1 Кл.2 СРСР мало вживаний ")</f>
        <v xml:space="preserve">Штангенциркуль із глибиноміром ШЦ-125-0,1 Кл.2 СРСР мало вживаний </v>
      </c>
      <c r="C3" s="59" t="s">
        <v>6</v>
      </c>
      <c r="D3" s="59">
        <v>2</v>
      </c>
      <c r="E3" s="91">
        <v>880</v>
      </c>
    </row>
    <row r="4" spans="1:5">
      <c r="A4" s="21">
        <v>3</v>
      </c>
      <c r="B4" s="85" t="str">
        <f ca="1">IFERROR(__xludf.DUMMYFUNCTION("GOOGLETRANSLATE(B2534:B2549,""RU"",""UK"")"),"Штангенциркуль із глибиноміром ШЦ-125-0,1 Кл.2 СРСР мало вживаний ")</f>
        <v xml:space="preserve">Штангенциркуль із глибиноміром ШЦ-125-0,1 Кл.2 СРСР мало вживаний </v>
      </c>
      <c r="C4" s="59" t="s">
        <v>6</v>
      </c>
      <c r="D4" s="59">
        <v>1</v>
      </c>
      <c r="E4" s="91">
        <v>900</v>
      </c>
    </row>
    <row r="5" spans="1:5">
      <c r="A5" s="21">
        <v>4</v>
      </c>
      <c r="B5" s="85" t="str">
        <f ca="1">IFERROR(__xludf.DUMMYFUNCTION("GOOGLETRANSLATE(B2536:B2551,""RU"",""UK"")"),"Штангенциркуль із глибиноміром ШЦ-150-0,1 Кл. 2 Китай")</f>
        <v>Штангенциркуль із глибиноміром ШЦ-150-0,1 Кл. 2 Китай</v>
      </c>
      <c r="C5" s="59" t="s">
        <v>6</v>
      </c>
      <c r="D5" s="59">
        <v>1</v>
      </c>
      <c r="E5" s="91">
        <v>720</v>
      </c>
    </row>
    <row r="6" spans="1:5">
      <c r="A6" s="21">
        <v>5</v>
      </c>
      <c r="B6" s="85" t="str">
        <f ca="1">IFERROR(__xludf.DUMMYFUNCTION("GOOGLETRANSLATE(B2537:B2552,""RU"",""UK"")"),"Штангенциркуль із глибиноміром ШЦ-150-0,02 Кл. 1 Китай")</f>
        <v>Штангенциркуль із глибиноміром ШЦ-150-0,02 Кл. 1 Китай</v>
      </c>
      <c r="C6" s="59" t="s">
        <v>6</v>
      </c>
      <c r="D6" s="59">
        <v>1</v>
      </c>
      <c r="E6" s="91" t="s">
        <v>33</v>
      </c>
    </row>
    <row r="7" spans="1:5">
      <c r="A7" s="21">
        <v>6</v>
      </c>
      <c r="B7" s="85" t="str">
        <f ca="1">IFERROR(__xludf.DUMMYFUNCTION("GOOGLETRANSLATE(B2538:B2553,""RU"",""UK"")"),"Штангенциркуль без глибиноміру 150мм ЛІЗ СРСР б/у")</f>
        <v>Штангенциркуль без глибиноміру 150мм ЛІЗ СРСР б/у</v>
      </c>
      <c r="C7" s="59" t="s">
        <v>6</v>
      </c>
      <c r="D7" s="59">
        <v>1</v>
      </c>
      <c r="E7" s="91" t="s">
        <v>27</v>
      </c>
    </row>
    <row r="8" spans="1:5">
      <c r="A8" s="21">
        <v>7</v>
      </c>
      <c r="B8" s="85" t="str">
        <f ca="1">IFERROR(__xludf.DUMMYFUNCTION("GOOGLETRANSLATE(B2540:B2555,""RU"",""UK"")"),"Штангенциркуль із глибиноміром 160мм (0.05) Кл. 1 СРСР")</f>
        <v>Штангенциркуль із глибиноміром 160мм (0.05) Кл. 1 СРСР</v>
      </c>
      <c r="C8" s="59" t="s">
        <v>6</v>
      </c>
      <c r="D8" s="59">
        <v>1</v>
      </c>
      <c r="E8" s="91">
        <v>1050</v>
      </c>
    </row>
    <row r="9" spans="1:5">
      <c r="A9" s="21">
        <v>8</v>
      </c>
      <c r="B9" s="85" t="str">
        <f ca="1">IFERROR(__xludf.DUMMYFUNCTION("GOOGLETRANSLATE(B2541:B2556,""RU"",""UK"")"),"Штангенциркуль висотомір без глибиноміру 160мм (0.05) Кл. 1 СРСР")</f>
        <v>Штангенциркуль висотомір без глибиноміру 160мм (0.05) Кл. 1 СРСР</v>
      </c>
      <c r="C9" s="59" t="s">
        <v>6</v>
      </c>
      <c r="D9" s="59">
        <v>104</v>
      </c>
      <c r="E9" s="91">
        <v>960</v>
      </c>
    </row>
    <row r="10" spans="1:5">
      <c r="A10" s="21">
        <v>9</v>
      </c>
      <c r="B10" s="85" t="str">
        <f ca="1">IFERROR(__xludf.DUMMYFUNCTION("GOOGLETRANSLATE(B2540:B2555,""RU"",""UK"")"),"Штангенциркуль ШЦ ІІ-160мм (0.05) подовжений -губки 65мм, вживаний, СРСР")</f>
        <v>Штангенциркуль ШЦ ІІ-160мм (0.05) подовжений -губки 65мм, вживаний, СРСР</v>
      </c>
      <c r="C10" s="59" t="s">
        <v>6</v>
      </c>
      <c r="D10" s="59">
        <v>2</v>
      </c>
      <c r="E10" s="91">
        <v>750</v>
      </c>
    </row>
    <row r="11" spans="1:5">
      <c r="A11" s="21">
        <v>10</v>
      </c>
      <c r="B11" s="85" t="s">
        <v>6361</v>
      </c>
      <c r="C11" s="59" t="s">
        <v>6</v>
      </c>
      <c r="D11" s="59">
        <v>1</v>
      </c>
      <c r="E11" s="91">
        <v>600</v>
      </c>
    </row>
    <row r="12" spans="1:5">
      <c r="A12" s="21">
        <v>10</v>
      </c>
      <c r="B12" s="85" t="str">
        <f ca="1">IFERROR(__xludf.DUMMYFUNCTION("GOOGLETRANSLATE(B2542:B2557,""RU"",""UK"")"),"Розмічальний пристрій на штангенциркуль ШЦ-III-160")</f>
        <v>Розмічальний пристрій на штангенциркуль ШЦ-III-160</v>
      </c>
      <c r="C12" s="59" t="s">
        <v>6</v>
      </c>
      <c r="D12" s="59">
        <v>46</v>
      </c>
      <c r="E12" s="91">
        <v>450</v>
      </c>
    </row>
    <row r="13" spans="1:5">
      <c r="A13" s="21">
        <v>12</v>
      </c>
      <c r="B13" s="169" t="str">
        <f ca="1">IFERROR(__xludf.DUMMYFUNCTION("GOOGLETRANSLATE(B2545:B2560,""RU"",""UK"")"),"Штангенциркуль ШЦ 200мм (0.05) Кл. 1, ЛИЗ, СРСР")</f>
        <v>Штангенциркуль ШЦ 200мм (0.05) Кл. 1, ЛИЗ, СРСР</v>
      </c>
      <c r="C13" s="59" t="s">
        <v>6</v>
      </c>
      <c r="D13" s="59">
        <v>1</v>
      </c>
      <c r="E13" s="91">
        <v>2000</v>
      </c>
    </row>
    <row r="14" spans="1:5">
      <c r="A14" s="21">
        <v>13</v>
      </c>
      <c r="B14" s="169" t="s">
        <v>6241</v>
      </c>
      <c r="C14" s="59" t="s">
        <v>6</v>
      </c>
      <c r="D14" s="59">
        <v>1</v>
      </c>
      <c r="E14" s="91">
        <v>1875</v>
      </c>
    </row>
    <row r="15" spans="1:5">
      <c r="A15" s="21">
        <v>14</v>
      </c>
      <c r="B15" s="169" t="str">
        <f ca="1">IFERROR(__xludf.DUMMYFUNCTION("GOOGLETRANSLATE(B2545:B2560,""RU"",""UK"")"),"Штангенциркуль ШЦ 200мм (0.05) Кл. 1, ЛИЗ, мало вживаний, СРСР")</f>
        <v>Штангенциркуль ШЦ 200мм (0.05) Кл. 1, ЛИЗ, мало вживаний, СРСР</v>
      </c>
      <c r="C15" s="59" t="s">
        <v>6</v>
      </c>
      <c r="D15" s="59">
        <v>1</v>
      </c>
      <c r="E15" s="91">
        <v>1700</v>
      </c>
    </row>
    <row r="16" spans="1:5">
      <c r="A16" s="21">
        <v>15</v>
      </c>
      <c r="B16" s="85" t="str">
        <f ca="1">IFERROR(__xludf.DUMMYFUNCTION("GOOGLETRANSLATE(B2543:B2558,""RU"",""UK"")"),"Штангенциркуль 200мм СРСР вжив.")</f>
        <v>Штангенциркуль 200мм СРСР вжив.</v>
      </c>
      <c r="C16" s="59" t="s">
        <v>6</v>
      </c>
      <c r="D16" s="59">
        <v>1</v>
      </c>
      <c r="E16" s="91" t="s">
        <v>29</v>
      </c>
    </row>
    <row r="17" spans="1:5">
      <c r="A17" s="21">
        <v>15</v>
      </c>
      <c r="B17" s="85" t="s">
        <v>6362</v>
      </c>
      <c r="C17" s="59" t="s">
        <v>6</v>
      </c>
      <c r="D17" s="59">
        <v>1</v>
      </c>
      <c r="E17" s="91">
        <v>800</v>
      </c>
    </row>
    <row r="18" spans="1:5">
      <c r="A18" s="21">
        <v>15</v>
      </c>
      <c r="B18" s="168" t="str">
        <f ca="1">IFERROR(__xludf.DUMMYFUNCTION("GOOGLETRANSLATE(B2544:B2559,""RU"",""UK"")"),"Штангенциркуль 250мм (0.1) Кл. 2 СРСР")</f>
        <v>Штангенциркуль 250мм (0.1) Кл. 2 СРСР</v>
      </c>
      <c r="C18" s="37" t="s">
        <v>6</v>
      </c>
      <c r="D18" s="37">
        <v>2</v>
      </c>
      <c r="E18" s="92">
        <v>2580</v>
      </c>
    </row>
    <row r="19" spans="1:5">
      <c r="A19" s="21">
        <f t="shared" ref="A19:A83" si="0">A18+1</f>
        <v>16</v>
      </c>
      <c r="B19" s="85" t="str">
        <f ca="1">IFERROR(__xludf.DUMMYFUNCTION("GOOGLETRANSLATE(B2546:B2561,""RU"",""UK"")"),"Штангенциркуль 250мм (0,1) Кл. 2 СРСР мало вжив. ")</f>
        <v xml:space="preserve">Штангенциркуль 250мм (0,1) Кл. 2 СРСР мало вжив. </v>
      </c>
      <c r="C19" s="59" t="s">
        <v>6</v>
      </c>
      <c r="D19" s="59">
        <v>4</v>
      </c>
      <c r="E19" s="91">
        <v>1620</v>
      </c>
    </row>
    <row r="20" spans="1:5">
      <c r="A20" s="21">
        <f t="shared" si="0"/>
        <v>17</v>
      </c>
      <c r="B20" s="85" t="str">
        <f ca="1">IFERROR(__xludf.DUMMYFUNCTION("GOOGLETRANSLATE(B2547:B2562,""RU"",""UK"")"),"Штангенциркуль 250мм (0.1) Кл. 2 односторонній СРСР")</f>
        <v>Штангенциркуль 250мм (0.1) Кл. 2 односторонній СРСР</v>
      </c>
      <c r="C20" s="59" t="s">
        <v>6</v>
      </c>
      <c r="D20" s="59">
        <v>2</v>
      </c>
      <c r="E20" s="91" t="s">
        <v>111</v>
      </c>
    </row>
    <row r="21" spans="1:5">
      <c r="A21" s="21">
        <f t="shared" si="0"/>
        <v>18</v>
      </c>
      <c r="B21" s="169" t="str">
        <f ca="1">IFERROR(__xludf.DUMMYFUNCTION("GOOGLETRANSLATE(B2545:B2560,""RU"",""UK"")"),"Штангенциркуль 250мм (0.05) Кл. 1 СРСР")</f>
        <v>Штангенциркуль 250мм (0.05) Кл. 1 СРСР</v>
      </c>
      <c r="C21" s="59" t="s">
        <v>6</v>
      </c>
      <c r="D21" s="59">
        <v>4</v>
      </c>
      <c r="E21" s="91">
        <v>2820</v>
      </c>
    </row>
    <row r="22" spans="1:5">
      <c r="A22" s="21">
        <f t="shared" si="0"/>
        <v>19</v>
      </c>
      <c r="B22" s="85" t="str">
        <f ca="1">IFERROR(__xludf.DUMMYFUNCTION("GOOGLETRANSLATE(B2546:B2561,""RU"",""UK"")"),"Штангенциркуль 250мм (0,05) Кл. 1 СРСР мало вжив. ")</f>
        <v xml:space="preserve">Штангенциркуль 250мм (0,05) Кл. 1 СРСР мало вжив. </v>
      </c>
      <c r="C22" s="59" t="s">
        <v>6</v>
      </c>
      <c r="D22" s="59">
        <v>9</v>
      </c>
      <c r="E22" s="91">
        <v>1690</v>
      </c>
    </row>
    <row r="23" spans="1:5">
      <c r="A23" s="21">
        <f t="shared" si="0"/>
        <v>20</v>
      </c>
      <c r="B23" s="85" t="str">
        <f ca="1">IFERROR(__xludf.DUMMYFUNCTION("GOOGLETRANSLATE(B2546:B2561,""RU"",""UK"")"),"Штангенциркуль 250мм (0,05) Кл. 1 СРСР вживаний ")</f>
        <v xml:space="preserve">Штангенциркуль 250мм (0,05) Кл. 1 СРСР вживаний </v>
      </c>
      <c r="C23" s="59" t="s">
        <v>6</v>
      </c>
      <c r="D23" s="59">
        <v>1</v>
      </c>
      <c r="E23" s="91">
        <v>1290</v>
      </c>
    </row>
    <row r="24" spans="1:5">
      <c r="A24" s="21">
        <f t="shared" si="0"/>
        <v>21</v>
      </c>
      <c r="B24" s="85" t="str">
        <f ca="1">IFERROR(__xludf.DUMMYFUNCTION("GOOGLETRANSLATE(B2546:B2561,""RU"",""UK"")"),"Штангенциркуль 250мм (0,05) Кл. 1 мало новий. Туламаш ")</f>
        <v xml:space="preserve">Штангенциркуль 250мм (0,05) Кл. 1 мало новий. Туламаш </v>
      </c>
      <c r="C24" s="59" t="s">
        <v>6</v>
      </c>
      <c r="D24" s="59">
        <v>1</v>
      </c>
      <c r="E24" s="91">
        <v>1900</v>
      </c>
    </row>
    <row r="25" spans="1:5">
      <c r="A25" s="21">
        <f t="shared" si="0"/>
        <v>22</v>
      </c>
      <c r="B25" s="85" t="str">
        <f ca="1">IFERROR(__xludf.DUMMYFUNCTION("GOOGLETRANSLATE(B2546:B2561,""RU"",""UK"")"),"Штангенциркуль 250мм (0,05) Кл. 1 мало вжив. Китай ")</f>
        <v xml:space="preserve">Штангенциркуль 250мм (0,05) Кл. 1 мало вжив. Китай </v>
      </c>
      <c r="C25" s="59" t="s">
        <v>6</v>
      </c>
      <c r="D25" s="59">
        <v>1</v>
      </c>
      <c r="E25" s="91">
        <v>1600</v>
      </c>
    </row>
    <row r="26" spans="1:5">
      <c r="A26" s="21">
        <f t="shared" si="0"/>
        <v>23</v>
      </c>
      <c r="B26" s="85" t="s">
        <v>6272</v>
      </c>
      <c r="C26" s="59" t="s">
        <v>6</v>
      </c>
      <c r="D26" s="59">
        <v>1</v>
      </c>
      <c r="E26" s="91">
        <v>1900</v>
      </c>
    </row>
    <row r="27" spans="1:5">
      <c r="A27" s="21">
        <f t="shared" si="0"/>
        <v>24</v>
      </c>
      <c r="B27" s="169" t="s">
        <v>6363</v>
      </c>
      <c r="C27" s="37" t="s">
        <v>6</v>
      </c>
      <c r="D27" s="37">
        <v>1</v>
      </c>
      <c r="E27" s="92">
        <v>1700</v>
      </c>
    </row>
    <row r="28" spans="1:5">
      <c r="A28" s="21">
        <f t="shared" si="0"/>
        <v>25</v>
      </c>
      <c r="B28" s="85" t="str">
        <f ca="1">IFERROR(__xludf.DUMMYFUNCTION("GOOGLETRANSLATE(B2550:B2565,""RU"",""UK"")"),"Штангенциркуль ШЦ ІІ-300мм (0.02) Мікротех")</f>
        <v>Штангенциркуль ШЦ ІІ-300мм (0.02) Мікротех</v>
      </c>
      <c r="C28" s="37" t="s">
        <v>6</v>
      </c>
      <c r="D28" s="37">
        <v>1</v>
      </c>
      <c r="E28" s="92">
        <v>2700</v>
      </c>
    </row>
    <row r="29" spans="1:5">
      <c r="A29" s="21">
        <f t="shared" si="0"/>
        <v>26</v>
      </c>
      <c r="B29" s="164" t="str">
        <f ca="1">IFERROR(__xludf.DUMMYFUNCTION("GOOGLETRANSLATE(B2551:B2566,""RU"",""UK"")"),"Штангенциркуль 300мм (0.05) Кл. 1 СРСР")</f>
        <v>Штангенциркуль 300мм (0.05) Кл. 1 СРСР</v>
      </c>
      <c r="C29" s="59" t="s">
        <v>6</v>
      </c>
      <c r="D29" s="59">
        <v>0</v>
      </c>
      <c r="E29" s="91">
        <v>3600</v>
      </c>
    </row>
    <row r="30" spans="1:5">
      <c r="A30" s="21">
        <f t="shared" si="0"/>
        <v>27</v>
      </c>
      <c r="B30" s="85" t="s">
        <v>6359</v>
      </c>
      <c r="C30" s="59" t="s">
        <v>6</v>
      </c>
      <c r="D30" s="59">
        <v>1</v>
      </c>
      <c r="E30" s="91">
        <v>1550</v>
      </c>
    </row>
    <row r="31" spans="1:5">
      <c r="A31" s="21">
        <f t="shared" si="0"/>
        <v>28</v>
      </c>
      <c r="B31" s="169" t="str">
        <f ca="1">IFERROR(__xludf.DUMMYFUNCTION("GOOGLETRANSLATE(B2552:B2567,""RU"",""UK"")"),"Штангенциркуль 400мм (0.1)")</f>
        <v>Штангенциркуль 400мм (0.1)</v>
      </c>
      <c r="C31" s="59" t="s">
        <v>6</v>
      </c>
      <c r="D31" s="59">
        <v>3</v>
      </c>
      <c r="E31" s="91">
        <v>3550</v>
      </c>
    </row>
    <row r="32" spans="1:5">
      <c r="A32" s="21">
        <f t="shared" si="0"/>
        <v>29</v>
      </c>
      <c r="B32" s="169" t="str">
        <f ca="1">IFERROR(__xludf.DUMMYFUNCTION("GOOGLETRANSLATE(B2552:B2567,""RU"",""UK"")"),"Штангенциркуль 400мм (0.1) мало вжив. №1")</f>
        <v>Штангенциркуль 400мм (0.1) мало вжив. №1</v>
      </c>
      <c r="C32" s="59" t="s">
        <v>6</v>
      </c>
      <c r="D32" s="59">
        <v>1</v>
      </c>
      <c r="E32" s="91">
        <v>3300</v>
      </c>
    </row>
    <row r="33" spans="1:5">
      <c r="A33" s="21">
        <f t="shared" si="0"/>
        <v>30</v>
      </c>
      <c r="B33" s="169" t="str">
        <f ca="1">IFERROR(__xludf.DUMMYFUNCTION("GOOGLETRANSLATE(B2552:B2567,""RU"",""UK"")"),"Штангенциркуль 400мм (0.1) мало вжив.")</f>
        <v>Штангенциркуль 400мм (0.1) мало вжив.</v>
      </c>
      <c r="C33" s="59" t="s">
        <v>6</v>
      </c>
      <c r="D33" s="59">
        <v>4</v>
      </c>
      <c r="E33" s="91" t="s">
        <v>6356</v>
      </c>
    </row>
    <row r="34" spans="1:5">
      <c r="A34" s="21">
        <f t="shared" si="0"/>
        <v>31</v>
      </c>
      <c r="B34" s="169" t="str">
        <f ca="1">IFERROR(__xludf.DUMMYFUNCTION("GOOGLETRANSLATE(B2552:B2567,""RU"",""UK"")"),"Штангенциркуль 400мм (0.1) шкала в мм і дюймах, ПНР, VIS, мало вжив.")</f>
        <v>Штангенциркуль 400мм (0.1) шкала в мм і дюймах, ПНР, VIS, мало вжив.</v>
      </c>
      <c r="C34" s="59" t="s">
        <v>6</v>
      </c>
      <c r="D34" s="59">
        <v>2</v>
      </c>
      <c r="E34" s="91">
        <v>2400</v>
      </c>
    </row>
    <row r="35" spans="1:5">
      <c r="A35" s="21">
        <f t="shared" si="0"/>
        <v>32</v>
      </c>
      <c r="B35" s="85" t="str">
        <f ca="1">IFERROR(__xludf.DUMMYFUNCTION("GOOGLETRANSLATE(B2554:B2569,""RU"",""UK"")"),"Штангенциркуль 500мм (0.1)")</f>
        <v>Штангенциркуль 500мм (0.1)</v>
      </c>
      <c r="C35" s="59" t="s">
        <v>6</v>
      </c>
      <c r="D35" s="59">
        <v>9</v>
      </c>
      <c r="E35" s="91">
        <v>3900</v>
      </c>
    </row>
    <row r="36" spans="1:5">
      <c r="A36" s="21">
        <f t="shared" si="0"/>
        <v>33</v>
      </c>
      <c r="B36" s="85" t="str">
        <f ca="1">IFERROR(__xludf.DUMMYFUNCTION("GOOGLETRANSLATE(B2554:B2569,""RU"",""UK"")"),"Штангенциркуль 500мм (0.1) мало вживаний")</f>
        <v>Штангенциркуль 500мм (0.1) мало вживаний</v>
      </c>
      <c r="C36" s="59" t="s">
        <v>6</v>
      </c>
      <c r="D36" s="59">
        <v>3</v>
      </c>
      <c r="E36" s="91">
        <v>2500</v>
      </c>
    </row>
    <row r="37" spans="1:5">
      <c r="A37" s="21">
        <f t="shared" si="0"/>
        <v>34</v>
      </c>
      <c r="B37" s="85" t="str">
        <f ca="1">IFERROR(__xludf.DUMMYFUNCTION("GOOGLETRANSLATE(B2554:B2569,""RU"",""UK"")"),"Штангенциркуль 500мм (0.1) вживаний")</f>
        <v>Штангенциркуль 500мм (0.1) вживаний</v>
      </c>
      <c r="C37" s="59" t="s">
        <v>6</v>
      </c>
      <c r="D37" s="59">
        <v>5</v>
      </c>
      <c r="E37" s="91">
        <v>2200</v>
      </c>
    </row>
    <row r="38" spans="1:5">
      <c r="A38" s="21">
        <f t="shared" si="0"/>
        <v>35</v>
      </c>
      <c r="B38" s="85" t="str">
        <f ca="1">IFERROR(__xludf.DUMMYFUNCTION("GOOGLETRANSLATE(B2555:B2570,""RU"",""UK"")"),"Штангенциркуль 0-500мм (0.1) з розмічальним пристроєм")</f>
        <v>Штангенциркуль 0-500мм (0.1) з розмічальним пристроєм</v>
      </c>
      <c r="C38" s="59" t="s">
        <v>6</v>
      </c>
      <c r="D38" s="59">
        <v>1</v>
      </c>
      <c r="E38" s="91">
        <v>4700</v>
      </c>
    </row>
    <row r="39" spans="1:5">
      <c r="A39" s="21">
        <f t="shared" si="0"/>
        <v>36</v>
      </c>
      <c r="B39" s="164" t="str">
        <f ca="1">IFERROR(__xludf.DUMMYFUNCTION("GOOGLETRANSLATE(B2555:B2570,""RU"",""UK"")"),"Штангенциркуль 0-500мм (0.1) з розмічальним пристроєм, мало вживаний")</f>
        <v>Штангенциркуль 0-500мм (0.1) з розмічальним пристроєм, мало вживаний</v>
      </c>
      <c r="C39" s="59" t="s">
        <v>6</v>
      </c>
      <c r="D39" s="59">
        <v>0</v>
      </c>
      <c r="E39" s="91">
        <v>3500</v>
      </c>
    </row>
    <row r="40" spans="1:5">
      <c r="A40" s="21">
        <f t="shared" si="0"/>
        <v>37</v>
      </c>
      <c r="B40" s="85" t="str">
        <f ca="1">IFERROR(__xludf.DUMMYFUNCTION("GOOGLETRANSLATE(B2556:B2571,""RU"",""UK"")"),"Штангенциркуль 500мм (0.05)")</f>
        <v>Штангенциркуль 500мм (0.05)</v>
      </c>
      <c r="C40" s="59" t="s">
        <v>6</v>
      </c>
      <c r="D40" s="59">
        <v>1</v>
      </c>
      <c r="E40" s="91" t="s">
        <v>12</v>
      </c>
    </row>
    <row r="41" spans="1:5">
      <c r="A41" s="21">
        <f t="shared" si="0"/>
        <v>38</v>
      </c>
      <c r="B41" s="85" t="str">
        <f ca="1">IFERROR(__xludf.DUMMYFUNCTION("GOOGLETRANSLATE(B2558:B2573,""RU"",""UK"")"),"Штангенциркуль 250 - 630мм (0,1)")</f>
        <v>Штангенциркуль 250 - 630мм (0,1)</v>
      </c>
      <c r="C41" s="59" t="s">
        <v>6</v>
      </c>
      <c r="D41" s="59">
        <v>11</v>
      </c>
      <c r="E41" s="91">
        <v>3900</v>
      </c>
    </row>
    <row r="42" spans="1:5">
      <c r="A42" s="21">
        <f t="shared" si="0"/>
        <v>39</v>
      </c>
      <c r="B42" s="85" t="str">
        <f ca="1">IFERROR(__xludf.DUMMYFUNCTION("GOOGLETRANSLATE(B2559:B2574,""RU"",""UK"")"),"Штангенциркуль 250 – 700мм (0.1)")</f>
        <v>Штангенциркуль 250 – 700мм (0.1)</v>
      </c>
      <c r="C42" s="59" t="s">
        <v>6</v>
      </c>
      <c r="D42" s="59">
        <v>2</v>
      </c>
      <c r="E42" s="91" t="s">
        <v>14</v>
      </c>
    </row>
    <row r="43" spans="1:5">
      <c r="A43" s="21">
        <f t="shared" si="0"/>
        <v>40</v>
      </c>
      <c r="B43" s="85" t="str">
        <f ca="1">IFERROR(__xludf.DUMMYFUNCTION("GOOGLETRANSLATE(B2561:B2576,""RU"",""UK"")"),"Штангенциркуль 250-800мм (0.1)")</f>
        <v>Штангенциркуль 250-800мм (0.1)</v>
      </c>
      <c r="C43" s="59" t="s">
        <v>6</v>
      </c>
      <c r="D43" s="59">
        <v>14</v>
      </c>
      <c r="E43" s="91" t="s">
        <v>50</v>
      </c>
    </row>
    <row r="44" spans="1:5">
      <c r="A44" s="21">
        <f t="shared" si="0"/>
        <v>41</v>
      </c>
      <c r="B44" s="169" t="str">
        <f ca="1">IFERROR(__xludf.DUMMYFUNCTION("GOOGLETRANSLATE(B2563:B2578,""RU"",""UK"")"),"Штангенциркуль 250-800мм(0.1) без коробки")</f>
        <v>Штангенциркуль 250-800мм(0.1) без коробки</v>
      </c>
      <c r="C44" s="59" t="s">
        <v>6</v>
      </c>
      <c r="D44" s="59">
        <v>1</v>
      </c>
      <c r="E44" s="91">
        <v>3300</v>
      </c>
    </row>
    <row r="45" spans="1:5">
      <c r="A45" s="21">
        <f t="shared" si="0"/>
        <v>42</v>
      </c>
      <c r="B45" s="198" t="str">
        <f ca="1">IFERROR(__xludf.DUMMYFUNCTION("GOOGLETRANSLATE(B2563:B2578,""RU"",""UK"")"),"Штангенциркуль 250-800мм(0.1) без коробки, мало вживаний")</f>
        <v>Штангенциркуль 250-800мм(0.1) без коробки, мало вживаний</v>
      </c>
      <c r="C45" s="59" t="s">
        <v>6</v>
      </c>
      <c r="D45" s="59">
        <v>2</v>
      </c>
      <c r="E45" s="91">
        <v>3000</v>
      </c>
    </row>
    <row r="46" spans="1:5">
      <c r="A46" s="21">
        <f t="shared" si="0"/>
        <v>43</v>
      </c>
      <c r="B46" s="198" t="str">
        <f ca="1">IFERROR(__xludf.DUMMYFUNCTION("GOOGLETRANSLATE(B2563:B2578,""RU"",""UK"")"),"Штангенциркуль ШЦ-ІІІ 250-800мм(0.1) в коробкі, мало вживаний")</f>
        <v>Штангенциркуль ШЦ-ІІІ 250-800мм(0.1) в коробкі, мало вживаний</v>
      </c>
      <c r="C46" s="59" t="s">
        <v>6</v>
      </c>
      <c r="D46" s="59">
        <v>1</v>
      </c>
      <c r="E46" s="91">
        <v>3600</v>
      </c>
    </row>
    <row r="47" spans="1:5">
      <c r="A47" s="21">
        <f t="shared" si="0"/>
        <v>44</v>
      </c>
      <c r="B47" s="198" t="str">
        <f ca="1">IFERROR(__xludf.DUMMYFUNCTION("GOOGLETRANSLATE(B2563:B2578,""RU"",""UK"")"),"Штангенциркуль ШЦ-ІІІ 250-800мм(0.1)  вживаний")</f>
        <v>Штангенциркуль ШЦ-ІІІ 250-800мм(0.1)  вживаний</v>
      </c>
      <c r="C47" s="59" t="s">
        <v>6</v>
      </c>
      <c r="D47" s="59">
        <v>2</v>
      </c>
      <c r="E47" s="91">
        <v>2750</v>
      </c>
    </row>
    <row r="48" spans="1:5">
      <c r="A48" s="21">
        <f t="shared" si="0"/>
        <v>45</v>
      </c>
      <c r="B48" s="169" t="str">
        <f ca="1">IFERROR(__xludf.DUMMYFUNCTION("GOOGLETRANSLATE(B2564:B2579,""RU"",""UK"")"),"Штангенциркуль 320-1000мм (0.1) мало вжив. №1 з коробкою")</f>
        <v>Штангенциркуль 320-1000мм (0.1) мало вжив. №1 з коробкою</v>
      </c>
      <c r="C48" s="59" t="s">
        <v>6</v>
      </c>
      <c r="D48" s="59">
        <v>1</v>
      </c>
      <c r="E48" s="91">
        <v>5100</v>
      </c>
    </row>
    <row r="49" spans="1:5">
      <c r="A49" s="21">
        <f t="shared" si="0"/>
        <v>46</v>
      </c>
      <c r="B49" s="168" t="str">
        <f ca="1">IFERROR(__xludf.DUMMYFUNCTION("GOOGLETRANSLATE(B2564:B2579,""RU"",""UK"")"),"Штангенциркуль 320-1000мм (0.1) мало вжив. Без коробки")</f>
        <v>Штангенциркуль 320-1000мм (0.1) мало вжив. Без коробки</v>
      </c>
      <c r="C49" s="59" t="s">
        <v>6</v>
      </c>
      <c r="D49" s="59">
        <v>1</v>
      </c>
      <c r="E49" s="91">
        <v>4800</v>
      </c>
    </row>
    <row r="50" spans="1:5">
      <c r="A50" s="21">
        <f t="shared" si="0"/>
        <v>47</v>
      </c>
      <c r="B50" s="169" t="str">
        <f ca="1">IFERROR(__xludf.DUMMYFUNCTION("GOOGLETRANSLATE(B2566:B2581,""RU"",""UK"")"),"Штангенциркуль 320-1000мм (0,1) вживаний")</f>
        <v>Штангенциркуль 320-1000мм (0,1) вживаний</v>
      </c>
      <c r="C50" s="59" t="s">
        <v>6</v>
      </c>
      <c r="D50" s="59">
        <v>1</v>
      </c>
      <c r="E50" s="91">
        <v>4500</v>
      </c>
    </row>
    <row r="51" spans="1:5">
      <c r="A51" s="21">
        <f t="shared" si="0"/>
        <v>48</v>
      </c>
      <c r="B51" s="169" t="str">
        <f ca="1">IFERROR(__xludf.DUMMYFUNCTION("GOOGLETRANSLATE(B2566:B2581,""RU"",""UK"")"),"Штангенциркуль 320-1000мм (0,1) вживаний без коробки")</f>
        <v>Штангенциркуль 320-1000мм (0,1) вживаний без коробки</v>
      </c>
      <c r="C51" s="59" t="s">
        <v>6</v>
      </c>
      <c r="D51" s="59">
        <v>2</v>
      </c>
      <c r="E51" s="91">
        <v>3600</v>
      </c>
    </row>
    <row r="52" spans="1:5">
      <c r="A52" s="21">
        <f t="shared" si="0"/>
        <v>49</v>
      </c>
      <c r="B52" s="169" t="str">
        <f ca="1">IFERROR(__xludf.DUMMYFUNCTION("GOOGLETRANSLATE(B2566:B2581,""RU"",""UK"")"),"Штангенциркуль 320-1000мм (0,1) вживаний без коробки, следы коррозии")</f>
        <v>Штангенциркуль 320-1000мм (0,1) вживаний без коробки, следы коррозии</v>
      </c>
      <c r="C52" s="59" t="s">
        <v>6</v>
      </c>
      <c r="D52" s="59">
        <v>1</v>
      </c>
      <c r="E52" s="91">
        <v>1750</v>
      </c>
    </row>
    <row r="53" spans="1:5">
      <c r="A53" s="21">
        <f t="shared" si="0"/>
        <v>50</v>
      </c>
      <c r="B53" s="85" t="str">
        <f ca="1">IFERROR(__xludf.DUMMYFUNCTION("GOOGLETRANSLATE(B2566:B2581,""RU"",""UK"")"),"Штангенциркуль 600-1500мм (0,1) вжив.")</f>
        <v>Штангенциркуль 600-1500мм (0,1) вжив.</v>
      </c>
      <c r="C53" s="59" t="s">
        <v>6</v>
      </c>
      <c r="D53" s="59">
        <v>1</v>
      </c>
      <c r="E53" s="91">
        <v>5700</v>
      </c>
    </row>
    <row r="54" spans="1:5">
      <c r="A54" s="21">
        <f t="shared" si="0"/>
        <v>51</v>
      </c>
      <c r="B54" s="221" t="str">
        <f ca="1">IFERROR(__xludf.DUMMYFUNCTION("GOOGLETRANSLATE(B2567:B2582,""RU"",""UK"")"),"Штангенциркуль 500-1600мм (0,1) вживавий ")</f>
        <v xml:space="preserve">Штангенциркуль 500-1600мм (0,1) вживавий </v>
      </c>
      <c r="C54" s="59" t="s">
        <v>6</v>
      </c>
      <c r="D54" s="59">
        <v>1</v>
      </c>
      <c r="E54" s="91">
        <v>6000</v>
      </c>
    </row>
    <row r="55" spans="1:5">
      <c r="A55" s="21">
        <f t="shared" si="0"/>
        <v>52</v>
      </c>
      <c r="B55" s="85" t="str">
        <f ca="1">IFERROR(__xludf.DUMMYFUNCTION("GOOGLETRANSLATE(B2568:B2583,""RU"",""UK"")"),"Штангенциркуль 600-2000мм (0,1) новий, без коробки")</f>
        <v>Штангенциркуль 600-2000мм (0,1) новий, без коробки</v>
      </c>
      <c r="C55" s="59" t="s">
        <v>6</v>
      </c>
      <c r="D55" s="59">
        <v>1</v>
      </c>
      <c r="E55" s="91" t="s">
        <v>3474</v>
      </c>
    </row>
    <row r="56" spans="1:5">
      <c r="A56" s="21">
        <f t="shared" si="0"/>
        <v>53</v>
      </c>
      <c r="B56" s="164" t="str">
        <f ca="1">IFERROR(__xludf.DUMMYFUNCTION("GOOGLETRANSLATE(B2568:B2583,""RU"",""UK"")"),"Штангенциркуль 800-2000мм (0,1) новий")</f>
        <v>Штангенциркуль 800-2000мм (0,1) новий</v>
      </c>
      <c r="C56" s="59" t="s">
        <v>6</v>
      </c>
      <c r="D56" s="59">
        <v>0</v>
      </c>
      <c r="E56" s="91">
        <v>15000</v>
      </c>
    </row>
    <row r="57" spans="1:5">
      <c r="A57" s="21">
        <f t="shared" si="0"/>
        <v>54</v>
      </c>
      <c r="B57" s="85" t="str">
        <f ca="1">IFERROR(__xludf.DUMMYFUNCTION("GOOGLETRANSLATE(B2569:B2584,""RU"",""UK"")"),"Штангенрейсмус ШР 0 – 250мм (0,05)")</f>
        <v>Штангенрейсмус ШР 0 – 250мм (0,05)</v>
      </c>
      <c r="C57" s="59" t="s">
        <v>6</v>
      </c>
      <c r="D57" s="59">
        <v>8</v>
      </c>
      <c r="E57" s="91">
        <v>2500</v>
      </c>
    </row>
    <row r="58" spans="1:5">
      <c r="A58" s="21">
        <f t="shared" si="0"/>
        <v>55</v>
      </c>
      <c r="B58" s="85" t="str">
        <f ca="1">IFERROR(__xludf.DUMMYFUNCTION("GOOGLETRANSLATE(B2570:B2585,""RU"",""UK"")"),"Штангенрейсмус ШР 0 - 250мм без коробки")</f>
        <v>Штангенрейсмус ШР 0 - 250мм без коробки</v>
      </c>
      <c r="C58" s="59" t="s">
        <v>6</v>
      </c>
      <c r="D58" s="59">
        <v>2</v>
      </c>
      <c r="E58" s="91">
        <v>1800</v>
      </c>
    </row>
    <row r="59" spans="1:5">
      <c r="A59" s="21">
        <f t="shared" si="0"/>
        <v>56</v>
      </c>
      <c r="B59" s="85" t="str">
        <f ca="1">IFERROR(__xludf.DUMMYFUNCTION("GOOGLETRANSLATE(B2570:B2585,""RU"",""UK"")"),"Штангенрейсмус ШР 0 - 250мм вживаний")</f>
        <v>Штангенрейсмус ШР 0 - 250мм вживаний</v>
      </c>
      <c r="C59" s="59" t="s">
        <v>6</v>
      </c>
      <c r="D59" s="59">
        <v>1</v>
      </c>
      <c r="E59" s="91" t="s">
        <v>3424</v>
      </c>
    </row>
    <row r="60" spans="1:5">
      <c r="A60" s="21">
        <f t="shared" si="0"/>
        <v>57</v>
      </c>
      <c r="B60" s="169" t="str">
        <f ca="1">IFERROR(__xludf.DUMMYFUNCTION("GOOGLETRANSLATE(B2569:B2584,""RU"",""UK"")"),"Штангенрейсмус стрелочний ШР 0 –250мм (0,05) мод. БВ-6226")</f>
        <v>Штангенрейсмус стрелочний ШР 0 –250мм (0,05) мод. БВ-6226</v>
      </c>
      <c r="C60" s="59" t="s">
        <v>6</v>
      </c>
      <c r="D60" s="59">
        <v>1</v>
      </c>
      <c r="E60" s="91">
        <v>3600</v>
      </c>
    </row>
    <row r="61" spans="1:5">
      <c r="A61" s="21">
        <f t="shared" si="0"/>
        <v>58</v>
      </c>
      <c r="B61" s="169" t="str">
        <f ca="1">IFERROR(__xludf.DUMMYFUNCTION("GOOGLETRANSLATE(B2569:B2584,""RU"",""UK"")"),"Штангенрейсмус стрелочний ШР 0 –250мм (0,05) мод. БВ-6226, без коробки")</f>
        <v>Штангенрейсмус стрелочний ШР 0 –250мм (0,05) мод. БВ-6226, без коробки</v>
      </c>
      <c r="C61" s="59" t="s">
        <v>6</v>
      </c>
      <c r="D61" s="59">
        <v>1</v>
      </c>
      <c r="E61" s="91">
        <v>3400</v>
      </c>
    </row>
    <row r="62" spans="1:5">
      <c r="A62" s="21">
        <f t="shared" si="0"/>
        <v>59</v>
      </c>
      <c r="B62" s="169" t="s">
        <v>6213</v>
      </c>
      <c r="C62" s="59" t="s">
        <v>1031</v>
      </c>
      <c r="D62" s="59">
        <v>1</v>
      </c>
      <c r="E62" s="91">
        <v>3000</v>
      </c>
    </row>
    <row r="63" spans="1:5">
      <c r="A63" s="21">
        <f t="shared" si="0"/>
        <v>60</v>
      </c>
      <c r="B63" s="85" t="str">
        <f ca="1">IFERROR(__xludf.DUMMYFUNCTION("GOOGLETRANSLATE(B2572:B2587,""RU"",""UK"")"),"Штангенрейсмус ШР 30-300мм")</f>
        <v>Штангенрейсмус ШР 30-300мм</v>
      </c>
      <c r="C63" s="59" t="s">
        <v>6</v>
      </c>
      <c r="D63" s="59">
        <v>1</v>
      </c>
      <c r="E63" s="91" t="s">
        <v>73</v>
      </c>
    </row>
    <row r="64" spans="1:5">
      <c r="A64" s="21">
        <f t="shared" si="0"/>
        <v>61</v>
      </c>
      <c r="B64" s="85" t="str">
        <f ca="1">IFERROR(__xludf.DUMMYFUNCTION("GOOGLETRANSLATE(B2573:B2588,""RU"",""UK"")"),"Штангенрейсмус ШР 40-400мм")</f>
        <v>Штангенрейсмус ШР 40-400мм</v>
      </c>
      <c r="C64" s="59" t="s">
        <v>6</v>
      </c>
      <c r="D64" s="59">
        <v>4</v>
      </c>
      <c r="E64" s="91" t="s">
        <v>3481</v>
      </c>
    </row>
    <row r="65" spans="1:5">
      <c r="A65" s="21">
        <f t="shared" si="0"/>
        <v>62</v>
      </c>
      <c r="B65" s="85" t="str">
        <f ca="1">IFERROR(__xludf.DUMMYFUNCTION("GOOGLETRANSLATE(B2574:B2589,""RU"",""UK"")"),"Штангенрейсмус ШР 450мм (0,02) ПНР")</f>
        <v>Штангенрейсмус ШР 450мм (0,02) ПНР</v>
      </c>
      <c r="C65" s="59" t="s">
        <v>6</v>
      </c>
      <c r="D65" s="59">
        <v>1</v>
      </c>
      <c r="E65" s="91" t="s">
        <v>914</v>
      </c>
    </row>
    <row r="66" spans="1:5">
      <c r="A66" s="21">
        <f t="shared" si="0"/>
        <v>63</v>
      </c>
      <c r="B66" s="169" t="str">
        <f ca="1">IFERROR(__xludf.DUMMYFUNCTION("GOOGLETRANSLATE(B2575:B2590,""RU"",""UK"")"),"Штангенрейсмус ШР 40-630мм")</f>
        <v>Штангенрейсмус ШР 40-630мм</v>
      </c>
      <c r="C66" s="59" t="s">
        <v>6</v>
      </c>
      <c r="D66" s="59">
        <v>2</v>
      </c>
      <c r="E66" s="91" t="s">
        <v>910</v>
      </c>
    </row>
    <row r="67" spans="1:5">
      <c r="A67" s="21">
        <f t="shared" si="0"/>
        <v>64</v>
      </c>
      <c r="B67" s="85" t="str">
        <f ca="1">IFERROR(__xludf.DUMMYFUNCTION("GOOGLETRANSLATE(B2576:B2591,""RU"",""UK"")"),"Штангенрейсмус ШР 60-810мм (0,1)")</f>
        <v>Штангенрейсмус ШР 60-810мм (0,1)</v>
      </c>
      <c r="C67" s="59" t="s">
        <v>6</v>
      </c>
      <c r="D67" s="59">
        <v>1</v>
      </c>
      <c r="E67" s="91" t="s">
        <v>1917</v>
      </c>
    </row>
    <row r="68" spans="1:5">
      <c r="A68" s="21">
        <f t="shared" si="0"/>
        <v>65</v>
      </c>
      <c r="B68" s="85" t="str">
        <f ca="1">IFERROR(__xludf.DUMMYFUNCTION("GOOGLETRANSLATE(B2577:B2592,""RU"",""UK"")"),"Штангенрейсмус ШР 100-1000мм (0,1)")</f>
        <v>Штангенрейсмус ШР 100-1000мм (0,1)</v>
      </c>
      <c r="C68" s="59" t="s">
        <v>6</v>
      </c>
      <c r="D68" s="59">
        <v>2</v>
      </c>
      <c r="E68" s="91">
        <v>4200</v>
      </c>
    </row>
    <row r="69" spans="1:5">
      <c r="A69" s="21">
        <f t="shared" si="0"/>
        <v>66</v>
      </c>
      <c r="B69" s="85" t="str">
        <f ca="1">IFERROR(__xludf.DUMMYFUNCTION("GOOGLETRANSLATE(B2578:B2593,""RU"",""UK"")"),"Штангенглибиномір індикаторний Mitytoyo 150мм (0,05)")</f>
        <v>Штангенглибиномір індикаторний Mitytoyo 150мм (0,05)</v>
      </c>
      <c r="C69" s="59" t="s">
        <v>6</v>
      </c>
      <c r="D69" s="59">
        <v>1</v>
      </c>
      <c r="E69" s="91">
        <v>2760</v>
      </c>
    </row>
    <row r="70" spans="1:5">
      <c r="A70" s="21">
        <f t="shared" si="0"/>
        <v>67</v>
      </c>
      <c r="B70" s="85" t="str">
        <f ca="1">IFERROR(__xludf.DUMMYFUNCTION("GOOGLETRANSLATE(B2579:B2594,""RU"",""UK"")"),"Штангенглибиномір ШГ 160мм (0,05) погане зберігання")</f>
        <v>Штангенглибиномір ШГ 160мм (0,05) погане зберігання</v>
      </c>
      <c r="C70" s="59" t="s">
        <v>6</v>
      </c>
      <c r="D70" s="59">
        <v>1</v>
      </c>
      <c r="E70" s="91">
        <v>1200</v>
      </c>
    </row>
    <row r="71" spans="1:5">
      <c r="A71" s="21">
        <f t="shared" si="0"/>
        <v>68</v>
      </c>
      <c r="B71" s="85" t="str">
        <f ca="1">IFERROR(__xludf.DUMMYFUNCTION("GOOGLETRANSLATE(B2579:B2594,""RU"",""UK"")"),"Штангенглибиномір ШГ 160мм (0,05)")</f>
        <v>Штангенглибиномір ШГ 160мм (0,05)</v>
      </c>
      <c r="C71" s="59" t="s">
        <v>6</v>
      </c>
      <c r="D71" s="59">
        <v>1</v>
      </c>
      <c r="E71" s="91">
        <v>1600</v>
      </c>
    </row>
    <row r="72" spans="1:5">
      <c r="A72" s="21">
        <f t="shared" si="0"/>
        <v>69</v>
      </c>
      <c r="B72" s="85" t="str">
        <f ca="1">IFERROR(__xludf.DUMMYFUNCTION("GOOGLETRANSLATE(B2579:B2594,""RU"",""UK"")"),"Штангенглибиномір ШГ 160мм (0,05) мало вживаний")</f>
        <v>Штангенглибиномір ШГ 160мм (0,05) мало вживаний</v>
      </c>
      <c r="C72" s="59" t="s">
        <v>6</v>
      </c>
      <c r="D72" s="59">
        <v>1</v>
      </c>
      <c r="E72" s="91">
        <v>950</v>
      </c>
    </row>
    <row r="73" spans="1:5">
      <c r="A73" s="21">
        <f t="shared" si="0"/>
        <v>70</v>
      </c>
      <c r="B73" s="85" t="str">
        <f ca="1">IFERROR(__xludf.DUMMYFUNCTION("GOOGLETRANSLATE(B2580:B2595,""RU"",""UK"")"),"Штангенглибиномір ШГ 200мм (0,05)")</f>
        <v>Штангенглибиномір ШГ 200мм (0,05)</v>
      </c>
      <c r="C73" s="59" t="s">
        <v>6</v>
      </c>
      <c r="D73" s="59">
        <v>4</v>
      </c>
      <c r="E73" s="91">
        <v>1700</v>
      </c>
    </row>
    <row r="74" spans="1:5">
      <c r="A74" s="21">
        <f t="shared" si="0"/>
        <v>71</v>
      </c>
      <c r="B74" s="85" t="str">
        <f ca="1">IFERROR(__xludf.DUMMYFUNCTION("GOOGLETRANSLATE(B2581:B2596,""RU"",""UK"")"),"Штангенглибиномір ШГ 250мм (0,05)")</f>
        <v>Штангенглибиномір ШГ 250мм (0,05)</v>
      </c>
      <c r="C74" s="59" t="s">
        <v>6</v>
      </c>
      <c r="D74" s="59">
        <v>3</v>
      </c>
      <c r="E74" s="91">
        <v>1850</v>
      </c>
    </row>
    <row r="75" spans="1:5">
      <c r="A75" s="21">
        <f t="shared" si="0"/>
        <v>72</v>
      </c>
      <c r="B75" s="85" t="str">
        <f ca="1">IFERROR(__xludf.DUMMYFUNCTION("GOOGLETRANSLATE(B2581:B2596,""RU"",""UK"")"),"Штангенглибиномір індикаторний ШГИ 250мм (0,05)")</f>
        <v>Штангенглибиномір індикаторний ШГИ 250мм (0,05)</v>
      </c>
      <c r="C75" s="59" t="s">
        <v>6</v>
      </c>
      <c r="D75" s="59">
        <v>1</v>
      </c>
      <c r="E75" s="91">
        <v>2400</v>
      </c>
    </row>
    <row r="76" spans="1:5">
      <c r="A76" s="21">
        <f t="shared" si="0"/>
        <v>73</v>
      </c>
      <c r="B76" s="200" t="str">
        <f ca="1">IFERROR(__xludf.DUMMYFUNCTION("GOOGLETRANSLATE(B2581:B2596,""RU"",""UK"")"),"Штангенглибиномір ШГ 250мм (0,05) мало вжив.")</f>
        <v>Штангенглибиномір ШГ 250мм (0,05) мало вжив.</v>
      </c>
      <c r="C76" s="59" t="s">
        <v>6</v>
      </c>
      <c r="D76" s="59">
        <v>0</v>
      </c>
      <c r="E76" s="91">
        <v>1500</v>
      </c>
    </row>
    <row r="77" spans="1:5">
      <c r="A77" s="21">
        <f t="shared" si="0"/>
        <v>74</v>
      </c>
      <c r="B77" s="85" t="str">
        <f ca="1">IFERROR(__xludf.DUMMYFUNCTION("GOOGLETRANSLATE(B2581:B2596,""RU"",""UK"")"),"Штангенглибиномір ШГ 250мм (0,05) вжив.")</f>
        <v>Штангенглибиномір ШГ 250мм (0,05) вжив.</v>
      </c>
      <c r="C77" s="59" t="s">
        <v>6</v>
      </c>
      <c r="D77" s="59">
        <v>3</v>
      </c>
      <c r="E77" s="91">
        <v>1400</v>
      </c>
    </row>
    <row r="78" spans="1:5">
      <c r="A78" s="21">
        <f t="shared" si="0"/>
        <v>75</v>
      </c>
      <c r="B78" s="85" t="str">
        <f ca="1">IFERROR(__xludf.DUMMYFUNCTION("GOOGLETRANSLATE(B2582:B2597,""RU"",""UK"")"),"Штангенглибиномір ШГ 300-320мм (0,05)")</f>
        <v>Штангенглибиномір ШГ 300-320мм (0,05)</v>
      </c>
      <c r="C78" s="59" t="s">
        <v>6</v>
      </c>
      <c r="D78" s="59">
        <v>7</v>
      </c>
      <c r="E78" s="91">
        <v>2000</v>
      </c>
    </row>
    <row r="79" spans="1:5">
      <c r="A79" s="21">
        <f t="shared" si="0"/>
        <v>76</v>
      </c>
      <c r="B79" s="85" t="str">
        <f ca="1">IFERROR(__xludf.DUMMYFUNCTION("GOOGLETRANSLATE(B2582:B2597,""RU"",""UK"")"),"Штангенглибиномір ШГ 320мм (0,05) вживаний без коробки")</f>
        <v>Штангенглибиномір ШГ 320мм (0,05) вживаний без коробки</v>
      </c>
      <c r="C79" s="59" t="s">
        <v>6</v>
      </c>
      <c r="D79" s="59">
        <v>1</v>
      </c>
      <c r="E79" s="91">
        <v>1400</v>
      </c>
    </row>
    <row r="80" spans="1:5">
      <c r="A80" s="21">
        <f t="shared" si="0"/>
        <v>77</v>
      </c>
      <c r="B80" s="85" t="str">
        <f ca="1">IFERROR(__xludf.DUMMYFUNCTION("GOOGLETRANSLATE(B2582:B2597,""RU"",""UK"")"),"Штангенглибиномір ШГ 330мм (0,05) мало вживаний")</f>
        <v>Штангенглибиномір ШГ 330мм (0,05) мало вживаний</v>
      </c>
      <c r="C80" s="59" t="s">
        <v>6</v>
      </c>
      <c r="D80" s="59">
        <v>2</v>
      </c>
      <c r="E80" s="91">
        <v>1650</v>
      </c>
    </row>
    <row r="81" spans="1:5">
      <c r="A81" s="21">
        <f t="shared" si="0"/>
        <v>78</v>
      </c>
      <c r="B81" s="169" t="str">
        <f ca="1">IFERROR(__xludf.DUMMYFUNCTION("GOOGLETRANSLATE(B2583:B2598,""RU"",""UK"")"),"Штангенглибиномір ШГ 400мм (0,05)")</f>
        <v>Штангенглибиномір ШГ 400мм (0,05)</v>
      </c>
      <c r="C81" s="59" t="s">
        <v>6</v>
      </c>
      <c r="D81" s="59">
        <v>4</v>
      </c>
      <c r="E81" s="91">
        <v>2200</v>
      </c>
    </row>
    <row r="82" spans="1:5">
      <c r="A82" s="21">
        <f t="shared" si="0"/>
        <v>79</v>
      </c>
      <c r="B82" s="169" t="str">
        <f ca="1">IFERROR(__xludf.DUMMYFUNCTION("GOOGLETRANSLATE(B2583:B2598,""RU"",""UK"")"),"Штангенглибиномір ШГ 400мм (0,05) мало вживаний")</f>
        <v>Штангенглибиномір ШГ 400мм (0,05) мало вживаний</v>
      </c>
      <c r="C82" s="59" t="s">
        <v>6</v>
      </c>
      <c r="D82" s="59">
        <v>1</v>
      </c>
      <c r="E82" s="91">
        <v>1700</v>
      </c>
    </row>
    <row r="83" spans="1:5">
      <c r="A83" s="21">
        <f t="shared" si="0"/>
        <v>80</v>
      </c>
      <c r="B83" s="85" t="str">
        <f ca="1">IFERROR(__xludf.DUMMYFUNCTION("GOOGLETRANSLATE(B2584:B2599,""RU"",""UK"")"),"Штангенглибиномір ШГ 500мм (0,1)")</f>
        <v>Штангенглибиномір ШГ 500мм (0,1)</v>
      </c>
      <c r="C83" s="59" t="s">
        <v>6</v>
      </c>
      <c r="D83" s="59">
        <v>3</v>
      </c>
      <c r="E83" s="91">
        <v>2400</v>
      </c>
    </row>
    <row r="84" spans="1:5">
      <c r="A84" s="21">
        <f t="shared" ref="A84:A160" si="1">A83+1</f>
        <v>81</v>
      </c>
      <c r="B84" s="85" t="str">
        <f ca="1">IFERROR(__xludf.DUMMYFUNCTION("GOOGLETRANSLATE(B2584:B2599,""RU"",""UK"")"),"Штангенглибиномір ШГ 500мм (0,1) мало вжив.")</f>
        <v>Штангенглибиномір ШГ 500мм (0,1) мало вжив.</v>
      </c>
      <c r="C84" s="59" t="s">
        <v>6</v>
      </c>
      <c r="D84" s="59">
        <v>2</v>
      </c>
      <c r="E84" s="91">
        <v>2000</v>
      </c>
    </row>
    <row r="85" spans="1:5">
      <c r="A85" s="21">
        <f t="shared" si="1"/>
        <v>82</v>
      </c>
      <c r="B85" s="85" t="str">
        <f ca="1">IFERROR(__xludf.DUMMYFUNCTION("GOOGLETRANSLATE(B2584:B2599,""RU"",""UK"")"),"Штангенглибиномір ШГ 500мм (0,1) вживаний")</f>
        <v>Штангенглибиномір ШГ 500мм (0,1) вживаний</v>
      </c>
      <c r="C85" s="59" t="s">
        <v>6</v>
      </c>
      <c r="D85" s="59">
        <v>2</v>
      </c>
      <c r="E85" s="91">
        <v>1400</v>
      </c>
    </row>
    <row r="86" spans="1:5">
      <c r="A86" s="21">
        <f t="shared" si="1"/>
        <v>83</v>
      </c>
      <c r="B86" s="169" t="str">
        <f ca="1">IFERROR(__xludf.DUMMYFUNCTION("GOOGLETRANSLATE(B2585:B2600,""RU"",""UK"")"),"Штангензубомір ШЗ 1-18 мм (0,05), мало вжив. Без коробки")</f>
        <v>Штангензубомір ШЗ 1-18 мм (0,05), мало вжив. Без коробки</v>
      </c>
      <c r="C86" s="59" t="s">
        <v>6</v>
      </c>
      <c r="D86" s="59">
        <v>1</v>
      </c>
      <c r="E86" s="91">
        <v>2400</v>
      </c>
    </row>
    <row r="87" spans="1:5">
      <c r="A87" s="21">
        <f t="shared" si="1"/>
        <v>84</v>
      </c>
      <c r="B87" s="200" t="str">
        <f ca="1">IFERROR(__xludf.DUMMYFUNCTION("GOOGLETRANSLATE(B2586:B2601,""RU"",""UK"")"),"Штангензубомір ШЗ 1-18 мм (0,05)")</f>
        <v>Штангензубомір ШЗ 1-18 мм (0,05)</v>
      </c>
      <c r="C87" s="59" t="s">
        <v>6</v>
      </c>
      <c r="D87" s="59">
        <v>0</v>
      </c>
      <c r="E87" s="91">
        <v>2800</v>
      </c>
    </row>
    <row r="88" spans="1:5">
      <c r="A88" s="21">
        <f t="shared" si="1"/>
        <v>85</v>
      </c>
      <c r="B88" s="169" t="str">
        <f ca="1">IFERROR(__xludf.DUMMYFUNCTION("GOOGLETRANSLATE(B2586:B2601,""RU"",""UK"")"),"Штангензубомір ШЗ 1-18 мм (0,02) вживаний")</f>
        <v>Штангензубомір ШЗ 1-18 мм (0,02) вживаний</v>
      </c>
      <c r="C88" s="59" t="s">
        <v>6</v>
      </c>
      <c r="D88" s="59">
        <v>2</v>
      </c>
      <c r="E88" s="91">
        <v>1800</v>
      </c>
    </row>
    <row r="89" spans="1:5">
      <c r="A89" s="21">
        <f t="shared" si="1"/>
        <v>86</v>
      </c>
      <c r="B89" s="169" t="str">
        <f ca="1">IFERROR(__xludf.DUMMYFUNCTION("GOOGLETRANSLATE(B2587:B2602,""RU"",""UK"")"),"Штангензубомір ШЗ 5-36 мм (0,05)")</f>
        <v>Штангензубомір ШЗ 5-36 мм (0,05)</v>
      </c>
      <c r="C89" s="59" t="s">
        <v>6</v>
      </c>
      <c r="D89" s="160">
        <v>4</v>
      </c>
      <c r="E89" s="91">
        <v>3000</v>
      </c>
    </row>
    <row r="90" spans="1:5">
      <c r="A90" s="21">
        <f t="shared" si="1"/>
        <v>87</v>
      </c>
      <c r="B90" s="169" t="str">
        <f ca="1">IFERROR(__xludf.DUMMYFUNCTION("GOOGLETRANSLATE(B2587:B2602,""RU"",""UK"")"),"Штангензубомір ШЗ 5-36 мм (0,02) коробка не нова")</f>
        <v>Штангензубомір ШЗ 5-36 мм (0,02) коробка не нова</v>
      </c>
      <c r="C90" s="59" t="s">
        <v>6</v>
      </c>
      <c r="D90" s="160">
        <v>1</v>
      </c>
      <c r="E90" s="91">
        <v>2900</v>
      </c>
    </row>
    <row r="91" spans="1:5">
      <c r="A91" s="21">
        <f t="shared" si="1"/>
        <v>88</v>
      </c>
      <c r="B91" s="85" t="str">
        <f ca="1">IFERROR(__xludf.DUMMYFUNCTION("GOOGLETRANSLATE(B2588:B2603,""RU"",""UK"")"),"Штангензубомір ШЗ 5-36 мм (0,02) мало вжив.")</f>
        <v>Штангензубомір ШЗ 5-36 мм (0,02) мало вжив.</v>
      </c>
      <c r="C91" s="59" t="s">
        <v>6</v>
      </c>
      <c r="D91" s="59">
        <v>2</v>
      </c>
      <c r="E91" s="91">
        <v>2500</v>
      </c>
    </row>
    <row r="92" spans="1:5">
      <c r="A92" s="21">
        <f t="shared" si="1"/>
        <v>89</v>
      </c>
      <c r="B92" s="85" t="str">
        <f ca="1">IFERROR(__xludf.DUMMYFUNCTION("GOOGLETRANSLATE(B2589:B2604,""RU"",""UK"")"),"Штангензубомір ШЗ 5-36 мм (0,05) вжив.")</f>
        <v>Штангензубомір ШЗ 5-36 мм (0,05) вжив.</v>
      </c>
      <c r="C92" s="59" t="s">
        <v>6</v>
      </c>
      <c r="D92" s="59">
        <v>1</v>
      </c>
      <c r="E92" s="91">
        <v>1400</v>
      </c>
    </row>
    <row r="93" spans="1:5">
      <c r="A93" s="21">
        <f t="shared" si="1"/>
        <v>90</v>
      </c>
      <c r="B93" s="85" t="str">
        <f ca="1">IFERROR(__xludf.DUMMYFUNCTION("GOOGLETRANSLATE(B2589:B2604,""RU"",""UK"")"),"Штангензубомір ШЗ 5-36 мм (0,02) вжив.")</f>
        <v>Штангензубомір ШЗ 5-36 мм (0,02) вжив.</v>
      </c>
      <c r="C93" s="59" t="s">
        <v>6</v>
      </c>
      <c r="D93" s="59">
        <v>3</v>
      </c>
      <c r="E93" s="91">
        <v>1400</v>
      </c>
    </row>
    <row r="94" spans="1:5">
      <c r="A94" s="21">
        <f t="shared" si="1"/>
        <v>91</v>
      </c>
      <c r="B94" s="164" t="str">
        <f ca="1">IFERROR(__xludf.DUMMYFUNCTION("GOOGLETRANSLATE(B2590:B2605,""RU"",""UK"")"),"Циркур пропорційний ЦП-1 Калібр")</f>
        <v>Циркур пропорційний ЦП-1 Калібр</v>
      </c>
      <c r="C94" s="171" t="s">
        <v>6</v>
      </c>
      <c r="D94" s="171">
        <v>0</v>
      </c>
      <c r="E94" s="173" t="s">
        <v>624</v>
      </c>
    </row>
    <row r="95" spans="1:5">
      <c r="A95" s="21">
        <f t="shared" si="1"/>
        <v>92</v>
      </c>
      <c r="B95" s="200" t="s">
        <v>6095</v>
      </c>
      <c r="C95" s="59" t="s">
        <v>6</v>
      </c>
      <c r="D95" s="59">
        <v>0</v>
      </c>
      <c r="E95" s="91" t="s">
        <v>3501</v>
      </c>
    </row>
    <row r="96" spans="1:5">
      <c r="A96" s="21">
        <f t="shared" si="1"/>
        <v>93</v>
      </c>
      <c r="B96" s="85" t="str">
        <f ca="1">IFERROR(__xludf.DUMMYFUNCTION("GOOGLETRANSLATE(B2587:B2602,""RU"",""UK"")"),"Зубомір тангенціальний 8-36 мм ЛІЗ")</f>
        <v>Зубомір тангенціальний 8-36 мм ЛІЗ</v>
      </c>
      <c r="C96" s="59" t="s">
        <v>6</v>
      </c>
      <c r="D96" s="59">
        <v>1</v>
      </c>
      <c r="E96" s="91">
        <v>2700</v>
      </c>
    </row>
    <row r="97" spans="1:5">
      <c r="A97" s="21">
        <f t="shared" si="1"/>
        <v>94</v>
      </c>
      <c r="B97" s="85" t="str">
        <f ca="1">IFERROR(__xludf.DUMMYFUNCTION("GOOGLETRANSLATE(B2592:B2607,""RU"",""UK"")"),"Мікрометрична головка МГ")</f>
        <v>Мікрометрична головка МГ</v>
      </c>
      <c r="C97" s="59" t="s">
        <v>6</v>
      </c>
      <c r="D97" s="59">
        <v>4</v>
      </c>
      <c r="E97" s="91" t="s">
        <v>106</v>
      </c>
    </row>
    <row r="98" spans="1:5">
      <c r="A98" s="21">
        <f t="shared" si="1"/>
        <v>95</v>
      </c>
      <c r="B98" s="85" t="str">
        <f ca="1">IFERROR(__xludf.DUMMYFUNCTION("GOOGLETRANSLATE(B2593:B2608,""RU"",""UK"")"),"Мікрометр гладкий МК 0-25мм")</f>
        <v>Мікрометр гладкий МК 0-25мм</v>
      </c>
      <c r="C98" s="37" t="s">
        <v>6</v>
      </c>
      <c r="D98" s="37">
        <v>22</v>
      </c>
      <c r="E98" s="92" t="s">
        <v>80</v>
      </c>
    </row>
    <row r="99" spans="1:5">
      <c r="A99" s="21">
        <f t="shared" si="1"/>
        <v>96</v>
      </c>
      <c r="B99" s="164" t="str">
        <f ca="1">IFERROR(__xludf.DUMMYFUNCTION("GOOGLETRANSLATE(B2594:B2609,""RU"",""UK"")"),"Мікрометр гладкий МК 0-25 ГДР")</f>
        <v>Мікрометр гладкий МК 0-25 ГДР</v>
      </c>
      <c r="C99" s="59" t="s">
        <v>6</v>
      </c>
      <c r="D99" s="59">
        <v>0</v>
      </c>
      <c r="E99" s="91">
        <v>1400</v>
      </c>
    </row>
    <row r="100" spans="1:5">
      <c r="A100" s="21">
        <f t="shared" si="1"/>
        <v>97</v>
      </c>
      <c r="B100" s="85" t="str">
        <f ca="1">IFERROR(__xludf.DUMMYFUNCTION("GOOGLETRANSLATE(B2593:B2608,""RU"",""UK"")"),"Мікрометр гладкий МК 0-25мм вживаний")</f>
        <v>Мікрометр гладкий МК 0-25мм вживаний</v>
      </c>
      <c r="C100" s="37" t="s">
        <v>6</v>
      </c>
      <c r="D100" s="37">
        <v>1</v>
      </c>
      <c r="E100" s="92">
        <v>750</v>
      </c>
    </row>
    <row r="101" spans="1:5">
      <c r="A101" s="21">
        <f t="shared" si="1"/>
        <v>98</v>
      </c>
      <c r="B101" s="85" t="str">
        <f ca="1">IFERROR(__xludf.DUMMYFUNCTION("GOOGLETRANSLATE(B2595:B2610,""RU"",""UK"")"),"Мікрометр гладкий МК 25-50 мм")</f>
        <v>Мікрометр гладкий МК 25-50 мм</v>
      </c>
      <c r="C101" s="59" t="s">
        <v>6</v>
      </c>
      <c r="D101" s="59">
        <v>9</v>
      </c>
      <c r="E101" s="91" t="s">
        <v>1091</v>
      </c>
    </row>
    <row r="102" spans="1:5">
      <c r="A102" s="21">
        <f t="shared" si="1"/>
        <v>99</v>
      </c>
      <c r="B102" s="85" t="str">
        <f ca="1">IFERROR(__xludf.DUMMYFUNCTION("GOOGLETRANSLATE(B2596:B2611,""RU"",""UK"")"),"Мікрометр гладкий МК 50-75 мм")</f>
        <v>Мікрометр гладкий МК 50-75 мм</v>
      </c>
      <c r="C102" s="59" t="s">
        <v>6</v>
      </c>
      <c r="D102" s="59">
        <v>10</v>
      </c>
      <c r="E102" s="91" t="s">
        <v>3508</v>
      </c>
    </row>
    <row r="103" spans="1:5">
      <c r="A103" s="21">
        <f t="shared" si="1"/>
        <v>100</v>
      </c>
      <c r="B103" s="85" t="str">
        <f ca="1">IFERROR(__xludf.DUMMYFUNCTION("GOOGLETRANSLATE(B2596:B2611,""RU"",""UK"")"),"Мікрометр гладкий МК 50-75 ПНР")</f>
        <v>Мікрометр гладкий МК 50-75 ПНР</v>
      </c>
      <c r="C103" s="59" t="s">
        <v>6</v>
      </c>
      <c r="D103" s="59">
        <v>2</v>
      </c>
      <c r="E103" s="91">
        <v>1200</v>
      </c>
    </row>
    <row r="104" spans="1:5">
      <c r="A104" s="21">
        <f t="shared" si="1"/>
        <v>101</v>
      </c>
      <c r="B104" s="85" t="str">
        <f ca="1">IFERROR(__xludf.DUMMYFUNCTION("GOOGLETRANSLATE(B2596:B2611,""RU"",""UK"")"),"Мікрометр гладкий МК 50-75 ГДР")</f>
        <v>Мікрометр гладкий МК 50-75 ГДР</v>
      </c>
      <c r="C104" s="59" t="s">
        <v>6</v>
      </c>
      <c r="D104" s="59">
        <v>1</v>
      </c>
      <c r="E104" s="91">
        <v>1500</v>
      </c>
    </row>
    <row r="105" spans="1:5">
      <c r="A105" s="21">
        <f t="shared" si="1"/>
        <v>102</v>
      </c>
      <c r="B105" s="85" t="str">
        <f ca="1">IFERROR(__xludf.DUMMYFUNCTION("GOOGLETRANSLATE(B2598:B2613,""RU"",""UK"")"),"Мікрометр гладкий МК 75-100мм")</f>
        <v>Мікрометр гладкий МК 75-100мм</v>
      </c>
      <c r="C105" s="59" t="s">
        <v>6</v>
      </c>
      <c r="D105" s="59">
        <v>16</v>
      </c>
      <c r="E105" s="91" t="s">
        <v>1901</v>
      </c>
    </row>
    <row r="106" spans="1:5">
      <c r="A106" s="21">
        <f t="shared" si="1"/>
        <v>103</v>
      </c>
      <c r="B106" s="85" t="str">
        <f ca="1">IFERROR(__xludf.DUMMYFUNCTION("GOOGLETRANSLATE(B2599:B2614,""RU"",""UK"")"),"Мікрометр гладкий МК 100-125 мм")</f>
        <v>Мікрометр гладкий МК 100-125 мм</v>
      </c>
      <c r="C106" s="59" t="s">
        <v>6</v>
      </c>
      <c r="D106" s="59">
        <v>14</v>
      </c>
      <c r="E106" s="91" t="s">
        <v>75</v>
      </c>
    </row>
    <row r="107" spans="1:5">
      <c r="A107" s="21">
        <f t="shared" si="1"/>
        <v>104</v>
      </c>
      <c r="B107" s="85" t="str">
        <f ca="1">IFERROR(__xludf.DUMMYFUNCTION("GOOGLETRANSLATE(B2599:B2614,""RU"",""UK"")"),"Мікрометр гладкий МК 125-150 мм")</f>
        <v>Мікрометр гладкий МК 125-150 мм</v>
      </c>
      <c r="C107" s="59" t="s">
        <v>6</v>
      </c>
      <c r="D107" s="59">
        <v>7</v>
      </c>
      <c r="E107" s="91" t="s">
        <v>75</v>
      </c>
    </row>
    <row r="108" spans="1:5">
      <c r="A108" s="21">
        <f t="shared" si="1"/>
        <v>105</v>
      </c>
      <c r="B108" s="85" t="str">
        <f ca="1">IFERROR(__xludf.DUMMYFUNCTION("GOOGLETRANSLATE(B2600:B2615,""RU"",""UK"")"),"Мікрометр гладкий МК 150-175 мм")</f>
        <v>Мікрометр гладкий МК 150-175 мм</v>
      </c>
      <c r="C108" s="59" t="s">
        <v>6</v>
      </c>
      <c r="D108" s="59">
        <v>2</v>
      </c>
      <c r="E108" s="91" t="s">
        <v>948</v>
      </c>
    </row>
    <row r="109" spans="1:5">
      <c r="A109" s="21">
        <f t="shared" si="1"/>
        <v>106</v>
      </c>
      <c r="B109" s="85" t="s">
        <v>6108</v>
      </c>
      <c r="C109" s="59" t="s">
        <v>6</v>
      </c>
      <c r="D109" s="59">
        <v>2</v>
      </c>
      <c r="E109" s="91">
        <v>1500</v>
      </c>
    </row>
    <row r="110" spans="1:5">
      <c r="A110" s="21">
        <f t="shared" si="1"/>
        <v>107</v>
      </c>
      <c r="B110" s="85" t="str">
        <f ca="1">IFERROR(__xludf.DUMMYFUNCTION("GOOGLETRANSLATE(B2600:B2615,""RU"",""UK"")"),"Мікрометр гладкий МК 175-200 мм")</f>
        <v>Мікрометр гладкий МК 175-200 мм</v>
      </c>
      <c r="C110" s="59" t="s">
        <v>6</v>
      </c>
      <c r="D110" s="59">
        <v>6</v>
      </c>
      <c r="E110" s="91" t="s">
        <v>948</v>
      </c>
    </row>
    <row r="111" spans="1:5">
      <c r="A111" s="21">
        <f t="shared" si="1"/>
        <v>108</v>
      </c>
      <c r="B111" s="164" t="str">
        <f ca="1">IFERROR(__xludf.DUMMYFUNCTION("GOOGLETRANSLATE(B2601:B2616,""RU"",""UK"")"),"Мікрометр гладкий МК 175-200 мм вживаний")</f>
        <v>Мікрометр гладкий МК 175-200 мм вживаний</v>
      </c>
      <c r="C111" s="59" t="s">
        <v>6</v>
      </c>
      <c r="D111" s="59">
        <v>0</v>
      </c>
      <c r="E111" s="91">
        <v>1450</v>
      </c>
    </row>
    <row r="112" spans="1:5">
      <c r="A112" s="21">
        <f t="shared" si="1"/>
        <v>109</v>
      </c>
      <c r="B112" s="169" t="str">
        <f ca="1">IFERROR(__xludf.DUMMYFUNCTION("GOOGLETRANSLATE(B2601:B2616,""RU"",""UK"")"),"Мікрометр гладкий МК 200-225 мм")</f>
        <v>Мікрометр гладкий МК 200-225 мм</v>
      </c>
      <c r="C112" s="59" t="s">
        <v>6</v>
      </c>
      <c r="D112" s="59">
        <v>4</v>
      </c>
      <c r="E112" s="91" t="s">
        <v>3514</v>
      </c>
    </row>
    <row r="113" spans="1:5">
      <c r="A113" s="21">
        <f t="shared" si="1"/>
        <v>110</v>
      </c>
      <c r="B113" s="164" t="str">
        <f ca="1">IFERROR(__xludf.DUMMYFUNCTION("GOOGLETRANSLATE(B2601:B2616,""RU"",""UK"")"),"Мікрометр гладкий МК 200-225 мм мало вживаний")</f>
        <v>Мікрометр гладкий МК 200-225 мм мало вживаний</v>
      </c>
      <c r="C113" s="59" t="s">
        <v>6</v>
      </c>
      <c r="D113" s="59">
        <v>0</v>
      </c>
      <c r="E113" s="91">
        <v>1650</v>
      </c>
    </row>
    <row r="114" spans="1:5">
      <c r="A114" s="21">
        <f t="shared" si="1"/>
        <v>111</v>
      </c>
      <c r="B114" s="169" t="str">
        <f ca="1">IFERROR(__xludf.DUMMYFUNCTION("GOOGLETRANSLATE(B2601:B2616,""RU"",""UK"")"),"Мікрометр гладкий МК 200-225 мм вживаний")</f>
        <v>Мікрометр гладкий МК 200-225 мм вживаний</v>
      </c>
      <c r="C114" s="59" t="s">
        <v>6</v>
      </c>
      <c r="D114" s="59">
        <v>1</v>
      </c>
      <c r="E114" s="91">
        <v>1500</v>
      </c>
    </row>
    <row r="115" spans="1:5">
      <c r="A115" s="21">
        <f t="shared" si="1"/>
        <v>112</v>
      </c>
      <c r="B115" s="85" t="str">
        <f ca="1">IFERROR(__xludf.DUMMYFUNCTION("GOOGLETRANSLATE(B2601:B2616,""RU"",""UK"")"),"Мікрометр гладкий МК 225-250 мм")</f>
        <v>Мікрометр гладкий МК 225-250 мм</v>
      </c>
      <c r="C115" s="59" t="s">
        <v>6</v>
      </c>
      <c r="D115" s="59">
        <v>4</v>
      </c>
      <c r="E115" s="91" t="s">
        <v>3514</v>
      </c>
    </row>
    <row r="116" spans="1:5">
      <c r="A116" s="21">
        <f t="shared" si="1"/>
        <v>113</v>
      </c>
      <c r="B116" s="85" t="str">
        <f ca="1">IFERROR(__xludf.DUMMYFUNCTION("GOOGLETRANSLATE(B2602:B2617,""RU"",""UK"")"),"Мікрометр гладкий МК 250-275 мм")</f>
        <v>Мікрометр гладкий МК 250-275 мм</v>
      </c>
      <c r="C116" s="59" t="s">
        <v>6</v>
      </c>
      <c r="D116" s="166" t="s">
        <v>6079</v>
      </c>
      <c r="E116" s="91" t="s">
        <v>10</v>
      </c>
    </row>
    <row r="117" spans="1:5">
      <c r="A117" s="21">
        <f t="shared" si="1"/>
        <v>114</v>
      </c>
      <c r="B117" s="85" t="str">
        <f ca="1">IFERROR(__xludf.DUMMYFUNCTION("GOOGLETRANSLATE(B2602:B2617,""RU"",""UK"")"),"Мікрометр гладкий МК 275-300 мм")</f>
        <v>Мікрометр гладкий МК 275-300 мм</v>
      </c>
      <c r="C117" s="59" t="s">
        <v>6</v>
      </c>
      <c r="D117" s="166" t="s">
        <v>6079</v>
      </c>
      <c r="E117" s="91" t="s">
        <v>10</v>
      </c>
    </row>
    <row r="118" spans="1:5">
      <c r="A118" s="21">
        <f t="shared" si="1"/>
        <v>115</v>
      </c>
      <c r="B118" s="85" t="s">
        <v>6441</v>
      </c>
      <c r="C118" s="59" t="s">
        <v>6</v>
      </c>
      <c r="D118" s="166" t="s">
        <v>6074</v>
      </c>
      <c r="E118" s="91">
        <v>1400</v>
      </c>
    </row>
    <row r="119" spans="1:5">
      <c r="A119" s="21">
        <f t="shared" si="1"/>
        <v>116</v>
      </c>
      <c r="B119" s="85" t="str">
        <f ca="1">IFERROR(__xludf.DUMMYFUNCTION("GOOGLETRANSLATE(B2603:B2618,""RU"",""UK"")"),"Мікрометр гладкий МК 300-400 мм")</f>
        <v>Мікрометр гладкий МК 300-400 мм</v>
      </c>
      <c r="C119" s="59" t="s">
        <v>6</v>
      </c>
      <c r="D119" s="166" t="s">
        <v>6079</v>
      </c>
      <c r="E119" s="91" t="s">
        <v>73</v>
      </c>
    </row>
    <row r="120" spans="1:5">
      <c r="A120" s="21">
        <f t="shared" si="1"/>
        <v>117</v>
      </c>
      <c r="B120" s="85" t="str">
        <f ca="1">IFERROR(__xludf.DUMMYFUNCTION("GOOGLETRANSLATE(B2603:B2618,""RU"",""UK"")"),"Мікрометр гладкий МК 400-500 мм")</f>
        <v>Мікрометр гладкий МК 400-500 мм</v>
      </c>
      <c r="C120" s="59" t="s">
        <v>6</v>
      </c>
      <c r="D120" s="166" t="s">
        <v>6078</v>
      </c>
      <c r="E120" s="91">
        <v>2700</v>
      </c>
    </row>
    <row r="121" spans="1:5">
      <c r="A121" s="21">
        <f t="shared" si="1"/>
        <v>118</v>
      </c>
      <c r="B121" s="85" t="str">
        <f ca="1">IFERROR(__xludf.DUMMYFUNCTION("GOOGLETRANSLATE(B2604:B2619,""RU"",""UK"")"),"Мікрометр гладкий МК 500-600 мм")</f>
        <v>Мікрометр гладкий МК 500-600 мм</v>
      </c>
      <c r="C121" s="59" t="s">
        <v>6</v>
      </c>
      <c r="D121" s="59">
        <v>3</v>
      </c>
      <c r="E121" s="91" t="s">
        <v>97</v>
      </c>
    </row>
    <row r="122" spans="1:5">
      <c r="A122" s="21">
        <f t="shared" si="1"/>
        <v>119</v>
      </c>
      <c r="B122" s="85" t="s">
        <v>6254</v>
      </c>
      <c r="C122" s="59" t="s">
        <v>6</v>
      </c>
      <c r="D122" s="59">
        <v>1</v>
      </c>
      <c r="E122" s="91">
        <v>1300</v>
      </c>
    </row>
    <row r="123" spans="1:5">
      <c r="A123" s="21">
        <f t="shared" si="1"/>
        <v>120</v>
      </c>
      <c r="B123" s="85" t="str">
        <f ca="1">IFERROR(__xludf.DUMMYFUNCTION("GOOGLETRANSLATE(B2605:B2620,""RU"",""UK"")"),"Мікрометр листовий МЛ-10 (0-10мм) 0,01")</f>
        <v>Мікрометр листовий МЛ-10 (0-10мм) 0,01</v>
      </c>
      <c r="C123" s="59" t="s">
        <v>6</v>
      </c>
      <c r="D123" s="59">
        <v>2</v>
      </c>
      <c r="E123" s="91">
        <v>1700</v>
      </c>
    </row>
    <row r="124" spans="1:5">
      <c r="A124" s="21">
        <f t="shared" si="1"/>
        <v>121</v>
      </c>
      <c r="B124" s="169" t="str">
        <f ca="1">IFERROR(__xludf.DUMMYFUNCTION("GOOGLETRANSLATE(B2606:B2621,""RU"",""UK"")"),"Мікрометр листовий МЛ-25 (0-25мм) 0,01")</f>
        <v>Мікрометр листовий МЛ-25 (0-25мм) 0,01</v>
      </c>
      <c r="C124" s="59" t="s">
        <v>6</v>
      </c>
      <c r="D124" s="59">
        <v>2</v>
      </c>
      <c r="E124" s="91">
        <v>1800</v>
      </c>
    </row>
    <row r="125" spans="1:5">
      <c r="A125" s="21">
        <f t="shared" si="1"/>
        <v>122</v>
      </c>
      <c r="B125" s="85" t="str">
        <f ca="1">IFERROR(__xludf.DUMMYFUNCTION("GOOGLETRANSLATE(B2607:B2622,""RU"",""UK"")"),"Мікрометр трубний МТ 0-25 (0-25мм) 0,01")</f>
        <v>Мікрометр трубний МТ 0-25 (0-25мм) 0,01</v>
      </c>
      <c r="C125" s="59" t="s">
        <v>6</v>
      </c>
      <c r="D125" s="59">
        <v>3</v>
      </c>
      <c r="E125" s="91" t="s">
        <v>3521</v>
      </c>
    </row>
    <row r="126" spans="1:5">
      <c r="A126" s="21">
        <f t="shared" si="1"/>
        <v>123</v>
      </c>
      <c r="B126" s="200" t="str">
        <f ca="1">IFERROR(__xludf.DUMMYFUNCTION("GOOGLETRANSLATE(B2608:B2623,""RU"",""UK"")"),"Мікрометр зі вставками МВМ 0-25мм без паспорту")</f>
        <v>Мікрометр зі вставками МВМ 0-25мм без паспорту</v>
      </c>
      <c r="C126" s="59" t="s">
        <v>6</v>
      </c>
      <c r="D126" s="59">
        <v>0</v>
      </c>
      <c r="E126" s="91">
        <v>1500</v>
      </c>
    </row>
    <row r="127" spans="1:5">
      <c r="A127" s="21">
        <f t="shared" si="1"/>
        <v>124</v>
      </c>
      <c r="B127" s="164" t="str">
        <f ca="1">IFERROR(__xludf.DUMMYFUNCTION("GOOGLETRANSLATE(B2608:B2623,""RU"",""UK"")"),"Мікрометр зі вставками МВМ 0-25мм мало вживаний без кришки")</f>
        <v>Мікрометр зі вставками МВМ 0-25мм мало вживаний без кришки</v>
      </c>
      <c r="C127" s="59" t="s">
        <v>6</v>
      </c>
      <c r="D127" s="59">
        <v>0</v>
      </c>
      <c r="E127" s="91">
        <v>1200</v>
      </c>
    </row>
    <row r="128" spans="1:5">
      <c r="A128" s="21">
        <f t="shared" si="1"/>
        <v>125</v>
      </c>
      <c r="B128" s="168" t="str">
        <f ca="1">IFERROR(__xludf.DUMMYFUNCTION("GOOGLETRANSLATE(B2608:B2623,""RU"",""UK"")"),"Мікрометр зі вставками МВМ 25-50мм без паспорту")</f>
        <v>Мікрометр зі вставками МВМ 25-50мм без паспорту</v>
      </c>
      <c r="C128" s="59" t="s">
        <v>6</v>
      </c>
      <c r="D128" s="59">
        <v>2</v>
      </c>
      <c r="E128" s="91">
        <v>1250</v>
      </c>
    </row>
    <row r="129" spans="1:5">
      <c r="A129" s="21">
        <f t="shared" si="1"/>
        <v>126</v>
      </c>
      <c r="B129" s="168" t="str">
        <f ca="1">IFERROR(__xludf.DUMMYFUNCTION("GOOGLETRANSLATE(B2608:B2623,""RU"",""UK"")"),"Мікрометр зі вставками МВМ 25-50мм з паспортом")</f>
        <v>Мікрометр зі вставками МВМ 25-50мм з паспортом</v>
      </c>
      <c r="C129" s="59" t="s">
        <v>6</v>
      </c>
      <c r="D129" s="59">
        <v>1</v>
      </c>
      <c r="E129" s="91">
        <v>1390</v>
      </c>
    </row>
    <row r="130" spans="1:5">
      <c r="A130" s="21">
        <f t="shared" si="1"/>
        <v>127</v>
      </c>
      <c r="B130" s="169" t="str">
        <f ca="1">IFERROR(__xludf.DUMMYFUNCTION("GOOGLETRANSLATE(B2608:B2623,""RU"",""UK"")"),"Мікрометр зі вставками МВМ 50-75мм з паспортом")</f>
        <v>Мікрометр зі вставками МВМ 50-75мм з паспортом</v>
      </c>
      <c r="C130" s="59" t="s">
        <v>6</v>
      </c>
      <c r="D130" s="59">
        <v>1</v>
      </c>
      <c r="E130" s="91">
        <v>1350</v>
      </c>
    </row>
    <row r="131" spans="1:5">
      <c r="A131" s="21">
        <f t="shared" si="1"/>
        <v>128</v>
      </c>
      <c r="B131" s="169" t="str">
        <f ca="1">IFERROR(__xludf.DUMMYFUNCTION("GOOGLETRANSLATE(B2608:B2623,""RU"",""UK"")"),"Мікрометр зі вставками МВМ 75-100мм з інструкцією ")</f>
        <v xml:space="preserve">Мікрометр зі вставками МВМ 75-100мм з інструкцією </v>
      </c>
      <c r="C131" s="59" t="s">
        <v>6</v>
      </c>
      <c r="D131" s="59">
        <v>1</v>
      </c>
      <c r="E131" s="91">
        <v>1600</v>
      </c>
    </row>
    <row r="132" spans="1:5">
      <c r="A132" s="21">
        <f t="shared" si="1"/>
        <v>129</v>
      </c>
      <c r="B132" s="169" t="str">
        <f ca="1">IFERROR(__xludf.DUMMYFUNCTION("GOOGLETRANSLATE(B2608:B2623,""RU"",""UK"")"),"Мікрометр зі вставками МВМ 75-100мм без паспорту ")</f>
        <v xml:space="preserve">Мікрометр зі вставками МВМ 75-100мм без паспорту </v>
      </c>
      <c r="C132" s="59" t="s">
        <v>6</v>
      </c>
      <c r="D132" s="59">
        <v>1</v>
      </c>
      <c r="E132" s="91">
        <v>1400</v>
      </c>
    </row>
    <row r="133" spans="1:5">
      <c r="A133" s="21">
        <f t="shared" si="1"/>
        <v>130</v>
      </c>
      <c r="B133" s="169" t="str">
        <f ca="1">IFERROR(__xludf.DUMMYFUNCTION("GOOGLETRANSLATE(B2608:B2623,""RU"",""UK"")"),"Мікрометр зі вставками МВМ 125-150мм без паспорту ")</f>
        <v xml:space="preserve">Мікрометр зі вставками МВМ 125-150мм без паспорту </v>
      </c>
      <c r="C133" s="59" t="s">
        <v>6</v>
      </c>
      <c r="D133" s="59">
        <v>2</v>
      </c>
      <c r="E133" s="91">
        <v>1500</v>
      </c>
    </row>
    <row r="134" spans="1:5">
      <c r="A134" s="21">
        <f t="shared" si="1"/>
        <v>131</v>
      </c>
      <c r="B134" s="169" t="str">
        <f ca="1">IFERROR(__xludf.DUMMYFUNCTION("GOOGLETRANSLATE(B2608:B2623,""RU"",""UK"")"),"Мікрометр зі вставками МВМ 150-175мм мало вживаний без 1 вставки ")</f>
        <v xml:space="preserve">Мікрометр зі вставками МВМ 150-175мм мало вживаний без 1 вставки </v>
      </c>
      <c r="C134" s="59" t="s">
        <v>6</v>
      </c>
      <c r="D134" s="59">
        <v>1</v>
      </c>
      <c r="E134" s="91">
        <v>1400</v>
      </c>
    </row>
    <row r="135" spans="1:5">
      <c r="A135" s="21">
        <f t="shared" si="1"/>
        <v>132</v>
      </c>
      <c r="B135" s="169" t="str">
        <f ca="1">IFERROR(__xludf.DUMMYFUNCTION("GOOGLETRANSLATE(B2608:B2623,""RU"",""UK"")"),"Мікрометр зі вставками МВМ 250-275мм з паспортом")</f>
        <v>Мікрометр зі вставками МВМ 250-275мм з паспортом</v>
      </c>
      <c r="C135" s="59" t="s">
        <v>6</v>
      </c>
      <c r="D135" s="59">
        <v>1</v>
      </c>
      <c r="E135" s="91">
        <v>1600</v>
      </c>
    </row>
    <row r="136" spans="1:5">
      <c r="A136" s="21">
        <f t="shared" si="1"/>
        <v>133</v>
      </c>
      <c r="B136" s="169" t="str">
        <f ca="1">IFERROR(__xludf.DUMMYFUNCTION("GOOGLETRANSLATE(B2608:B2623,""RU"",""UK"")"),"Набір вставок 60* до мікрометра типа МВМ з паспортом (крок 0,4-4мм)")</f>
        <v>Набір вставок 60* до мікрометра типа МВМ з паспортом (крок 0,4-4мм)</v>
      </c>
      <c r="C136" s="59" t="s">
        <v>6</v>
      </c>
      <c r="D136" s="59">
        <v>1</v>
      </c>
      <c r="E136" s="91">
        <v>600</v>
      </c>
    </row>
    <row r="137" spans="1:5">
      <c r="A137" s="21">
        <f t="shared" si="1"/>
        <v>134</v>
      </c>
      <c r="B137" s="85" t="str">
        <f ca="1">IFERROR(__xludf.DUMMYFUNCTION("GOOGLETRANSLATE(B2609:B2624,""RU"",""UK"")"),"Мікрометр зубомірний (нормалемер) МЗ-25 (0-25мм) кл. 2.")</f>
        <v>Мікрометр зубомірний (нормалемер) МЗ-25 (0-25мм) кл. 2.</v>
      </c>
      <c r="C137" s="59" t="s">
        <v>6</v>
      </c>
      <c r="D137" s="59">
        <v>3</v>
      </c>
      <c r="E137" s="91" t="s">
        <v>3456</v>
      </c>
    </row>
    <row r="138" spans="1:5">
      <c r="A138" s="21">
        <f t="shared" si="1"/>
        <v>135</v>
      </c>
      <c r="B138" s="85" t="str">
        <f ca="1">IFERROR(__xludf.DUMMYFUNCTION("GOOGLETRANSLATE(B2609:B2624,""RU"",""UK"")"),"Мікрометр зубомірний (нормалемер) МЗ-25 (0-25мм) кл. 2. мало вживаний")</f>
        <v>Мікрометр зубомірний (нормалемер) МЗ-25 (0-25мм) кл. 2. мало вживаний</v>
      </c>
      <c r="C138" s="59" t="s">
        <v>6</v>
      </c>
      <c r="D138" s="59">
        <v>1</v>
      </c>
      <c r="E138" s="91">
        <v>1100</v>
      </c>
    </row>
    <row r="139" spans="1:5">
      <c r="A139" s="21">
        <f t="shared" si="1"/>
        <v>136</v>
      </c>
      <c r="B139" s="198" t="str">
        <f ca="1">IFERROR(__xludf.DUMMYFUNCTION("GOOGLETRANSLATE(B2610:B2625,""RU"",""UK"")"),"Мікрометр зубомірний інд-ний МЗ 0-20мм 2мкм (0,002мм), ГДР, CARL ZEISS, вживаний")</f>
        <v>Мікрометр зубомірний інд-ний МЗ 0-20мм 2мкм (0,002мм), ГДР, CARL ZEISS, вживаний</v>
      </c>
      <c r="C139" s="59" t="s">
        <v>6</v>
      </c>
      <c r="D139" s="59">
        <v>1</v>
      </c>
      <c r="E139" s="91">
        <v>1500</v>
      </c>
    </row>
    <row r="140" spans="1:5">
      <c r="A140" s="21">
        <f t="shared" si="1"/>
        <v>137</v>
      </c>
      <c r="B140" s="198" t="str">
        <f ca="1">IFERROR(__xludf.DUMMYFUNCTION("GOOGLETRANSLATE(B2610:B2625,""RU"",""UK"")"),"Мікрометр зубомірний інд-ний МЗ 20-45мм 2мкм (0,002мм), ГДР, CARL ZEISS")</f>
        <v>Мікрометр зубомірний інд-ний МЗ 20-45мм 2мкм (0,002мм), ГДР, CARL ZEISS</v>
      </c>
      <c r="C140" s="59" t="s">
        <v>6</v>
      </c>
      <c r="D140" s="59">
        <v>1</v>
      </c>
      <c r="E140" s="91">
        <v>3000</v>
      </c>
    </row>
    <row r="141" spans="1:5">
      <c r="A141" s="21">
        <f t="shared" si="1"/>
        <v>138</v>
      </c>
      <c r="B141" s="169" t="str">
        <f ca="1">IFERROR(__xludf.DUMMYFUNCTION("GOOGLETRANSLATE(B2611:B2626,""RU"",""UK"")"),"Мікрометр зубомірний  (нормалемер) МЗ-50 (25-50мм) кл. 2.")</f>
        <v>Мікрометр зубомірний  (нормалемер) МЗ-50 (25-50мм) кл. 2.</v>
      </c>
      <c r="C141" s="59" t="s">
        <v>6</v>
      </c>
      <c r="D141" s="59">
        <v>1</v>
      </c>
      <c r="E141" s="91">
        <v>2400</v>
      </c>
    </row>
    <row r="142" spans="1:5">
      <c r="A142" s="21">
        <f t="shared" si="1"/>
        <v>139</v>
      </c>
      <c r="B142" s="169" t="str">
        <f ca="1">IFERROR(__xludf.DUMMYFUNCTION("GOOGLETRANSLATE(B2611:B2626,""RU"",""UK"")"),"Мікрометр зубомірний  (нормалемер) МЗ-50 (25-50мм) кл. 2. мало вживаний")</f>
        <v>Мікрометр зубомірний  (нормалемер) МЗ-50 (25-50мм) кл. 2. мало вживаний</v>
      </c>
      <c r="C142" s="59" t="s">
        <v>6</v>
      </c>
      <c r="D142" s="59">
        <v>1</v>
      </c>
      <c r="E142" s="91">
        <v>1500</v>
      </c>
    </row>
    <row r="143" spans="1:5">
      <c r="A143" s="21">
        <f t="shared" si="1"/>
        <v>140</v>
      </c>
      <c r="B143" s="85" t="str">
        <f ca="1">IFERROR(__xludf.DUMMYFUNCTION("GOOGLETRANSLATE(B2612:B2627,""RU"",""UK"")"),"Мікрометр зубомірний  (нормалемер) МЗ-75 (50-75мм) кл. 2.")</f>
        <v>Мікрометр зубомірний  (нормалемер) МЗ-75 (50-75мм) кл. 2.</v>
      </c>
      <c r="C143" s="59" t="s">
        <v>6</v>
      </c>
      <c r="D143" s="59">
        <v>1</v>
      </c>
      <c r="E143" s="91" t="s">
        <v>3325</v>
      </c>
    </row>
    <row r="144" spans="1:5">
      <c r="A144" s="21">
        <f t="shared" si="1"/>
        <v>141</v>
      </c>
      <c r="B144" s="85" t="str">
        <f ca="1">IFERROR(__xludf.DUMMYFUNCTION("GOOGLETRANSLATE(B2612:B2627,""RU"",""UK"")"),"Мікрометр зубомірний  (нормалемер) МЗ-75 (50-75мм) кл. 2. мало вживаний")</f>
        <v>Мікрометр зубомірний  (нормалемер) МЗ-75 (50-75мм) кл. 2. мало вживаний</v>
      </c>
      <c r="C144" s="59" t="s">
        <v>6</v>
      </c>
      <c r="D144" s="59">
        <v>2</v>
      </c>
      <c r="E144" s="91">
        <v>1700</v>
      </c>
    </row>
    <row r="145" spans="1:5">
      <c r="A145" s="21">
        <f t="shared" si="1"/>
        <v>142</v>
      </c>
      <c r="B145" s="85" t="str">
        <f ca="1">IFERROR(__xludf.DUMMYFUNCTION("GOOGLETRANSLATE(B2613:B2628,""RU"",""UK"")"),"Мікрометр зубомірний  (нормалемер) МЗ-100 (75-100мм) кл. 2.")</f>
        <v>Мікрометр зубомірний  (нормалемер) МЗ-100 (75-100мм) кл. 2.</v>
      </c>
      <c r="C145" s="59" t="s">
        <v>6</v>
      </c>
      <c r="D145" s="59">
        <v>3</v>
      </c>
      <c r="E145" s="91" t="s">
        <v>3530</v>
      </c>
    </row>
    <row r="146" spans="1:5">
      <c r="A146" s="21">
        <f t="shared" si="1"/>
        <v>143</v>
      </c>
      <c r="B146" s="85" t="s">
        <v>6365</v>
      </c>
      <c r="C146" s="59" t="s">
        <v>6</v>
      </c>
      <c r="D146" s="59">
        <v>1</v>
      </c>
      <c r="E146" s="91">
        <v>2100</v>
      </c>
    </row>
    <row r="147" spans="1:5">
      <c r="A147" s="21">
        <f t="shared" si="1"/>
        <v>144</v>
      </c>
      <c r="B147" s="85" t="str">
        <f ca="1">IFERROR(__xludf.DUMMYFUNCTION("GOOGLETRANSLATE(B2613:B2628,""RU"",""UK"")"),"Мікрометр зубомірний (нормалемер) МЗ-100 (75-100мм) кл. 2. мало вживаний")</f>
        <v>Мікрометр зубомірний (нормалемер) МЗ-100 (75-100мм) кл. 2. мало вживаний</v>
      </c>
      <c r="C147" s="59" t="s">
        <v>6</v>
      </c>
      <c r="D147" s="59">
        <v>1</v>
      </c>
      <c r="E147" s="91">
        <v>1800</v>
      </c>
    </row>
    <row r="148" spans="1:5">
      <c r="A148" s="21">
        <f t="shared" si="1"/>
        <v>145</v>
      </c>
      <c r="B148" s="200" t="str">
        <f ca="1">IFERROR(__xludf.DUMMYFUNCTION("GOOGLETRANSLATE(B2614:B2629,""RU"",""UK"")"),"Мікрометр важільний МРП-25 (0,001) Ізмерон")</f>
        <v>Мікрометр важільний МРП-25 (0,001) Ізмерон</v>
      </c>
      <c r="C148" s="59" t="s">
        <v>6</v>
      </c>
      <c r="D148" s="59">
        <v>0</v>
      </c>
      <c r="E148" s="91">
        <v>4800</v>
      </c>
    </row>
    <row r="149" spans="1:5">
      <c r="A149" s="21">
        <f t="shared" si="1"/>
        <v>146</v>
      </c>
      <c r="B149" s="85" t="str">
        <f ca="1">IFERROR(__xludf.DUMMYFUNCTION("GOOGLETRANSLATE(B2614:B2629,""RU"",""UK"")"),"Мікрометр важільний МРП-25 (0,001) мало вживан.")</f>
        <v>Мікрометр важільний МРП-25 (0,001) мало вживан.</v>
      </c>
      <c r="C149" s="59" t="s">
        <v>6</v>
      </c>
      <c r="D149" s="59">
        <v>1</v>
      </c>
      <c r="E149" s="91">
        <v>3800</v>
      </c>
    </row>
    <row r="150" spans="1:5">
      <c r="A150" s="21">
        <f t="shared" si="1"/>
        <v>147</v>
      </c>
      <c r="B150" s="85" t="str">
        <f ca="1">IFERROR(__xludf.DUMMYFUNCTION("GOOGLETRANSLATE(B2614:B2629,""RU"",""UK"")"),"Мікрометр важільний МР-25 (0,002) ЛІЗ")</f>
        <v>Мікрометр важільний МР-25 (0,002) ЛІЗ</v>
      </c>
      <c r="C150" s="59" t="s">
        <v>6</v>
      </c>
      <c r="D150" s="59">
        <v>2</v>
      </c>
      <c r="E150" s="91" t="s">
        <v>75</v>
      </c>
    </row>
    <row r="151" spans="1:5">
      <c r="A151" s="21">
        <f t="shared" si="1"/>
        <v>148</v>
      </c>
      <c r="B151" s="85" t="str">
        <f ca="1">IFERROR(__xludf.DUMMYFUNCTION("GOOGLETRANSLATE(B2615:B2630,""RU"",""UK"")"),"Мікрометр важільний МР 0-25 (0,002) вжив.")</f>
        <v>Мікрометр важільний МР 0-25 (0,002) вжив.</v>
      </c>
      <c r="C151" s="37" t="s">
        <v>6</v>
      </c>
      <c r="D151" s="37">
        <v>1</v>
      </c>
      <c r="E151" s="92" t="s">
        <v>71</v>
      </c>
    </row>
    <row r="152" spans="1:5">
      <c r="A152" s="21">
        <f t="shared" si="1"/>
        <v>149</v>
      </c>
      <c r="B152" s="85" t="str">
        <f ca="1">IFERROR(__xludf.DUMMYFUNCTION("GOOGLETRANSLATE(B2614:B2629,""RU"",""UK"")"),"Мікрометр важільний МРП-50 (25-50мм) (0,001) Ізмерон, модель 02121")</f>
        <v>Мікрометр важільний МРП-50 (25-50мм) (0,001) Ізмерон, модель 02121</v>
      </c>
      <c r="C152" s="59" t="s">
        <v>6</v>
      </c>
      <c r="D152" s="59">
        <v>2</v>
      </c>
      <c r="E152" s="91">
        <v>4000</v>
      </c>
    </row>
    <row r="153" spans="1:5">
      <c r="A153" s="21">
        <f t="shared" si="1"/>
        <v>150</v>
      </c>
      <c r="B153" s="85" t="str">
        <f ca="1">IFERROR(__xludf.DUMMYFUNCTION("GOOGLETRANSLATE(B2617:B2632,""RU"",""UK"")"),"Мікрометр важільний МР 25-50 VIS ПНР (0,002)")</f>
        <v>Мікрометр важільний МР 25-50 VIS ПНР (0,002)</v>
      </c>
      <c r="C153" s="37" t="s">
        <v>6</v>
      </c>
      <c r="D153" s="37">
        <v>1</v>
      </c>
      <c r="E153" s="92" t="s">
        <v>10</v>
      </c>
    </row>
    <row r="154" spans="1:5">
      <c r="A154" s="21">
        <f t="shared" si="1"/>
        <v>151</v>
      </c>
      <c r="B154" s="85" t="str">
        <f ca="1">IFERROR(__xludf.DUMMYFUNCTION("GOOGLETRANSLATE(B2618:B2633,""RU"",""UK"")"),"Мікрометр важільний МР 25-50 (0,002) мало вжив.")</f>
        <v>Мікрометр важільний МР 25-50 (0,002) мало вжив.</v>
      </c>
      <c r="C154" s="37" t="s">
        <v>6</v>
      </c>
      <c r="D154" s="37">
        <v>1</v>
      </c>
      <c r="E154" s="92" t="s">
        <v>3536</v>
      </c>
    </row>
    <row r="155" spans="1:5">
      <c r="A155" s="21">
        <f t="shared" si="1"/>
        <v>152</v>
      </c>
      <c r="B155" s="169" t="str">
        <f ca="1">IFERROR(__xludf.DUMMYFUNCTION("GOOGLETRANSLATE(B2619:B2634,""RU"",""UK"")"),"Мікрометр із важелевою головкою МРІ 50-75мм. ЛІЗ (0,005)")</f>
        <v>Мікрометр із важелевою головкою МРІ 50-75мм. ЛІЗ (0,005)</v>
      </c>
      <c r="C155" s="37" t="s">
        <v>6</v>
      </c>
      <c r="D155" s="37">
        <v>1</v>
      </c>
      <c r="E155" s="92" t="s">
        <v>3538</v>
      </c>
    </row>
    <row r="156" spans="1:5">
      <c r="A156" s="21">
        <f t="shared" si="1"/>
        <v>153</v>
      </c>
      <c r="B156" s="85" t="str">
        <f ca="1">IFERROR(__xludf.DUMMYFUNCTION("GOOGLETRANSLATE(B2620:B2635,""RU"",""UK"")"),"Мікрометр важильний МРІ150 (100-125мм) 0.002мм радянський")</f>
        <v>Мікрометр важильний МРІ150 (100-125мм) 0.002мм радянський</v>
      </c>
      <c r="C156" s="59" t="s">
        <v>6</v>
      </c>
      <c r="D156" s="59">
        <v>4</v>
      </c>
      <c r="E156" s="91" t="s">
        <v>948</v>
      </c>
    </row>
    <row r="157" spans="1:5">
      <c r="A157" s="21">
        <f t="shared" si="1"/>
        <v>154</v>
      </c>
      <c r="B157" s="164" t="str">
        <f ca="1">IFERROR(__xludf.DUMMYFUNCTION("GOOGLETRANSLATE(B2621:B2636,""RU"",""UK"")"),"Мікрометр важильний МРІ150 (125-150мм) радянський без індикатора")</f>
        <v>Мікрометр важильний МРІ150 (125-150мм) радянський без індикатора</v>
      </c>
      <c r="C157" s="59" t="s">
        <v>6</v>
      </c>
      <c r="D157" s="59">
        <v>0</v>
      </c>
      <c r="E157" s="91" t="s">
        <v>1086</v>
      </c>
    </row>
    <row r="158" spans="1:5">
      <c r="A158" s="21">
        <f t="shared" si="1"/>
        <v>155</v>
      </c>
      <c r="B158" s="85" t="str">
        <f ca="1">IFERROR(__xludf.DUMMYFUNCTION("GOOGLETRANSLATE(B2620:B2635,""RU"",""UK"")"),"Мікрометр важильний МРІ125 (100-125мм) 0.002мм радянський ")</f>
        <v xml:space="preserve">Мікрометр важильний МРІ125 (100-125мм) 0.002мм радянський </v>
      </c>
      <c r="C158" s="59" t="s">
        <v>6</v>
      </c>
      <c r="D158" s="59">
        <v>3</v>
      </c>
      <c r="E158" s="91" t="s">
        <v>948</v>
      </c>
    </row>
    <row r="159" spans="1:5">
      <c r="A159" s="21">
        <f t="shared" si="1"/>
        <v>156</v>
      </c>
      <c r="B159" s="164" t="str">
        <f ca="1">IFERROR(__xludf.DUMMYFUNCTION("GOOGLETRANSLATE(B2622:B2637,""RU"",""UK"")"),"Мікрометр МРІ 300-400мм")</f>
        <v>Мікрометр МРІ 300-400мм</v>
      </c>
      <c r="C159" s="59" t="s">
        <v>6</v>
      </c>
      <c r="D159" s="59">
        <v>0</v>
      </c>
      <c r="E159" s="91" t="s">
        <v>10</v>
      </c>
    </row>
    <row r="160" spans="1:5">
      <c r="A160" s="21">
        <f t="shared" si="1"/>
        <v>157</v>
      </c>
      <c r="B160" s="85" t="str">
        <f ca="1">IFERROR(__xludf.DUMMYFUNCTION("GOOGLETRANSLATE(B2622:B2637,""RU"",""UK"")"),"Мікрометр важильний МРІ 1000 без індикатора")</f>
        <v>Мікрометр важильний МРІ 1000 без індикатора</v>
      </c>
      <c r="C160" s="59" t="s">
        <v>6</v>
      </c>
      <c r="D160" s="59">
        <v>1</v>
      </c>
      <c r="E160" s="91">
        <v>1400</v>
      </c>
    </row>
    <row r="161" spans="1:5">
      <c r="A161" s="21">
        <f t="shared" ref="A161:A226" si="2">A160+1</f>
        <v>158</v>
      </c>
      <c r="B161" s="169" t="str">
        <f ca="1">IFERROR(__xludf.DUMMYFUNCTION("GOOGLETRANSLATE(B2623:B2638,""RU"",""UK"")"),"Мікрометр призматичний МПИ 25-45мм (0.01мм) для контролю валиків")</f>
        <v>Мікрометр призматичний МПИ 25-45мм (0.01мм) для контролю валиків</v>
      </c>
      <c r="C161" s="59" t="s">
        <v>6</v>
      </c>
      <c r="D161" s="59">
        <v>1</v>
      </c>
      <c r="E161" s="91">
        <v>1800</v>
      </c>
    </row>
    <row r="162" spans="1:5">
      <c r="A162" s="21">
        <f t="shared" si="2"/>
        <v>159</v>
      </c>
      <c r="B162" s="169" t="str">
        <f ca="1">IFERROR(__xludf.DUMMYFUNCTION("GOOGLETRANSLATE(B2623:B2638,""RU"",""UK"")"),"Мікрометр призматичний МТИ 65-80мм (0.01мм) для контролю валиків")</f>
        <v>Мікрометр призматичний МТИ 65-80мм (0.01мм) для контролю валиків</v>
      </c>
      <c r="C162" s="59" t="s">
        <v>6</v>
      </c>
      <c r="D162" s="59">
        <v>1</v>
      </c>
      <c r="E162" s="91">
        <v>1800</v>
      </c>
    </row>
    <row r="163" spans="1:5">
      <c r="A163" s="21">
        <f t="shared" si="2"/>
        <v>160</v>
      </c>
      <c r="B163" s="85" t="str">
        <f ca="1">IFERROR(__xludf.DUMMYFUNCTION("GOOGLETRANSLATE(B2624:B2639,""RU"",""UK"")"),"Стенкомір С10А (0-10мм)")</f>
        <v>Стенкомір С10А (0-10мм)</v>
      </c>
      <c r="C163" s="37" t="s">
        <v>6</v>
      </c>
      <c r="D163" s="37">
        <v>3</v>
      </c>
      <c r="E163" s="91" t="s">
        <v>10</v>
      </c>
    </row>
    <row r="164" spans="1:5">
      <c r="A164" s="21">
        <f t="shared" si="2"/>
        <v>161</v>
      </c>
      <c r="B164" s="85" t="str">
        <f ca="1">IFERROR(__xludf.DUMMYFUNCTION("GOOGLETRANSLATE(B2624:B2639,""RU"",""UK"")"),"Стенкомір С10Б (0-10мм)")</f>
        <v>Стенкомір С10Б (0-10мм)</v>
      </c>
      <c r="C164" s="37" t="s">
        <v>6</v>
      </c>
      <c r="D164" s="37">
        <v>1</v>
      </c>
      <c r="E164" s="91" t="s">
        <v>10</v>
      </c>
    </row>
    <row r="165" spans="1:5">
      <c r="A165" s="21">
        <f t="shared" si="2"/>
        <v>162</v>
      </c>
      <c r="B165" s="85" t="str">
        <f ca="1">IFERROR(__xludf.DUMMYFUNCTION("GOOGLETRANSLATE(B2625:B2640,""RU"",""UK"")"),"Стенкомер С10А (0-10мм) вжив.")</f>
        <v>Стенкомер С10А (0-10мм) вжив.</v>
      </c>
      <c r="C165" s="37" t="s">
        <v>6</v>
      </c>
      <c r="D165" s="37">
        <v>1</v>
      </c>
      <c r="E165" s="91" t="s">
        <v>3545</v>
      </c>
    </row>
    <row r="166" spans="1:5">
      <c r="A166" s="21">
        <f t="shared" si="2"/>
        <v>163</v>
      </c>
      <c r="B166" s="164" t="str">
        <f ca="1">IFERROR(__xludf.DUMMYFUNCTION("GOOGLETRANSLATE(B2626:B2641,""RU"",""UK"")"),"Товщиномір індик. ручний ТР 10-30 (0-10мм), завод КИ")</f>
        <v>Товщиномір індик. ручний ТР 10-30 (0-10мм), завод КИ</v>
      </c>
      <c r="C166" s="37" t="s">
        <v>6</v>
      </c>
      <c r="D166" s="37">
        <v>0</v>
      </c>
      <c r="E166" s="91">
        <v>3500</v>
      </c>
    </row>
    <row r="167" spans="1:5">
      <c r="A167" s="21">
        <f t="shared" si="2"/>
        <v>164</v>
      </c>
      <c r="B167" s="169" t="str">
        <f ca="1">IFERROR(__xludf.DUMMYFUNCTION("GOOGLETRANSLATE(B2626:B2641,""RU"",""UK"")"),"Товщиномір індик. ручний ТР 10-60 (0-10мм)")</f>
        <v>Товщиномір індик. ручний ТР 10-60 (0-10мм)</v>
      </c>
      <c r="C167" s="59" t="s">
        <v>6</v>
      </c>
      <c r="D167" s="59">
        <v>1</v>
      </c>
      <c r="E167" s="91">
        <v>3800</v>
      </c>
    </row>
    <row r="168" spans="1:5">
      <c r="A168" s="21">
        <f t="shared" si="2"/>
        <v>165</v>
      </c>
      <c r="B168" s="169" t="str">
        <f ca="1">IFERROR(__xludf.DUMMYFUNCTION("GOOGLETRANSLATE(B2626:B2641,""RU"",""UK"")"),"Товщиномір індик. ручний ТР 10-60 (0-10мм) вживаний")</f>
        <v>Товщиномір індик. ручний ТР 10-60 (0-10мм) вживаний</v>
      </c>
      <c r="C168" s="59" t="s">
        <v>6</v>
      </c>
      <c r="D168" s="59">
        <v>1</v>
      </c>
      <c r="E168" s="91">
        <v>2500</v>
      </c>
    </row>
    <row r="169" spans="1:5">
      <c r="A169" s="21">
        <f t="shared" si="2"/>
        <v>166</v>
      </c>
      <c r="B169" s="164" t="str">
        <f ca="1">IFERROR(__xludf.DUMMYFUNCTION("GOOGLETRANSLATE(B2627:B2642,""RU"",""UK"")"),"Товщиномір індик. настільний ТН 10-60М (0-10мм)")</f>
        <v>Товщиномір індик. настільний ТН 10-60М (0-10мм)</v>
      </c>
      <c r="C169" s="59" t="s">
        <v>6</v>
      </c>
      <c r="D169" s="59">
        <v>0</v>
      </c>
      <c r="E169" s="91" t="s">
        <v>914</v>
      </c>
    </row>
    <row r="170" spans="1:5">
      <c r="A170" s="21">
        <f t="shared" si="2"/>
        <v>167</v>
      </c>
      <c r="B170" s="85" t="str">
        <f ca="1">IFERROR(__xludf.DUMMYFUNCTION("GOOGLETRANSLATE(B2627:B2642,""RU"",""UK"")"),"Товщиномір індик. настільний ТН 10-60М (0-10мм) без коробки")</f>
        <v>Товщиномір індик. настільний ТН 10-60М (0-10мм) без коробки</v>
      </c>
      <c r="C170" s="59" t="s">
        <v>6</v>
      </c>
      <c r="D170" s="59">
        <v>1</v>
      </c>
      <c r="E170" s="91">
        <v>2200</v>
      </c>
    </row>
    <row r="171" spans="1:5">
      <c r="A171" s="21">
        <f t="shared" si="2"/>
        <v>168</v>
      </c>
      <c r="B171" s="85" t="str">
        <f ca="1">IFERROR(__xludf.DUMMYFUNCTION("GOOGLETRANSLATE(B2627:B2642,""RU"",""UK"")"),"Товщиномір індик. настільний ТН 10-60М (0-10мм) мало вживан.")</f>
        <v>Товщиномір індик. настільний ТН 10-60М (0-10мм) мало вживан.</v>
      </c>
      <c r="C171" s="59" t="s">
        <v>6</v>
      </c>
      <c r="D171" s="59">
        <v>2</v>
      </c>
      <c r="E171" s="91">
        <v>2000</v>
      </c>
    </row>
    <row r="172" spans="1:5">
      <c r="A172" s="21">
        <f t="shared" si="2"/>
        <v>169</v>
      </c>
      <c r="B172" s="85" t="str">
        <f ca="1">IFERROR(__xludf.DUMMYFUNCTION("GOOGLETRANSLATE(B2627:B2642,""RU"",""UK"")"),"Товщиномір індик. настільний ТН 10-60М (0-10мм) вживан.")</f>
        <v>Товщиномір індик. настільний ТН 10-60М (0-10мм) вживан.</v>
      </c>
      <c r="C172" s="59" t="s">
        <v>6</v>
      </c>
      <c r="D172" s="59">
        <v>1</v>
      </c>
      <c r="E172" s="91">
        <v>1200</v>
      </c>
    </row>
    <row r="173" spans="1:5">
      <c r="A173" s="21">
        <f t="shared" si="2"/>
        <v>170</v>
      </c>
      <c r="B173" s="85" t="str">
        <f ca="1">IFERROR(__xludf.DUMMYFUNCTION("GOOGLETRANSLATE(B2626:B2641,""RU"",""UK"")"),"Товщиномір індик. ручний ТР 25-50 (0-25мм) завод Металлист")</f>
        <v>Товщиномір індик. ручний ТР 25-50 (0-25мм) завод Металлист</v>
      </c>
      <c r="C173" s="59" t="s">
        <v>6</v>
      </c>
      <c r="D173" s="59">
        <v>1</v>
      </c>
      <c r="E173" s="91">
        <v>3600</v>
      </c>
    </row>
    <row r="174" spans="1:5">
      <c r="A174" s="21">
        <f t="shared" si="2"/>
        <v>171</v>
      </c>
      <c r="B174" s="164" t="str">
        <f ca="1">IFERROR(__xludf.DUMMYFUNCTION("GOOGLETRANSLATE(B2628:B2643,""RU"",""UK"")"),"Товщиномір індик. ручний ТР 25-60Б (0-25мм)")</f>
        <v>Товщиномір індик. ручний ТР 25-60Б (0-25мм)</v>
      </c>
      <c r="C174" s="59" t="s">
        <v>6</v>
      </c>
      <c r="D174" s="59">
        <v>0</v>
      </c>
      <c r="E174" s="91">
        <v>4200</v>
      </c>
    </row>
    <row r="175" spans="1:5">
      <c r="A175" s="21">
        <f t="shared" si="2"/>
        <v>172</v>
      </c>
      <c r="B175" s="164" t="str">
        <f ca="1">IFERROR(__xludf.DUMMYFUNCTION("GOOGLETRANSLATE(B2629:B2644,""RU"",""UK"")"),"Товщиномір індик. ручний ТР 25-100Б (0-25мм)")</f>
        <v>Товщиномір індик. ручний ТР 25-100Б (0-25мм)</v>
      </c>
      <c r="C175" s="59" t="s">
        <v>6</v>
      </c>
      <c r="D175" s="59">
        <v>0</v>
      </c>
      <c r="E175" s="91">
        <v>3800</v>
      </c>
    </row>
    <row r="176" spans="1:5">
      <c r="A176" s="21">
        <f t="shared" si="2"/>
        <v>173</v>
      </c>
      <c r="B176" s="85" t="str">
        <f ca="1">IFERROR(__xludf.DUMMYFUNCTION("GOOGLETRANSLATE(B2631:B2646,""RU"",""UK"")"),"Товщиномір індик. ручний ТР 50-160Б (0-50мм)")</f>
        <v>Товщиномір індик. ручний ТР 50-160Б (0-50мм)</v>
      </c>
      <c r="C176" s="37" t="s">
        <v>6</v>
      </c>
      <c r="D176" s="37">
        <v>4</v>
      </c>
      <c r="E176" s="92">
        <v>4500</v>
      </c>
    </row>
    <row r="177" spans="1:5">
      <c r="A177" s="21">
        <f t="shared" si="2"/>
        <v>174</v>
      </c>
      <c r="B177" s="85" t="str">
        <f ca="1">IFERROR(__xludf.DUMMYFUNCTION("GOOGLETRANSLATE(B2631:B2646,""RU"",""UK"")"),"Товщиномір індик. ручний ТР 50-160Б (0-50мм) без коробки")</f>
        <v>Товщиномір індик. ручний ТР 50-160Б (0-50мм) без коробки</v>
      </c>
      <c r="C177" s="37" t="s">
        <v>6</v>
      </c>
      <c r="D177" s="37">
        <v>1</v>
      </c>
      <c r="E177" s="92">
        <v>3500</v>
      </c>
    </row>
    <row r="178" spans="1:5">
      <c r="A178" s="21">
        <f t="shared" si="2"/>
        <v>175</v>
      </c>
      <c r="B178" s="217" t="str">
        <f ca="1">IFERROR(__xludf.DUMMYFUNCTION("GOOGLETRANSLATE(B2632:B2647,""RU"",""UK"")"),"Нормалемір БВ 5045-В (предел ізмереній дліни нормалі 0-120мм) (0,01) мало вживаний, без паспорта")</f>
        <v>Нормалемір БВ 5045-В (предел ізмереній дліни нормалі 0-120мм) (0,01) мало вживаний, без паспорта</v>
      </c>
      <c r="C178" s="37" t="s">
        <v>6</v>
      </c>
      <c r="D178" s="37">
        <v>0</v>
      </c>
      <c r="E178" s="92">
        <v>2500</v>
      </c>
    </row>
    <row r="179" spans="1:5">
      <c r="A179" s="21">
        <f t="shared" si="2"/>
        <v>176</v>
      </c>
      <c r="B179" s="200" t="str">
        <f ca="1">IFERROR(__xludf.DUMMYFUNCTION("GOOGLETRANSLATE(B2632:B2647,""RU"",""UK"")"),"Нормалемір БВ 5046 (предел ізмереній дліни нормалі 50-300мм) (0,01) без паспорта")</f>
        <v>Нормалемір БВ 5046 (предел ізмереній дліни нормалі 50-300мм) (0,01) без паспорта</v>
      </c>
      <c r="C179" s="37" t="s">
        <v>6</v>
      </c>
      <c r="D179" s="37">
        <v>0</v>
      </c>
      <c r="E179" s="92">
        <v>2600</v>
      </c>
    </row>
    <row r="180" spans="1:5">
      <c r="A180" s="21">
        <f t="shared" si="2"/>
        <v>177</v>
      </c>
      <c r="B180" s="85" t="str">
        <f ca="1">IFERROR(__xludf.DUMMYFUNCTION("GOOGLETRANSLATE(B2633:B2648,""RU"",""UK"")"),"Скоба ідикаторна СІ 50-3")</f>
        <v>Скоба ідикаторна СІ 50-3</v>
      </c>
      <c r="C180" s="59" t="s">
        <v>6</v>
      </c>
      <c r="D180" s="59">
        <v>4</v>
      </c>
      <c r="E180" s="91">
        <v>1260</v>
      </c>
    </row>
    <row r="181" spans="1:5">
      <c r="A181" s="21">
        <f t="shared" si="2"/>
        <v>178</v>
      </c>
      <c r="B181" s="85" t="str">
        <f ca="1">IFERROR(__xludf.DUMMYFUNCTION("GOOGLETRANSLATE(B2634:B2649,""RU"",""UK"")"),"Скоба ідикаторна СІ 100-200")</f>
        <v>Скоба ідикаторна СІ 100-200</v>
      </c>
      <c r="C181" s="59" t="s">
        <v>6</v>
      </c>
      <c r="D181" s="59">
        <v>2</v>
      </c>
      <c r="E181" s="91" t="s">
        <v>71</v>
      </c>
    </row>
    <row r="182" spans="1:5">
      <c r="A182" s="21">
        <f t="shared" si="2"/>
        <v>179</v>
      </c>
      <c r="B182" s="169" t="str">
        <f ca="1">IFERROR(__xludf.DUMMYFUNCTION("GOOGLETRANSLATE(B2635:B2650,""RU"",""UK"")"),"Скоба важільна з відліковим пристроєм СР-25 (0-25) 0,002 ЛІЗ мало вжив.")</f>
        <v>Скоба важільна з відліковим пристроєм СР-25 (0-25) 0,002 ЛІЗ мало вжив.</v>
      </c>
      <c r="C182" s="37" t="s">
        <v>6</v>
      </c>
      <c r="D182" s="37">
        <v>1</v>
      </c>
      <c r="E182" s="92">
        <v>1600</v>
      </c>
    </row>
    <row r="183" spans="1:5">
      <c r="A183" s="21">
        <f t="shared" si="2"/>
        <v>180</v>
      </c>
      <c r="B183" s="85" t="str">
        <f ca="1">IFERROR(__xludf.DUMMYFUNCTION("GOOGLETRANSLATE(B2636:B2651,""RU"",""UK"")"),"Скоба важільна з відліковим пристроєм СР-25 (0-25) 0,002 ЛІЗ вжив.")</f>
        <v>Скоба важільна з відліковим пристроєм СР-25 (0-25) 0,002 ЛІЗ вжив.</v>
      </c>
      <c r="C183" s="37" t="s">
        <v>6</v>
      </c>
      <c r="D183" s="37">
        <v>1</v>
      </c>
      <c r="E183" s="92" t="s">
        <v>80</v>
      </c>
    </row>
    <row r="184" spans="1:5">
      <c r="A184" s="21">
        <f t="shared" si="2"/>
        <v>181</v>
      </c>
      <c r="B184" s="169" t="str">
        <f ca="1">IFERROR(__xludf.DUMMYFUNCTION("GOOGLETRANSLATE(B2636:B2651,""RU"",""UK"")"),"Скоба важільна з відліковим пристроєм СРП-25 (0-25) 0,001 підвищ. Точн., ЛІЗ вживана")</f>
        <v>Скоба важільна з відліковим пристроєм СРП-25 (0-25) 0,001 підвищ. Точн., ЛІЗ вживана</v>
      </c>
      <c r="C184" s="37" t="s">
        <v>6</v>
      </c>
      <c r="D184" s="37">
        <v>1</v>
      </c>
      <c r="E184" s="92">
        <v>2500</v>
      </c>
    </row>
    <row r="185" spans="1:5">
      <c r="A185" s="21">
        <f t="shared" si="2"/>
        <v>182</v>
      </c>
      <c r="B185" s="85" t="str">
        <f ca="1">IFERROR(__xludf.DUMMYFUNCTION("GOOGLETRANSLATE(B2637:B2652,""RU"",""UK"")"),"Скоба важільна з відліковим пристроєм СР-50 (25-50) 0,002 ЛІЗ")</f>
        <v>Скоба важільна з відліковим пристроєм СР-50 (25-50) 0,002 ЛІЗ</v>
      </c>
      <c r="C185" s="37" t="s">
        <v>6</v>
      </c>
      <c r="D185" s="37">
        <v>2</v>
      </c>
      <c r="E185" s="92" t="s">
        <v>3559</v>
      </c>
    </row>
    <row r="186" spans="1:5">
      <c r="A186" s="21">
        <f t="shared" si="2"/>
        <v>183</v>
      </c>
      <c r="B186" s="200" t="str">
        <f ca="1">IFERROR(__xludf.DUMMYFUNCTION("GOOGLETRANSLATE(B2638:B2653,""RU"",""UK"")"),"Скоба важільна з відліковим пристроєм СР-50 (25-50) 0,002 ЛІЗ мало вжив.")</f>
        <v>Скоба важільна з відліковим пристроєм СР-50 (25-50) 0,002 ЛІЗ мало вжив.</v>
      </c>
      <c r="C186" s="37" t="s">
        <v>6</v>
      </c>
      <c r="D186" s="37">
        <v>0</v>
      </c>
      <c r="E186" s="92" t="s">
        <v>3371</v>
      </c>
    </row>
    <row r="187" spans="1:5">
      <c r="A187" s="21">
        <f t="shared" si="2"/>
        <v>184</v>
      </c>
      <c r="B187" s="85" t="str">
        <f ca="1">IFERROR(__xludf.DUMMYFUNCTION("GOOGLETRANSLATE(B2640:B2655,""RU"",""UK"")"),"Скоба важільна з відліковим пристроєм СР-50 (25-50) 0,002 VIS ПНР мало вжив.")</f>
        <v>Скоба важільна з відліковим пристроєм СР-50 (25-50) 0,002 VIS ПНР мало вжив.</v>
      </c>
      <c r="C187" s="37" t="s">
        <v>6</v>
      </c>
      <c r="D187" s="37">
        <v>1</v>
      </c>
      <c r="E187" s="92" t="s">
        <v>3563</v>
      </c>
    </row>
    <row r="188" spans="1:5">
      <c r="A188" s="21">
        <f t="shared" si="2"/>
        <v>185</v>
      </c>
      <c r="B188" s="200" t="str">
        <f ca="1">IFERROR(__xludf.DUMMYFUNCTION("GOOGLETRANSLATE(B2641:B2656,""RU"",""UK"")"),"Скоба важільна з відліковим устр. підвищення. точності СРП-50 (25-50) 0,001 ЛІЗ")</f>
        <v>Скоба важільна з відліковим устр. підвищення. точності СРП-50 (25-50) 0,001 ЛІЗ</v>
      </c>
      <c r="C188" s="37" t="s">
        <v>6</v>
      </c>
      <c r="D188" s="37">
        <v>0</v>
      </c>
      <c r="E188" s="92">
        <v>4000</v>
      </c>
    </row>
    <row r="189" spans="1:5">
      <c r="A189" s="21">
        <f t="shared" si="2"/>
        <v>186</v>
      </c>
      <c r="B189" s="164" t="str">
        <f ca="1">IFERROR(__xludf.DUMMYFUNCTION("GOOGLETRANSLATE(B2642:B2657,""RU"",""UK"")"),"Скоба важільна з відліковим устр. підвищення. точності СРП-50 (25-50) 0,001 ЛІЗ вжив.")</f>
        <v>Скоба важільна з відліковим устр. підвищення. точності СРП-50 (25-50) 0,001 ЛІЗ вжив.</v>
      </c>
      <c r="C189" s="37" t="s">
        <v>6</v>
      </c>
      <c r="D189" s="37">
        <v>0</v>
      </c>
      <c r="E189" s="92">
        <v>2200</v>
      </c>
    </row>
    <row r="190" spans="1:5">
      <c r="A190" s="21">
        <f t="shared" si="2"/>
        <v>187</v>
      </c>
      <c r="B190" s="169" t="str">
        <f ca="1">IFERROR(__xludf.DUMMYFUNCTION("GOOGLETRANSLATE(B2641:B2656,""RU"",""UK"")"),"Скоба важільна з відліковим устр. підвищення. точності СРП-75 (50-75) 0,001 ЛІЗ")</f>
        <v>Скоба важільна з відліковим устр. підвищення. точності СРП-75 (50-75) 0,001 ЛІЗ</v>
      </c>
      <c r="C190" s="37" t="s">
        <v>6</v>
      </c>
      <c r="D190" s="37">
        <v>1</v>
      </c>
      <c r="E190" s="92">
        <v>4000</v>
      </c>
    </row>
    <row r="191" spans="1:5">
      <c r="A191" s="21">
        <f t="shared" si="2"/>
        <v>188</v>
      </c>
      <c r="B191" s="85" t="str">
        <f ca="1">IFERROR(__xludf.DUMMYFUNCTION("GOOGLETRANSLATE(B2643:B2658,""RU"",""UK"")"),"Скоба важільна з відліковим пристроєм СР-75 (50-75) 0,002 ЛІЗ")</f>
        <v>Скоба важільна з відліковим пристроєм СР-75 (50-75) 0,002 ЛІЗ</v>
      </c>
      <c r="C191" s="37" t="s">
        <v>6</v>
      </c>
      <c r="D191" s="37">
        <v>2</v>
      </c>
      <c r="E191" s="92" t="s">
        <v>38</v>
      </c>
    </row>
    <row r="192" spans="1:5">
      <c r="A192" s="21">
        <f t="shared" si="2"/>
        <v>189</v>
      </c>
      <c r="B192" s="195" t="s">
        <v>6259</v>
      </c>
      <c r="C192" s="37" t="s">
        <v>6</v>
      </c>
      <c r="D192" s="37">
        <v>1</v>
      </c>
      <c r="E192" s="92">
        <v>2200</v>
      </c>
    </row>
    <row r="193" spans="1:5">
      <c r="A193" s="21">
        <f t="shared" si="2"/>
        <v>190</v>
      </c>
      <c r="B193" s="85" t="str">
        <f ca="1">IFERROR(__xludf.DUMMYFUNCTION("GOOGLETRANSLATE(B2638:B2653,""RU"",""UK"")"),"Скоба важільна з відліковим пристроєм СР-100 (75-100) 0,002 ЛІЗ мало вжив.")</f>
        <v>Скоба важільна з відліковим пристроєм СР-100 (75-100) 0,002 ЛІЗ мало вжив.</v>
      </c>
      <c r="C193" s="37" t="s">
        <v>6</v>
      </c>
      <c r="D193" s="37">
        <v>1</v>
      </c>
      <c r="E193" s="92">
        <v>1800</v>
      </c>
    </row>
    <row r="194" spans="1:5">
      <c r="A194" s="21">
        <f t="shared" si="2"/>
        <v>191</v>
      </c>
      <c r="B194" s="85" t="str">
        <f ca="1">IFERROR(__xludf.DUMMYFUNCTION("GOOGLETRANSLATE(B2638:B2653,""RU"",""UK"")"),"Скоба важільна з відліковим пристроєм СР-100 (75-100) 0,002, CARL ZEISS, на кансервац.")</f>
        <v>Скоба важільна з відліковим пристроєм СР-100 (75-100) 0,002, CARL ZEISS, на кансервац.</v>
      </c>
      <c r="C194" s="37" t="s">
        <v>6</v>
      </c>
      <c r="D194" s="37">
        <v>1</v>
      </c>
      <c r="E194" s="92">
        <v>3500</v>
      </c>
    </row>
    <row r="195" spans="1:5">
      <c r="A195" s="21">
        <f t="shared" si="2"/>
        <v>192</v>
      </c>
      <c r="B195" s="85" t="str">
        <f ca="1">IFERROR(__xludf.DUMMYFUNCTION("GOOGLETRANSLATE(B2645:B2660,""RU"",""UK"")"),"Скоба важільна з відліковим пристроєм СР-100 (100-125) 0,002 ЛІЗ")</f>
        <v>Скоба важільна з відліковим пристроєм СР-100 (100-125) 0,002 ЛІЗ</v>
      </c>
      <c r="C195" s="37" t="s">
        <v>6</v>
      </c>
      <c r="D195" s="37">
        <v>1</v>
      </c>
      <c r="E195" s="92">
        <v>2700</v>
      </c>
    </row>
    <row r="196" spans="1:5">
      <c r="A196" s="21">
        <f t="shared" si="2"/>
        <v>193</v>
      </c>
      <c r="B196" s="85" t="str">
        <f ca="1">IFERROR(__xludf.DUMMYFUNCTION("GOOGLETRANSLATE(B2645:B2660,""RU"",""UK"")"),"Скоба важільна з відліковим пристроєм СР-100 (100-125) 0,005 ЛІЗ мало вжив.")</f>
        <v>Скоба важільна з відліковим пристроєм СР-100 (100-125) 0,005 ЛІЗ мало вжив.</v>
      </c>
      <c r="C196" s="37" t="s">
        <v>6</v>
      </c>
      <c r="D196" s="37">
        <v>1</v>
      </c>
      <c r="E196" s="92" t="s">
        <v>3366</v>
      </c>
    </row>
    <row r="197" spans="1:5">
      <c r="A197" s="21">
        <f t="shared" si="2"/>
        <v>194</v>
      </c>
      <c r="B197" s="164" t="str">
        <f ca="1">IFERROR(__xludf.DUMMYFUNCTION("GOOGLETRANSLATE(B2645:B2660,""RU"",""UK"")"),"Скоба важільна з відліковим пристроєм СР-125 (125-150) 0,002 ЛІЗ")</f>
        <v>Скоба важільна з відліковим пристроєм СР-125 (125-150) 0,002 ЛІЗ</v>
      </c>
      <c r="C197" s="37" t="s">
        <v>6</v>
      </c>
      <c r="D197" s="37">
        <v>0</v>
      </c>
      <c r="E197" s="92" t="s">
        <v>3366</v>
      </c>
    </row>
    <row r="198" spans="1:5">
      <c r="A198" s="21">
        <f t="shared" si="2"/>
        <v>195</v>
      </c>
      <c r="B198" s="85" t="str">
        <f ca="1">IFERROR(__xludf.DUMMYFUNCTION("GOOGLETRANSLATE(B2647:B2662,""RU"",""UK"")"),"Стійка-штатив L-200мм")</f>
        <v>Стійка-штатив L-200мм</v>
      </c>
      <c r="C198" s="59" t="s">
        <v>6</v>
      </c>
      <c r="D198" s="59">
        <v>2</v>
      </c>
      <c r="E198" s="91" t="s">
        <v>10</v>
      </c>
    </row>
    <row r="199" spans="1:5">
      <c r="A199" s="21">
        <f t="shared" si="2"/>
        <v>196</v>
      </c>
      <c r="B199" s="85" t="str">
        <f ca="1">IFERROR(__xludf.DUMMYFUNCTION("GOOGLETRANSLATE(B2647:B2662,""RU"",""UK"")"),"Стійка-штатив L-300мм")</f>
        <v>Стійка-штатив L-300мм</v>
      </c>
      <c r="C199" s="59" t="s">
        <v>6</v>
      </c>
      <c r="D199" s="59">
        <v>4</v>
      </c>
      <c r="E199" s="91" t="s">
        <v>10</v>
      </c>
    </row>
    <row r="200" spans="1:5">
      <c r="A200" s="21">
        <f t="shared" si="2"/>
        <v>197</v>
      </c>
      <c r="B200" s="164" t="str">
        <f ca="1">IFERROR(__xludf.DUMMYFUNCTION("GOOGLETRANSLATE(B2648:B2663,""RU"",""UK"")"),"Стійка-штатив індик. С-III М8-50-1 з гол. ИЧ10")</f>
        <v>Стійка-штатив індик. С-III М8-50-1 з гол. ИЧ10</v>
      </c>
      <c r="C200" s="59" t="s">
        <v>6</v>
      </c>
      <c r="D200" s="59">
        <v>0</v>
      </c>
      <c r="E200" s="91">
        <v>3200</v>
      </c>
    </row>
    <row r="201" spans="1:5">
      <c r="A201" s="21">
        <f t="shared" si="2"/>
        <v>198</v>
      </c>
      <c r="B201" s="169" t="str">
        <f ca="1">IFERROR(__xludf.DUMMYFUNCTION("GOOGLETRANSLATE(B2648:B2663,""RU"",""UK"")"),"Стійка-штатив індик. С-III М8-50-1 без гол. ИЧ10")</f>
        <v>Стійка-штатив індик. С-III М8-50-1 без гол. ИЧ10</v>
      </c>
      <c r="C201" s="59" t="s">
        <v>6</v>
      </c>
      <c r="D201" s="59">
        <v>1</v>
      </c>
      <c r="E201" s="91">
        <v>2400</v>
      </c>
    </row>
    <row r="202" spans="1:5">
      <c r="A202" s="21">
        <f t="shared" si="2"/>
        <v>199</v>
      </c>
      <c r="B202" s="169" t="str">
        <f ca="1">IFERROR(__xludf.DUMMYFUNCTION("GOOGLETRANSLATE(B2648:B2663,""RU"",""UK"")"),"Стійка-штатив індик. С4-М-8-160х100  без індікатора, паспорта, ящика")</f>
        <v>Стійка-штатив індик. С4-М-8-160х100  без індікатора, паспорта, ящика</v>
      </c>
      <c r="C202" s="59" t="s">
        <v>6</v>
      </c>
      <c r="D202" s="59">
        <v>2</v>
      </c>
      <c r="E202" s="91">
        <v>2500</v>
      </c>
    </row>
    <row r="203" spans="1:5">
      <c r="A203" s="21">
        <f t="shared" si="2"/>
        <v>200</v>
      </c>
      <c r="B203" s="85" t="str">
        <f ca="1">IFERROR(__xludf.DUMMYFUNCTION("GOOGLETRANSLATE(B2649:B2664,""RU"",""UK"")"),"Стійка для вимірювальних голівок. Тип С-I")</f>
        <v>Стійка для вимірювальних голівок. Тип С-I</v>
      </c>
      <c r="C203" s="59" t="s">
        <v>6</v>
      </c>
      <c r="D203" s="59">
        <v>2</v>
      </c>
      <c r="E203" s="91" t="s">
        <v>3575</v>
      </c>
    </row>
    <row r="204" spans="1:5">
      <c r="A204" s="21">
        <f t="shared" si="2"/>
        <v>201</v>
      </c>
      <c r="B204" s="85" t="str">
        <f ca="1">IFERROR(__xludf.DUMMYFUNCTION("GOOGLETRANSLATE(B2649:B2664,""RU"",""UK"")"),"Стійка для вимірювальних голівок. Тип С-I (модель 07101 d70мм)")</f>
        <v>Стійка для вимірювальних голівок. Тип С-I (модель 07101 d70мм)</v>
      </c>
      <c r="C204" s="59" t="s">
        <v>6</v>
      </c>
      <c r="D204" s="59">
        <v>1</v>
      </c>
      <c r="E204" s="91">
        <v>3600</v>
      </c>
    </row>
    <row r="205" spans="1:5">
      <c r="A205" s="21">
        <f t="shared" si="2"/>
        <v>202</v>
      </c>
      <c r="B205" s="85" t="str">
        <f ca="1">IFERROR(__xludf.DUMMYFUNCTION("GOOGLETRANSLATE(B2650:B2665,""RU"",""UK"")"),"Стійка для вимірювальних голівок. Тип С-2")</f>
        <v>Стійка для вимірювальних голівок. Тип С-2</v>
      </c>
      <c r="C205" s="59" t="s">
        <v>6</v>
      </c>
      <c r="D205" s="59">
        <v>3</v>
      </c>
      <c r="E205" s="91" t="s">
        <v>84</v>
      </c>
    </row>
    <row r="206" spans="1:5">
      <c r="A206" s="21">
        <f t="shared" si="2"/>
        <v>203</v>
      </c>
      <c r="B206" s="85" t="str">
        <f ca="1">IFERROR(__xludf.DUMMYFUNCTION("GOOGLETRANSLATE(B2652:B2667,""RU"",""UK"")"),"Штатив Ш-ІІ Н 200мм")</f>
        <v>Штатив Ш-ІІ Н 200мм</v>
      </c>
      <c r="C206" s="59" t="s">
        <v>6</v>
      </c>
      <c r="D206" s="59">
        <v>4</v>
      </c>
      <c r="E206" s="91" t="s">
        <v>10</v>
      </c>
    </row>
    <row r="207" spans="1:5">
      <c r="A207" s="21">
        <f t="shared" si="2"/>
        <v>204</v>
      </c>
      <c r="B207" s="85" t="str">
        <f ca="1">IFERROR(__xludf.DUMMYFUNCTION("GOOGLETRANSLATE(B2653:B2668,""RU"",""UK"")"),"Штатив індик. магнітна ШМ-III (200мм) з індикатором")</f>
        <v>Штатив індик. магнітна ШМ-III (200мм) з індикатором</v>
      </c>
      <c r="C207" s="59" t="s">
        <v>6</v>
      </c>
      <c r="D207" s="59">
        <v>2</v>
      </c>
      <c r="E207" s="91" t="s">
        <v>3580</v>
      </c>
    </row>
    <row r="208" spans="1:5">
      <c r="A208" s="21">
        <f t="shared" si="2"/>
        <v>205</v>
      </c>
      <c r="B208" s="169" t="str">
        <f ca="1">IFERROR(__xludf.DUMMYFUNCTION("GOOGLETRANSLATE(B2654:B2669,""RU"",""UK"")"),"Штатив індик. магнітна ШМ-IIН-8 (250мм) ціна поділу 0,01мм, з індикатором")</f>
        <v>Штатив індик. магнітна ШМ-IIН-8 (250мм) ціна поділу 0,01мм, з індикатором</v>
      </c>
      <c r="C208" s="37" t="s">
        <v>6</v>
      </c>
      <c r="D208" s="37">
        <v>1</v>
      </c>
      <c r="E208" s="92">
        <v>4600</v>
      </c>
    </row>
    <row r="209" spans="1:5">
      <c r="A209" s="21">
        <f t="shared" si="2"/>
        <v>206</v>
      </c>
      <c r="B209" s="169" t="str">
        <f ca="1">IFERROR(__xludf.DUMMYFUNCTION("GOOGLETRANSLATE(B2654:B2669,""RU"",""UK"")"),"Штатив індик. магнітна ШМ-IIН-8 (250мм) без індикатора, вживана")</f>
        <v>Штатив індик. магнітна ШМ-IIН-8 (250мм) без індикатора, вживана</v>
      </c>
      <c r="C209" s="37" t="s">
        <v>6</v>
      </c>
      <c r="D209" s="37">
        <v>1</v>
      </c>
      <c r="E209" s="92">
        <v>2500</v>
      </c>
    </row>
    <row r="210" spans="1:5">
      <c r="A210" s="21">
        <f t="shared" si="2"/>
        <v>207</v>
      </c>
      <c r="B210" s="164" t="str">
        <f ca="1">IFERROR(__xludf.DUMMYFUNCTION("GOOGLETRANSLATE(B2654:B2669,""RU"",""UK"")"),"Штатив індик. магнітна ШМ-250мм  COMEG з індикатором DDR(ГДР) 0,001мм, вживана ")</f>
        <v xml:space="preserve">Штатив індик. магнітна ШМ-250мм  COMEG з індикатором DDR(ГДР) 0,001мм, вживана </v>
      </c>
      <c r="C210" s="37" t="s">
        <v>6</v>
      </c>
      <c r="D210" s="37">
        <v>0</v>
      </c>
      <c r="E210" s="92">
        <v>3900</v>
      </c>
    </row>
    <row r="211" spans="1:5">
      <c r="A211" s="21">
        <f t="shared" si="2"/>
        <v>208</v>
      </c>
      <c r="B211" s="85" t="str">
        <f ca="1">IFERROR(__xludf.DUMMYFUNCTION("GOOGLETRANSLATE(B2655:B2670,""RU"",""UK"")"),"Штатив Ш-1-8 250мм")</f>
        <v>Штатив Ш-1-8 250мм</v>
      </c>
      <c r="C211" s="59" t="s">
        <v>6</v>
      </c>
      <c r="D211" s="59">
        <v>1</v>
      </c>
      <c r="E211" s="91" t="s">
        <v>38</v>
      </c>
    </row>
    <row r="212" spans="1:5">
      <c r="A212" s="21">
        <f t="shared" si="2"/>
        <v>209</v>
      </c>
      <c r="B212" s="85" t="str">
        <f ca="1">IFERROR(__xludf.DUMMYFUNCTION("GOOGLETRANSLATE(B2656:B2671,""RU"",""UK"")"),"Стійка індик. магнітна гнучка МС-29 (без індикатора)")</f>
        <v>Стійка індик. магнітна гнучка МС-29 (без індикатора)</v>
      </c>
      <c r="C212" s="59" t="s">
        <v>6</v>
      </c>
      <c r="D212" s="59">
        <v>3</v>
      </c>
      <c r="E212" s="91">
        <v>4100</v>
      </c>
    </row>
    <row r="213" spans="1:5">
      <c r="A213" s="21">
        <f t="shared" si="2"/>
        <v>210</v>
      </c>
      <c r="B213" s="85" t="str">
        <f ca="1">IFERROR(__xludf.DUMMYFUNCTION("GOOGLETRANSLATE(B2657:B2672,""RU"",""UK"")"),"Стійка універсальна мод. 15СТ (для мікрометра і тп)")</f>
        <v>Стійка універсальна мод. 15СТ (для мікрометра і тп)</v>
      </c>
      <c r="C213" s="59" t="s">
        <v>6</v>
      </c>
      <c r="D213" s="59">
        <v>8</v>
      </c>
      <c r="E213" s="91">
        <v>1100</v>
      </c>
    </row>
    <row r="214" spans="1:5">
      <c r="A214" s="21">
        <f t="shared" si="2"/>
        <v>211</v>
      </c>
      <c r="B214" s="164" t="str">
        <f ca="1">IFERROR(__xludf.DUMMYFUNCTION("GOOGLETRANSLATE(B2657:B2672,""RU"",""UK"")"),"Стійка універсальна мод. 15СТ (для мікрометра і тп) мало вживана")</f>
        <v>Стійка універсальна мод. 15СТ (для мікрометра і тп) мало вживана</v>
      </c>
      <c r="C214" s="59" t="s">
        <v>6</v>
      </c>
      <c r="D214" s="59">
        <v>0</v>
      </c>
      <c r="E214" s="91">
        <v>700</v>
      </c>
    </row>
    <row r="215" spans="1:5">
      <c r="A215" s="21">
        <f t="shared" si="2"/>
        <v>212</v>
      </c>
      <c r="B215" s="85" t="str">
        <f ca="1">IFERROR(__xludf.DUMMYFUNCTION("GOOGLETRANSLATE(B2657:B2672,""RU"",""UK"")"),"Стійка універсальна для мікрометра, з контрольними ставками до 250мм, вживана")</f>
        <v>Стійка універсальна для мікрометра, з контрольними ставками до 250мм, вживана</v>
      </c>
      <c r="C215" s="59" t="s">
        <v>6</v>
      </c>
      <c r="D215" s="59">
        <v>1</v>
      </c>
      <c r="E215" s="91">
        <v>1900</v>
      </c>
    </row>
    <row r="216" spans="1:5">
      <c r="A216" s="21">
        <f t="shared" si="2"/>
        <v>213</v>
      </c>
      <c r="B216" s="85" t="s">
        <v>6235</v>
      </c>
      <c r="C216" s="59" t="s">
        <v>6</v>
      </c>
      <c r="D216" s="59">
        <v>1</v>
      </c>
      <c r="E216" s="91">
        <v>1700</v>
      </c>
    </row>
    <row r="217" spans="1:5">
      <c r="A217" s="21">
        <f t="shared" si="2"/>
        <v>214</v>
      </c>
      <c r="B217" s="85" t="s">
        <v>6239</v>
      </c>
      <c r="C217" s="59" t="s">
        <v>6</v>
      </c>
      <c r="D217" s="59">
        <v>1</v>
      </c>
      <c r="E217" s="91">
        <v>1800</v>
      </c>
    </row>
    <row r="218" spans="1:5">
      <c r="A218" s="21">
        <f t="shared" si="2"/>
        <v>215</v>
      </c>
      <c r="B218" s="85" t="s">
        <v>6143</v>
      </c>
      <c r="C218" s="59" t="s">
        <v>6</v>
      </c>
      <c r="D218" s="59">
        <v>2</v>
      </c>
      <c r="E218" s="91">
        <v>9500</v>
      </c>
    </row>
    <row r="219" spans="1:5">
      <c r="A219" s="21">
        <f t="shared" si="2"/>
        <v>216</v>
      </c>
      <c r="B219" s="85" t="str">
        <f ca="1">IFERROR(__xludf.DUMMYFUNCTION("GOOGLETRANSLATE(B2658:B2673,""RU"",""UK"")"),"Прилад для контролю кутів різців, тип ПКР (0-90*)")</f>
        <v>Прилад для контролю кутів різців, тип ПКР (0-90*)</v>
      </c>
      <c r="C219" s="59" t="s">
        <v>6</v>
      </c>
      <c r="D219" s="59">
        <v>1</v>
      </c>
      <c r="E219" s="91" t="s">
        <v>1901</v>
      </c>
    </row>
    <row r="220" spans="1:5">
      <c r="A220" s="21">
        <f t="shared" si="2"/>
        <v>217</v>
      </c>
      <c r="B220" s="85" t="str">
        <f ca="1">IFERROR(__xludf.DUMMYFUNCTION("GOOGLETRANSLATE(B2659:B2674,""RU"",""UK"")"),"Прилад для контролю середнього діаметра 3х та 5ти канавоч. мітчиків тип РМ0,4-5 НДР")</f>
        <v>Прилад для контролю середнього діаметра 3х та 5ти канавоч. мітчиків тип РМ0,4-5 НДР</v>
      </c>
      <c r="C220" s="59" t="s">
        <v>6</v>
      </c>
      <c r="D220" s="59">
        <v>1</v>
      </c>
      <c r="E220" s="91" t="s">
        <v>94</v>
      </c>
    </row>
    <row r="221" spans="1:5">
      <c r="A221" s="21">
        <f t="shared" si="2"/>
        <v>218</v>
      </c>
      <c r="B221" s="85" t="str">
        <f ca="1">IFERROR(__xludf.DUMMYFUNCTION("GOOGLETRANSLATE(B2660:B2675,""RU"",""UK"")"),"Прилад для контролю середнього діаметра 3х та 5ти канавоч. мітчиків 3-33мм тип РМ")</f>
        <v>Прилад для контролю середнього діаметра 3х та 5ти канавоч. мітчиків 3-33мм тип РМ</v>
      </c>
      <c r="C221" s="59" t="s">
        <v>6</v>
      </c>
      <c r="D221" s="59">
        <v>1</v>
      </c>
      <c r="E221" s="91" t="s">
        <v>14</v>
      </c>
    </row>
    <row r="222" spans="1:5">
      <c r="A222" s="21">
        <f t="shared" si="2"/>
        <v>219</v>
      </c>
      <c r="B222" s="85" t="str">
        <f ca="1">IFERROR(__xludf.DUMMYFUNCTION("GOOGLETRANSLATE(B2660:B2675,""RU"",""UK"")"),"Прилад для контролю середнього діаметра 3х та 5ти канавоч. мітчиків 3-33мм тип РМ вжив")</f>
        <v>Прилад для контролю середнього діаметра 3х та 5ти канавоч. мітчиків 3-33мм тип РМ вжив</v>
      </c>
      <c r="C222" s="59" t="s">
        <v>6</v>
      </c>
      <c r="D222" s="59">
        <v>1</v>
      </c>
      <c r="E222" s="91">
        <v>2300</v>
      </c>
    </row>
    <row r="223" spans="1:5">
      <c r="A223" s="21">
        <f t="shared" si="2"/>
        <v>220</v>
      </c>
      <c r="B223" s="85" t="str">
        <f ca="1">IFERROR(__xludf.DUMMYFUNCTION("GOOGLETRANSLATE(B2661:B2676,""RU"",""UK"")"),"Прилад для перевірки виробу на биття ПБМ-200мм ЧІЗ")</f>
        <v>Прилад для перевірки виробу на биття ПБМ-200мм ЧІЗ</v>
      </c>
      <c r="C223" s="59" t="s">
        <v>6</v>
      </c>
      <c r="D223" s="59">
        <v>1</v>
      </c>
      <c r="E223" s="91">
        <v>3800</v>
      </c>
    </row>
    <row r="224" spans="1:5">
      <c r="A224" s="21">
        <f t="shared" si="2"/>
        <v>221</v>
      </c>
      <c r="B224" s="164" t="s">
        <v>6077</v>
      </c>
      <c r="C224" s="59" t="s">
        <v>6</v>
      </c>
      <c r="D224" s="59">
        <v>0</v>
      </c>
      <c r="E224" s="91">
        <v>1300</v>
      </c>
    </row>
    <row r="225" spans="1:5">
      <c r="A225" s="21">
        <f t="shared" si="2"/>
        <v>222</v>
      </c>
      <c r="B225" s="85" t="str">
        <f ca="1">IFERROR(__xludf.DUMMYFUNCTION("GOOGLETRANSLATE(B2662:B2677,""RU"",""UK"")"),"Центрошукач ""Калібр"" конус КМ5 з індикатором ИЧ10 мало вжив.")</f>
        <v>Центрошукач "Калібр" конус КМ5 з індикатором ИЧ10 мало вжив.</v>
      </c>
      <c r="C225" s="59" t="s">
        <v>6</v>
      </c>
      <c r="D225" s="59">
        <v>1</v>
      </c>
      <c r="E225" s="91" t="s">
        <v>50</v>
      </c>
    </row>
    <row r="226" spans="1:5">
      <c r="A226" s="21">
        <f t="shared" si="2"/>
        <v>223</v>
      </c>
      <c r="B226" s="169" t="str">
        <f ca="1">IFERROR(__xludf.DUMMYFUNCTION("GOOGLETRANSLATE(B2662:B2677,""RU"",""UK"")"),"Центрошукач, конус КМ3 з індикатором ИЧ10 мало вжив.")</f>
        <v>Центрошукач, конус КМ3 з індикатором ИЧ10 мало вжив.</v>
      </c>
      <c r="C226" s="59" t="s">
        <v>6</v>
      </c>
      <c r="D226" s="59">
        <v>1</v>
      </c>
      <c r="E226" s="91">
        <v>3900</v>
      </c>
    </row>
    <row r="227" spans="1:5">
      <c r="A227" s="21">
        <f t="shared" ref="A227:A229" si="3">A226+1</f>
        <v>224</v>
      </c>
      <c r="B227" s="85" t="str">
        <f ca="1">IFERROR(__xludf.DUMMYFUNCTION("GOOGLETRANSLATE(B2664:B2679,""RU"",""UK"")"),"Центрошукач оптичний ЦО-2 конус КМ4 та ИСО40")</f>
        <v>Центрошукач оптичний ЦО-2 конус КМ4 та ИСО40</v>
      </c>
      <c r="C227" s="59" t="s">
        <v>6</v>
      </c>
      <c r="D227" s="59">
        <v>1</v>
      </c>
      <c r="E227" s="91">
        <v>5500</v>
      </c>
    </row>
    <row r="228" spans="1:5">
      <c r="A228" s="21">
        <f t="shared" si="3"/>
        <v>225</v>
      </c>
      <c r="B228" s="85" t="str">
        <f ca="1">IFERROR(__xludf.DUMMYFUNCTION("GOOGLETRANSLATE(B2664:B2679,""RU"",""UK"")"),"Центрошукач оптичний ЦО-2 КМ4")</f>
        <v>Центрошукач оптичний ЦО-2 КМ4</v>
      </c>
      <c r="C228" s="59" t="s">
        <v>6</v>
      </c>
      <c r="D228" s="59">
        <v>1</v>
      </c>
      <c r="E228" s="91">
        <v>5100</v>
      </c>
    </row>
    <row r="229" spans="1:5">
      <c r="A229" s="21">
        <f t="shared" si="3"/>
        <v>226</v>
      </c>
      <c r="B229" s="85" t="str">
        <f ca="1">IFERROR(__xludf.DUMMYFUNCTION("GOOGLETRANSLATE(B2665:B2680,""RU"",""UK"")"),"Індикатор ІЧ 0-2мм")</f>
        <v>Індикатор ІЧ 0-2мм</v>
      </c>
      <c r="C229" s="59" t="s">
        <v>6</v>
      </c>
      <c r="D229" s="59">
        <v>19</v>
      </c>
      <c r="E229" s="91" t="s">
        <v>27</v>
      </c>
    </row>
    <row r="230" spans="1:5">
      <c r="A230" s="21">
        <f t="shared" ref="A230:A304" si="4">A229+1</f>
        <v>227</v>
      </c>
      <c r="B230" s="85" t="str">
        <f ca="1">IFERROR(__xludf.DUMMYFUNCTION("GOOGLETRANSLATE(B2666:B2681,""RU"",""UK"")"),"Індикатор ІЧ 0-5мм")</f>
        <v>Індикатор ІЧ 0-5мм</v>
      </c>
      <c r="C230" s="59" t="s">
        <v>6</v>
      </c>
      <c r="D230" s="59">
        <v>1</v>
      </c>
      <c r="E230" s="91" t="s">
        <v>33</v>
      </c>
    </row>
    <row r="231" spans="1:5">
      <c r="A231" s="21">
        <f t="shared" si="4"/>
        <v>228</v>
      </c>
      <c r="B231" s="85" t="str">
        <f ca="1">IFERROR(__xludf.DUMMYFUNCTION("GOOGLETRANSLATE(B2667:B2682,""RU"",""UK"")"),"Індикатор ІЧ 0-10мм (0,01) з вушком ")</f>
        <v xml:space="preserve">Індикатор ІЧ 0-10мм (0,01) з вушком </v>
      </c>
      <c r="C231" s="59" t="s">
        <v>6</v>
      </c>
      <c r="D231" s="59">
        <v>40</v>
      </c>
      <c r="E231" s="91" t="s">
        <v>111</v>
      </c>
    </row>
    <row r="232" spans="1:5">
      <c r="A232" s="21">
        <f t="shared" si="4"/>
        <v>229</v>
      </c>
      <c r="B232" s="85" t="str">
        <f ca="1">IFERROR(__xludf.DUMMYFUNCTION("GOOGLETRANSLATE(B2667:B2682,""RU"",""UK"")"),"Індикатор ІЧ 0-10мм (0,01) без вушка")</f>
        <v>Індикатор ІЧ 0-10мм (0,01) без вушка</v>
      </c>
      <c r="C232" s="59" t="s">
        <v>6</v>
      </c>
      <c r="D232" s="59">
        <v>10</v>
      </c>
      <c r="E232" s="91" t="s">
        <v>111</v>
      </c>
    </row>
    <row r="233" spans="1:5">
      <c r="A233" s="21">
        <f t="shared" si="4"/>
        <v>230</v>
      </c>
      <c r="B233" s="85" t="str">
        <f ca="1">IFERROR(__xludf.DUMMYFUNCTION("GOOGLETRANSLATE(B2668:B2683,""RU"",""UK"")"),"Індикатор ІЧ 0-10мм НДР (0,01)")</f>
        <v>Індикатор ІЧ 0-10мм НДР (0,01)</v>
      </c>
      <c r="C233" s="59" t="s">
        <v>6</v>
      </c>
      <c r="D233" s="59">
        <v>9</v>
      </c>
      <c r="E233" s="91" t="s">
        <v>80</v>
      </c>
    </row>
    <row r="234" spans="1:5">
      <c r="A234" s="21">
        <f t="shared" si="4"/>
        <v>231</v>
      </c>
      <c r="B234" s="85" t="str">
        <f ca="1">IFERROR(__xludf.DUMMYFUNCTION("GOOGLETRANSLATE(B2669:B2684,""RU"",""UK"")"),"Індикатор ІЧ 0-10мм НДР (0,01) вжив.")</f>
        <v>Індикатор ІЧ 0-10мм НДР (0,01) вжив.</v>
      </c>
      <c r="C234" s="59" t="s">
        <v>6</v>
      </c>
      <c r="D234" s="59">
        <v>1</v>
      </c>
      <c r="E234" s="91" t="s">
        <v>27</v>
      </c>
    </row>
    <row r="235" spans="1:5">
      <c r="A235" s="21">
        <f t="shared" si="4"/>
        <v>232</v>
      </c>
      <c r="B235" s="85" t="str">
        <f ca="1">IFERROR(__xludf.DUMMYFUNCTION("GOOGLETRANSLATE(B2670:B2685,""RU"",""UK"")"),"Індикатор ІЧ 0-10мм Швейцарія (0,01) d100mm")</f>
        <v>Індикатор ІЧ 0-10мм Швейцарія (0,01) d100mm</v>
      </c>
      <c r="C235" s="59" t="s">
        <v>6</v>
      </c>
      <c r="D235" s="59">
        <v>1</v>
      </c>
      <c r="E235" s="91" t="s">
        <v>71</v>
      </c>
    </row>
    <row r="236" spans="1:5">
      <c r="A236" s="21">
        <f t="shared" si="4"/>
        <v>233</v>
      </c>
      <c r="B236" s="85" t="s">
        <v>6152</v>
      </c>
      <c r="C236" s="59" t="s">
        <v>6</v>
      </c>
      <c r="D236" s="59">
        <v>5</v>
      </c>
      <c r="E236" s="91">
        <v>1250</v>
      </c>
    </row>
    <row r="237" spans="1:5">
      <c r="A237" s="21">
        <f t="shared" si="4"/>
        <v>234</v>
      </c>
      <c r="B237" s="85" t="s">
        <v>6218</v>
      </c>
      <c r="C237" s="59" t="s">
        <v>6</v>
      </c>
      <c r="D237" s="59">
        <v>1</v>
      </c>
      <c r="E237" s="91">
        <v>1550</v>
      </c>
    </row>
    <row r="238" spans="1:5">
      <c r="A238" s="21">
        <f t="shared" si="4"/>
        <v>235</v>
      </c>
      <c r="B238" s="85" t="s">
        <v>6151</v>
      </c>
      <c r="C238" s="59" t="s">
        <v>6</v>
      </c>
      <c r="D238" s="59">
        <v>1</v>
      </c>
      <c r="E238" s="91">
        <v>1250</v>
      </c>
    </row>
    <row r="239" spans="1:5">
      <c r="A239" s="21">
        <f t="shared" si="4"/>
        <v>236</v>
      </c>
      <c r="B239" s="168" t="str">
        <f ca="1">IFERROR(__xludf.DUMMYFUNCTION("GOOGLETRANSLATE(B2671:B2686,""RU"",""UK"")"),"Індикатор ІЧ 0-25мм Кл.0")</f>
        <v>Індикатор ІЧ 0-25мм Кл.0</v>
      </c>
      <c r="C239" s="59" t="s">
        <v>6</v>
      </c>
      <c r="D239" s="59">
        <v>1</v>
      </c>
      <c r="E239" s="91">
        <v>2700</v>
      </c>
    </row>
    <row r="240" spans="1:5">
      <c r="A240" s="21">
        <f t="shared" si="4"/>
        <v>237</v>
      </c>
      <c r="B240" s="200" t="str">
        <f ca="1">IFERROR(__xludf.DUMMYFUNCTION("GOOGLETRANSLATE(B2672:B2687,""RU"",""UK"")"),"Індикатор ІЧ 0-25мм Кл.1")</f>
        <v>Індикатор ІЧ 0-25мм Кл.1</v>
      </c>
      <c r="C240" s="59" t="s">
        <v>6</v>
      </c>
      <c r="D240" s="59">
        <v>0</v>
      </c>
      <c r="E240" s="91">
        <v>2500</v>
      </c>
    </row>
    <row r="241" spans="1:5">
      <c r="A241" s="21">
        <f t="shared" si="4"/>
        <v>238</v>
      </c>
      <c r="B241" s="85" t="str">
        <f ca="1">IFERROR(__xludf.DUMMYFUNCTION("GOOGLETRANSLATE(B2673:B2688,""RU"",""UK"")"),"Індикатор 1ІЧС 0-5мм (0,1)")</f>
        <v>Індикатор 1ІЧС 0-5мм (0,1)</v>
      </c>
      <c r="C241" s="59" t="s">
        <v>6</v>
      </c>
      <c r="D241" s="59">
        <v>1</v>
      </c>
      <c r="E241" s="91" t="s">
        <v>157</v>
      </c>
    </row>
    <row r="242" spans="1:5">
      <c r="A242" s="21">
        <f t="shared" si="4"/>
        <v>239</v>
      </c>
      <c r="B242" s="85" t="str">
        <f ca="1">IFERROR(__xludf.DUMMYFUNCTION("GOOGLETRANSLATE(B2674:B2689,""RU"",""UK"")"),"Індикатор 1ІЧТ")</f>
        <v>Індикатор 1ІЧТ</v>
      </c>
      <c r="C242" s="59" t="s">
        <v>6</v>
      </c>
      <c r="D242" s="59">
        <v>4</v>
      </c>
      <c r="E242" s="91">
        <v>550</v>
      </c>
    </row>
    <row r="243" spans="1:5">
      <c r="A243" s="21">
        <f t="shared" si="4"/>
        <v>240</v>
      </c>
      <c r="B243" s="85" t="str">
        <f ca="1">IFERROR(__xludf.DUMMYFUNCTION("GOOGLETRANSLATE(B2674:B2689,""RU"",""UK"")"),"Індикатор 2ІЧТ")</f>
        <v>Індикатор 2ІЧТ</v>
      </c>
      <c r="C243" s="59" t="s">
        <v>6</v>
      </c>
      <c r="D243" s="59">
        <v>1</v>
      </c>
      <c r="E243" s="91" t="s">
        <v>157</v>
      </c>
    </row>
    <row r="244" spans="1:5">
      <c r="A244" s="21">
        <f t="shared" si="4"/>
        <v>241</v>
      </c>
      <c r="B244" s="85" t="str">
        <f ca="1">IFERROR(__xludf.DUMMYFUNCTION("GOOGLETRANSLATE(B2675:B2690,""RU"",""UK"")"),"Індикатор 1ІГ (0,05)")</f>
        <v>Індикатор 1ІГ (0,05)</v>
      </c>
      <c r="C244" s="59" t="s">
        <v>6</v>
      </c>
      <c r="D244" s="59">
        <v>3</v>
      </c>
      <c r="E244" s="91">
        <v>990</v>
      </c>
    </row>
    <row r="245" spans="1:5">
      <c r="A245" s="21">
        <f t="shared" si="4"/>
        <v>242</v>
      </c>
      <c r="B245" s="85" t="str">
        <f ca="1">IFERROR(__xludf.DUMMYFUNCTION("GOOGLETRANSLATE(B2675:B2690,""RU"",""UK"")"),"Індикатор 2ІГ (0,02)")</f>
        <v>Індикатор 2ІГ (0,02)</v>
      </c>
      <c r="C245" s="59" t="s">
        <v>6</v>
      </c>
      <c r="D245" s="59">
        <v>3</v>
      </c>
      <c r="E245" s="91">
        <v>1320</v>
      </c>
    </row>
    <row r="246" spans="1:5">
      <c r="A246" s="21">
        <f t="shared" si="4"/>
        <v>243</v>
      </c>
      <c r="B246" s="235" t="s">
        <v>6274</v>
      </c>
      <c r="C246" s="226" t="s">
        <v>6</v>
      </c>
      <c r="D246" s="161">
        <v>4</v>
      </c>
      <c r="E246" s="227">
        <v>1200</v>
      </c>
    </row>
    <row r="247" spans="1:5">
      <c r="A247" s="21">
        <f t="shared" si="4"/>
        <v>244</v>
      </c>
      <c r="B247" s="242" t="s">
        <v>6275</v>
      </c>
      <c r="C247" s="226" t="s">
        <v>6</v>
      </c>
      <c r="D247" s="161">
        <v>0</v>
      </c>
      <c r="E247" s="227">
        <v>1100</v>
      </c>
    </row>
    <row r="248" spans="1:5">
      <c r="A248" s="21">
        <f t="shared" si="4"/>
        <v>245</v>
      </c>
      <c r="B248" s="85" t="str">
        <f ca="1">IFERROR(__xludf.DUMMYFUNCTION("GOOGLETRANSLATE(B2676:B2691,""RU"",""UK"")"),"Індикатор ричажно-зубчатий ІРБ 0,8 (0,01) ")</f>
        <v xml:space="preserve">Індикатор ричажно-зубчатий ІРБ 0,8 (0,01) </v>
      </c>
      <c r="C248" s="59" t="s">
        <v>6</v>
      </c>
      <c r="D248" s="37">
        <v>8</v>
      </c>
      <c r="E248" s="91" t="s">
        <v>235</v>
      </c>
    </row>
    <row r="249" spans="1:5">
      <c r="A249" s="21">
        <f t="shared" si="4"/>
        <v>246</v>
      </c>
      <c r="B249" s="85" t="str">
        <f ca="1">IFERROR(__xludf.DUMMYFUNCTION("GOOGLETRANSLATE(B2676:B2691,""RU"",""UK"")"),"Індикатор ричажно-зубчатий ІРБ 0,8 (0,01) мало вживаний ")</f>
        <v xml:space="preserve">Індикатор ричажно-зубчатий ІРБ 0,8 (0,01) мало вживаний </v>
      </c>
      <c r="C249" s="59" t="s">
        <v>6</v>
      </c>
      <c r="D249" s="37">
        <v>1</v>
      </c>
      <c r="E249" s="91">
        <v>1350</v>
      </c>
    </row>
    <row r="250" spans="1:5">
      <c r="A250" s="21">
        <f t="shared" si="4"/>
        <v>247</v>
      </c>
      <c r="B250" s="85" t="str">
        <f ca="1">IFERROR(__xludf.DUMMYFUNCTION("GOOGLETRANSLATE(B2676:B2691,""RU"",""UK"")"),"Індикатор ричажно-зубчатий ІРТ 0,8 (0,01) ")</f>
        <v xml:space="preserve">Індикатор ричажно-зубчатий ІРТ 0,8 (0,01) </v>
      </c>
      <c r="C250" s="59" t="s">
        <v>6</v>
      </c>
      <c r="D250" s="37">
        <v>3</v>
      </c>
      <c r="E250" s="91">
        <v>1600</v>
      </c>
    </row>
    <row r="251" spans="1:5">
      <c r="A251" s="21">
        <f t="shared" si="4"/>
        <v>248</v>
      </c>
      <c r="B251" s="85" t="str">
        <f ca="1">IFERROR(__xludf.DUMMYFUNCTION("GOOGLETRANSLATE(B2677:B2692,""RU"",""UK"")"),"Індикатор багатооборотний 1МІГ (1ІГМ)-(0,001)")</f>
        <v>Індикатор багатооборотний 1МІГ (1ІГМ)-(0,001)</v>
      </c>
      <c r="C251" s="59" t="s">
        <v>6</v>
      </c>
      <c r="D251" s="37">
        <v>6</v>
      </c>
      <c r="E251" s="91" t="s">
        <v>71</v>
      </c>
    </row>
    <row r="252" spans="1:5">
      <c r="A252" s="21">
        <f t="shared" si="4"/>
        <v>249</v>
      </c>
      <c r="B252" s="85" t="str">
        <f ca="1">IFERROR(__xludf.DUMMYFUNCTION("GOOGLETRANSLATE(B2677:B2692,""RU"",""UK"")"),"Індикатор багатооборотний 1МІГ (1ІГМ)-(0,001) з штативом")</f>
        <v>Індикатор багатооборотний 1МІГ (1ІГМ)-(0,001) з штативом</v>
      </c>
      <c r="C252" s="59" t="s">
        <v>6</v>
      </c>
      <c r="D252" s="37">
        <v>1</v>
      </c>
      <c r="E252" s="91">
        <v>1600</v>
      </c>
    </row>
    <row r="253" spans="1:5">
      <c r="A253" s="21">
        <f t="shared" si="4"/>
        <v>250</v>
      </c>
      <c r="B253" s="85" t="str">
        <f ca="1">IFERROR(__xludf.DUMMYFUNCTION("GOOGLETRANSLATE(B2678:B2693,""RU"",""UK"")"),"Індикатор багатооборотний 2МІГ - (0,002)")</f>
        <v>Індикатор багатооборотний 2МІГ - (0,002)</v>
      </c>
      <c r="C253" s="59" t="s">
        <v>6</v>
      </c>
      <c r="D253" s="37">
        <v>4</v>
      </c>
      <c r="E253" s="91" t="s">
        <v>3610</v>
      </c>
    </row>
    <row r="254" spans="1:5">
      <c r="A254" s="21">
        <f t="shared" si="4"/>
        <v>251</v>
      </c>
      <c r="B254" s="85" t="str">
        <f ca="1">IFERROR(__xludf.DUMMYFUNCTION("GOOGLETRANSLATE(B2678:B2693,""RU"",""UK"")"),"Індикатор багатооборотний 2МІГП - (0,002) повішеной точности")</f>
        <v>Індикатор багатооборотний 2МІГП - (0,002) повішеной точности</v>
      </c>
      <c r="C254" s="59" t="s">
        <v>6</v>
      </c>
      <c r="D254" s="37">
        <v>1</v>
      </c>
      <c r="E254" s="91">
        <v>1900</v>
      </c>
    </row>
    <row r="255" spans="1:5">
      <c r="A255" s="21">
        <f t="shared" si="4"/>
        <v>252</v>
      </c>
      <c r="B255" s="85" t="s">
        <v>6230</v>
      </c>
      <c r="C255" s="59" t="s">
        <v>6</v>
      </c>
      <c r="D255" s="37">
        <v>1</v>
      </c>
      <c r="E255" s="91">
        <v>250</v>
      </c>
    </row>
    <row r="256" spans="1:5">
      <c r="A256" s="21">
        <f t="shared" si="4"/>
        <v>253</v>
      </c>
      <c r="B256" s="85" t="s">
        <v>6233</v>
      </c>
      <c r="C256" s="59" t="s">
        <v>6</v>
      </c>
      <c r="D256" s="37">
        <v>2</v>
      </c>
      <c r="E256" s="91">
        <v>3500</v>
      </c>
    </row>
    <row r="257" spans="1:5">
      <c r="A257" s="21">
        <f t="shared" si="4"/>
        <v>254</v>
      </c>
      <c r="B257" s="85" t="s">
        <v>6276</v>
      </c>
      <c r="C257" s="59" t="s">
        <v>6</v>
      </c>
      <c r="D257" s="37">
        <v>1</v>
      </c>
      <c r="E257" s="91">
        <v>2500</v>
      </c>
    </row>
    <row r="258" spans="1:5">
      <c r="A258" s="21">
        <f t="shared" si="4"/>
        <v>255</v>
      </c>
      <c r="B258" s="85" t="str">
        <f ca="1">IFERROR(__xludf.DUMMYFUNCTION("GOOGLETRANSLATE(B2680:B2695,""RU"",""UK"")"),"Мікатор 0,5 ІПМ +-25мкм (0,5мкм) ЛІЗ")</f>
        <v>Мікатор 0,5 ІПМ +-25мкм (0,5мкм) ЛІЗ</v>
      </c>
      <c r="C258" s="59" t="s">
        <v>6</v>
      </c>
      <c r="D258" s="59">
        <v>1</v>
      </c>
      <c r="E258" s="91" t="s">
        <v>102</v>
      </c>
    </row>
    <row r="259" spans="1:5">
      <c r="A259" s="21">
        <f t="shared" si="4"/>
        <v>256</v>
      </c>
      <c r="B259" s="169" t="str">
        <f ca="1">IFERROR(__xludf.DUMMYFUNCTION("GOOGLETRANSLATE(B2682:B2697,""RU"",""UK"")"),"Мікрокатор ГОЛОВКА ВИМІРЮВАЛЬНА 0.5ІГП-0,5мк (-+15)")</f>
        <v>Мікрокатор ГОЛОВКА ВИМІРЮВАЛЬНА 0.5ІГП-0,5мк (-+15)</v>
      </c>
      <c r="C259" s="59" t="s">
        <v>6</v>
      </c>
      <c r="D259" s="59">
        <v>1</v>
      </c>
      <c r="E259" s="91" t="s">
        <v>71</v>
      </c>
    </row>
    <row r="260" spans="1:5">
      <c r="A260" s="21">
        <f t="shared" si="4"/>
        <v>257</v>
      </c>
      <c r="B260" s="169" t="str">
        <f ca="1">IFERROR(__xludf.DUMMYFUNCTION("GOOGLETRANSLATE(B2681:B2696,""RU"",""UK"")"),"Мікрокатор ГОЛОВКА ВИМІРЮВАЛЬНА 1ІГП-1мкм (-+30)")</f>
        <v>Мікрокатор ГОЛОВКА ВИМІРЮВАЛЬНА 1ІГП-1мкм (-+30)</v>
      </c>
      <c r="C260" s="59" t="s">
        <v>6</v>
      </c>
      <c r="D260" s="59">
        <v>2</v>
      </c>
      <c r="E260" s="91">
        <v>2900</v>
      </c>
    </row>
    <row r="261" spans="1:5">
      <c r="A261" s="21">
        <f t="shared" si="4"/>
        <v>258</v>
      </c>
      <c r="B261" s="164" t="str">
        <f ca="1">IFERROR(__xludf.DUMMYFUNCTION("GOOGLETRANSLATE(B2682:B2697,""RU"",""UK"")"),"Мікрокатор ГОЛОВКА ВИМІРЮВАЛЬНА 2ІГП-2мкм (-+60)")</f>
        <v>Мікрокатор ГОЛОВКА ВИМІРЮВАЛЬНА 2ІГП-2мкм (-+60)</v>
      </c>
      <c r="C261" s="59" t="s">
        <v>6</v>
      </c>
      <c r="D261" s="59">
        <v>0</v>
      </c>
      <c r="E261" s="91" t="s">
        <v>71</v>
      </c>
    </row>
    <row r="262" spans="1:5">
      <c r="A262" s="21">
        <f t="shared" si="4"/>
        <v>259</v>
      </c>
      <c r="B262" s="85" t="str">
        <f ca="1">IFERROR(__xludf.DUMMYFUNCTION("GOOGLETRANSLATE(B2683:B2698,""RU"",""UK"")"),"Мікрокатор ГОЛОВКА ВИМІРЮВАЛЬНА 10ІГПА (-+300)")</f>
        <v>Мікрокатор ГОЛОВКА ВИМІРЮВАЛЬНА 10ІГПА (-+300)</v>
      </c>
      <c r="C262" s="59" t="s">
        <v>6</v>
      </c>
      <c r="D262" s="59">
        <v>1</v>
      </c>
      <c r="E262" s="91" t="s">
        <v>71</v>
      </c>
    </row>
    <row r="263" spans="1:5">
      <c r="A263" s="21">
        <f t="shared" si="4"/>
        <v>260</v>
      </c>
      <c r="B263" s="85" t="str">
        <f ca="1">IFERROR(__xludf.DUMMYFUNCTION("GOOGLETRANSLATE(B2684:B2699,""RU"",""UK"")"),"Головка важільно-зубчаста Тип 1ІГ 1мкр до нутроміру")</f>
        <v>Головка важільно-зубчаста Тип 1ІГ 1мкр до нутроміру</v>
      </c>
      <c r="C263" s="59" t="s">
        <v>6</v>
      </c>
      <c r="D263" s="59">
        <v>2</v>
      </c>
      <c r="E263" s="91" t="s">
        <v>71</v>
      </c>
    </row>
    <row r="264" spans="1:5">
      <c r="A264" s="21">
        <f t="shared" si="4"/>
        <v>261</v>
      </c>
      <c r="B264" s="85" t="str">
        <f ca="1">IFERROR(__xludf.DUMMYFUNCTION("GOOGLETRANSLATE(B2685:B2700,""RU"",""UK"")"),"Головка важільно-зубчаста Тип 2ІГ 2мкр до нутроміру")</f>
        <v>Головка важільно-зубчаста Тип 2ІГ 2мкр до нутроміру</v>
      </c>
      <c r="C264" s="59" t="s">
        <v>6</v>
      </c>
      <c r="D264" s="59">
        <v>6</v>
      </c>
      <c r="E264" s="91" t="s">
        <v>1113</v>
      </c>
    </row>
    <row r="265" spans="1:5">
      <c r="A265" s="21">
        <f t="shared" si="4"/>
        <v>262</v>
      </c>
      <c r="B265" s="85" t="str">
        <f ca="1">IFERROR(__xludf.DUMMYFUNCTION("GOOGLETRANSLATE(B2690:B2705,""RU"",""UK"")"),"Нутромір індикаторний НІ 3-3,75мм Кл.2 (0,01) Німеччина(ГДР) ")</f>
        <v xml:space="preserve">Нутромір індикаторний НІ 3-3,75мм Кл.2 (0,01) Німеччина(ГДР) </v>
      </c>
      <c r="C265" s="59" t="s">
        <v>6</v>
      </c>
      <c r="D265" s="59">
        <v>1</v>
      </c>
      <c r="E265" s="91">
        <v>1850</v>
      </c>
    </row>
    <row r="266" spans="1:5">
      <c r="A266" s="21">
        <f t="shared" si="4"/>
        <v>263</v>
      </c>
      <c r="B266" s="169" t="str">
        <f ca="1">IFERROR(__xludf.DUMMYFUNCTION("GOOGLETRANSLATE(B2687:B2702,""RU"",""UK"")"),"Нутромір індикаторний НІ 6-10мм Кл.2 (0,01) тонкий (довгий)")</f>
        <v>Нутромір індикаторний НІ 6-10мм Кл.2 (0,01) тонкий (довгий)</v>
      </c>
      <c r="C266" s="59" t="s">
        <v>6</v>
      </c>
      <c r="D266" s="59">
        <v>1</v>
      </c>
      <c r="E266" s="91">
        <v>3500</v>
      </c>
    </row>
    <row r="267" spans="1:5">
      <c r="A267" s="21">
        <f t="shared" si="4"/>
        <v>264</v>
      </c>
      <c r="B267" s="169" t="str">
        <f ca="1">IFERROR(__xludf.DUMMYFUNCTION("GOOGLETRANSLATE(B2687:B2702,""RU"",""UK"")"),"Нутромір індикаторний НІ 6-10мм Кл.2 (0,01) тонкий, довгий, без паспорту")</f>
        <v>Нутромір індикаторний НІ 6-10мм Кл.2 (0,01) тонкий, довгий, без паспорту</v>
      </c>
      <c r="C267" s="59" t="s">
        <v>6</v>
      </c>
      <c r="D267" s="59">
        <v>1</v>
      </c>
      <c r="E267" s="91">
        <v>2800</v>
      </c>
    </row>
    <row r="268" spans="1:5">
      <c r="A268" s="21">
        <f t="shared" si="4"/>
        <v>265</v>
      </c>
      <c r="B268" s="169" t="str">
        <f ca="1">IFERROR(__xludf.DUMMYFUNCTION("GOOGLETRANSLATE(B2687:B2702,""RU"",""UK"")"),"Нутромір індикаторний НІ 6-10мм Кл.2 (0,01) тонкий, довгий, без паспорту мало вжив")</f>
        <v>Нутромір індикаторний НІ 6-10мм Кл.2 (0,01) тонкий, довгий, без паспорту мало вжив</v>
      </c>
      <c r="C268" s="59" t="s">
        <v>6</v>
      </c>
      <c r="D268" s="59">
        <v>1</v>
      </c>
      <c r="E268" s="91">
        <v>2400</v>
      </c>
    </row>
    <row r="269" spans="1:5">
      <c r="A269" s="21">
        <f t="shared" si="4"/>
        <v>266</v>
      </c>
      <c r="B269" s="169" t="str">
        <f ca="1">IFERROR(__xludf.DUMMYFUNCTION("GOOGLETRANSLATE(B2687:B2702,""RU"",""UK"")"),"Нутромір індикаторний НІ 6-10мм Кл.2 (0,01) тонкий, короткий, вжив.")</f>
        <v>Нутромір індикаторний НІ 6-10мм Кл.2 (0,01) тонкий, короткий, вжив.</v>
      </c>
      <c r="C269" s="59" t="s">
        <v>6</v>
      </c>
      <c r="D269" s="59">
        <v>1</v>
      </c>
      <c r="E269" s="91">
        <v>2300</v>
      </c>
    </row>
    <row r="270" spans="1:5">
      <c r="A270" s="21">
        <f t="shared" si="4"/>
        <v>267</v>
      </c>
      <c r="B270" s="169" t="str">
        <f ca="1">IFERROR(__xludf.DUMMYFUNCTION("GOOGLETRANSLATE(B2687:B2702,""RU"",""UK"")"),"Нутромір індикаторний НІ 6-10мм Кл.1 (0,002) пов. Точності, тонкий, вжив. Калібр")</f>
        <v>Нутромір індикаторний НІ 6-10мм Кл.1 (0,002) пов. Точності, тонкий, вжив. Калібр</v>
      </c>
      <c r="C270" s="59" t="s">
        <v>6</v>
      </c>
      <c r="D270" s="59">
        <v>1</v>
      </c>
      <c r="E270" s="91">
        <v>2800</v>
      </c>
    </row>
    <row r="271" spans="1:5">
      <c r="A271" s="21">
        <f t="shared" si="4"/>
        <v>268</v>
      </c>
      <c r="B271" s="85" t="str">
        <f ca="1">IFERROR(__xludf.DUMMYFUNCTION("GOOGLETRANSLATE(B2686:B2701,""RU"",""UK"")"),"Нутромір індикаторний 4х крапковий НІ 6-10мм Кл.1 (0,002)  підвищ. точності ")</f>
        <v xml:space="preserve">Нутромір індикаторний 4х крапковий НІ 6-10мм Кл.1 (0,002)  підвищ. точності </v>
      </c>
      <c r="C271" s="37" t="s">
        <v>6</v>
      </c>
      <c r="D271" s="37">
        <v>2</v>
      </c>
      <c r="E271" s="92" t="s">
        <v>84</v>
      </c>
    </row>
    <row r="272" spans="1:5">
      <c r="A272" s="21">
        <f t="shared" si="4"/>
        <v>269</v>
      </c>
      <c r="B272" s="169" t="str">
        <f ca="1">IFERROR(__xludf.DUMMYFUNCTION("GOOGLETRANSLATE(B2686:B2701,""RU"",""UK"")"),"Нутромір індикаторний 4х крапковий НІ 6-10мм Кл.1 (0,002)підвищ. точності, мало вживан.")</f>
        <v>Нутромір індикаторний 4х крапковий НІ 6-10мм Кл.1 (0,002)підвищ. точності, мало вживан.</v>
      </c>
      <c r="C272" s="37" t="s">
        <v>6</v>
      </c>
      <c r="D272" s="37">
        <v>4</v>
      </c>
      <c r="E272" s="92">
        <v>2500</v>
      </c>
    </row>
    <row r="273" spans="1:5">
      <c r="A273" s="21">
        <f t="shared" si="4"/>
        <v>270</v>
      </c>
      <c r="B273" s="85" t="str">
        <f ca="1">IFERROR(__xludf.DUMMYFUNCTION("GOOGLETRANSLATE(B2687:B2702,""RU"",""UK"")"),"Нутромір індикаторний НІ 10-18мм Кл.2 (0,01)")</f>
        <v>Нутромір індикаторний НІ 10-18мм Кл.2 (0,01)</v>
      </c>
      <c r="C273" s="59" t="s">
        <v>6</v>
      </c>
      <c r="D273" s="59">
        <v>4</v>
      </c>
      <c r="E273" s="91" t="s">
        <v>910</v>
      </c>
    </row>
    <row r="274" spans="1:5">
      <c r="A274" s="21">
        <f t="shared" si="4"/>
        <v>271</v>
      </c>
      <c r="B274" s="85" t="str">
        <f ca="1">IFERROR(__xludf.DUMMYFUNCTION("GOOGLETRANSLATE(B2687:B2702,""RU"",""UK"")"),"Нутромір індикаторний НІ 10-18мм Кл.2 (0,01) мало вживаний")</f>
        <v>Нутромір індикаторний НІ 10-18мм Кл.2 (0,01) мало вживаний</v>
      </c>
      <c r="C274" s="59" t="s">
        <v>6</v>
      </c>
      <c r="D274" s="59">
        <v>2</v>
      </c>
      <c r="E274" s="91">
        <v>2500</v>
      </c>
    </row>
    <row r="275" spans="1:5">
      <c r="A275" s="21">
        <f t="shared" si="4"/>
        <v>272</v>
      </c>
      <c r="B275" s="85" t="str">
        <f ca="1">IFERROR(__xludf.DUMMYFUNCTION("GOOGLETRANSLATE(B2687:B2702,""RU"",""UK"")"),"Нутромір індикаторний НІ 10-18мм Кл.1 (0,002) Калібр")</f>
        <v>Нутромір індикаторний НІ 10-18мм Кл.1 (0,002) Калібр</v>
      </c>
      <c r="C275" s="59" t="s">
        <v>6</v>
      </c>
      <c r="D275" s="59">
        <v>1</v>
      </c>
      <c r="E275" s="91">
        <v>3500</v>
      </c>
    </row>
    <row r="276" spans="1:5">
      <c r="A276" s="21">
        <f t="shared" si="4"/>
        <v>273</v>
      </c>
      <c r="B276" s="85" t="str">
        <f ca="1">IFERROR(__xludf.DUMMYFUNCTION("GOOGLETRANSLATE(B2687:B2702,""RU"",""UK"")"),"Нутромір індикаторний НІ 10-18мм Кл.1 (0,002) мало вживаний")</f>
        <v>Нутромір індикаторний НІ 10-18мм Кл.1 (0,002) мало вживаний</v>
      </c>
      <c r="C276" s="59" t="s">
        <v>6</v>
      </c>
      <c r="D276" s="59">
        <v>1</v>
      </c>
      <c r="E276" s="91">
        <v>2800</v>
      </c>
    </row>
    <row r="277" spans="1:5">
      <c r="A277" s="21">
        <f t="shared" si="4"/>
        <v>274</v>
      </c>
      <c r="B277" s="85" t="str">
        <f ca="1">IFERROR(__xludf.DUMMYFUNCTION("GOOGLETRANSLATE(B2687:B2702,""RU"",""UK"")"),"Нутромір індикаторний НІ 10-18мм Кл.2 (0,01) вживаний")</f>
        <v>Нутромір індикаторний НІ 10-18мм Кл.2 (0,01) вживаний</v>
      </c>
      <c r="C277" s="59" t="s">
        <v>6</v>
      </c>
      <c r="D277" s="59">
        <v>1</v>
      </c>
      <c r="E277" s="91">
        <v>2100</v>
      </c>
    </row>
    <row r="278" spans="1:5">
      <c r="A278" s="21">
        <f t="shared" si="4"/>
        <v>275</v>
      </c>
      <c r="B278" s="169" t="str">
        <f ca="1">IFERROR(__xludf.DUMMYFUNCTION("GOOGLETRANSLATE(B2688:B2703,""RU"",""UK"")"),"Нутромір індикаторний 4х крапковий НІ 10-18мм Кл.1 (0,002) підвищ. точності ")</f>
        <v xml:space="preserve">Нутромір індикаторний 4х крапковий НІ 10-18мм Кл.1 (0,002) підвищ. точності </v>
      </c>
      <c r="C278" s="59" t="s">
        <v>6</v>
      </c>
      <c r="D278" s="171">
        <v>2</v>
      </c>
      <c r="E278" s="91">
        <v>4800</v>
      </c>
    </row>
    <row r="279" spans="1:5">
      <c r="A279" s="21">
        <f t="shared" si="4"/>
        <v>276</v>
      </c>
      <c r="B279" s="85" t="str">
        <f ca="1">IFERROR(__xludf.DUMMYFUNCTION("GOOGLETRANSLATE(B2688:B2703,""RU"",""UK"")"),"Нутромір індикаторний 4х крапковий НІ 10-18мм Кл.1 (0,002) підвищ. Точності, мало вжив. ")</f>
        <v xml:space="preserve">Нутромір індикаторний 4х крапковий НІ 10-18мм Кл.1 (0,002) підвищ. Точності, мало вжив. </v>
      </c>
      <c r="C279" s="59" t="s">
        <v>6</v>
      </c>
      <c r="D279" s="59">
        <v>4</v>
      </c>
      <c r="E279" s="91">
        <v>3800</v>
      </c>
    </row>
    <row r="280" spans="1:5">
      <c r="A280" s="21">
        <f t="shared" si="4"/>
        <v>277</v>
      </c>
      <c r="B280" s="164" t="str">
        <f ca="1">IFERROR(__xludf.DUMMYFUNCTION("GOOGLETRANSLATE(B2690:B2705,""RU"",""UK"")"),"Нутромір індикаторний НІ 10-19мм ГДР Кл.1 (0,002) підвищ. точності ")</f>
        <v xml:space="preserve">Нутромір індикаторний НІ 10-19мм ГДР Кл.1 (0,002) підвищ. точності </v>
      </c>
      <c r="C280" s="59" t="s">
        <v>6</v>
      </c>
      <c r="D280" s="59">
        <v>0</v>
      </c>
      <c r="E280" s="91" t="s">
        <v>14</v>
      </c>
    </row>
    <row r="281" spans="1:5">
      <c r="A281" s="21">
        <f t="shared" si="4"/>
        <v>278</v>
      </c>
      <c r="B281" s="85" t="s">
        <v>6110</v>
      </c>
      <c r="C281" s="59" t="s">
        <v>6</v>
      </c>
      <c r="D281" s="59">
        <v>1</v>
      </c>
      <c r="E281" s="91">
        <v>3800</v>
      </c>
    </row>
    <row r="282" spans="1:5">
      <c r="A282" s="21">
        <f t="shared" si="4"/>
        <v>279</v>
      </c>
      <c r="B282" s="85" t="str">
        <f ca="1">IFERROR(__xludf.DUMMYFUNCTION("GOOGLETRANSLATE(B2690:B2705,""RU"",""UK"")"),"Нутромір індикаторний НІ 10-20мм ГДР Кл.2 (0,01) мало вжив.")</f>
        <v>Нутромір індикаторний НІ 10-20мм ГДР Кл.2 (0,01) мало вжив.</v>
      </c>
      <c r="C282" s="59" t="s">
        <v>6</v>
      </c>
      <c r="D282" s="59">
        <v>1</v>
      </c>
      <c r="E282" s="91">
        <v>3500</v>
      </c>
    </row>
    <row r="283" spans="1:5">
      <c r="A283" s="21">
        <f t="shared" si="4"/>
        <v>280</v>
      </c>
      <c r="B283" s="85" t="str">
        <f ca="1">IFERROR(__xludf.DUMMYFUNCTION("GOOGLETRANSLATE(B2690:B2705,""RU"",""UK"")"),"Нутромір індикаторний НІ 18-35мм Калібр, Кл.2 (0,01) мало вжив.")</f>
        <v>Нутромір індикаторний НІ 18-35мм Калібр, Кл.2 (0,01) мало вжив.</v>
      </c>
      <c r="C283" s="59" t="s">
        <v>6</v>
      </c>
      <c r="D283" s="59">
        <v>1</v>
      </c>
      <c r="E283" s="91">
        <v>2900</v>
      </c>
    </row>
    <row r="284" spans="1:5">
      <c r="A284" s="21">
        <f t="shared" si="4"/>
        <v>281</v>
      </c>
      <c r="B284" s="85" t="str">
        <f ca="1">IFERROR(__xludf.DUMMYFUNCTION("GOOGLETRANSLATE(B2690:B2705,""RU"",""UK"")"),"Нутромір індикаторний НІ 18-35мм ГДР Кл.2 (0,01) мало вжив.")</f>
        <v>Нутромір індикаторний НІ 18-35мм ГДР Кл.2 (0,01) мало вжив.</v>
      </c>
      <c r="C284" s="59" t="s">
        <v>6</v>
      </c>
      <c r="D284" s="59">
        <v>1</v>
      </c>
      <c r="E284" s="91">
        <v>3700</v>
      </c>
    </row>
    <row r="285" spans="1:5">
      <c r="A285" s="21">
        <f t="shared" si="4"/>
        <v>282</v>
      </c>
      <c r="B285" s="85" t="str">
        <f ca="1">IFERROR(__xludf.DUMMYFUNCTION("GOOGLETRANSLATE(B2690:B2705,""RU"",""UK"")"),"Нутромір індикаторний НІ 18-35мм ГДР Кл.2 (0,01) вживаний")</f>
        <v>Нутромір індикаторний НІ 18-35мм ГДР Кл.2 (0,01) вживаний</v>
      </c>
      <c r="C285" s="59" t="s">
        <v>6</v>
      </c>
      <c r="D285" s="59">
        <v>1</v>
      </c>
      <c r="E285" s="91">
        <v>3200</v>
      </c>
    </row>
    <row r="286" spans="1:5">
      <c r="A286" s="21">
        <f t="shared" si="4"/>
        <v>283</v>
      </c>
      <c r="B286" s="164" t="str">
        <f ca="1">IFERROR(__xludf.DUMMYFUNCTION("GOOGLETRANSLATE(B2691:B2706,""RU"",""UK"")"),"Нутромір індикаторний НІ 18-50мм Кл.2 (0,01) без паспорту")</f>
        <v>Нутромір індикаторний НІ 18-50мм Кл.2 (0,01) без паспорту</v>
      </c>
      <c r="C286" s="59" t="s">
        <v>6</v>
      </c>
      <c r="D286" s="59">
        <v>0</v>
      </c>
      <c r="E286" s="91" t="s">
        <v>48</v>
      </c>
    </row>
    <row r="287" spans="1:5">
      <c r="A287" s="21">
        <f t="shared" si="4"/>
        <v>284</v>
      </c>
      <c r="B287" s="164" t="s">
        <v>6277</v>
      </c>
      <c r="C287" s="59" t="s">
        <v>6</v>
      </c>
      <c r="D287" s="59">
        <v>0</v>
      </c>
      <c r="E287" s="91">
        <v>4100</v>
      </c>
    </row>
    <row r="288" spans="1:5">
      <c r="A288" s="21">
        <f t="shared" si="4"/>
        <v>285</v>
      </c>
      <c r="B288" s="169" t="s">
        <v>6277</v>
      </c>
      <c r="C288" s="59" t="s">
        <v>6</v>
      </c>
      <c r="D288" s="59">
        <v>1</v>
      </c>
      <c r="E288" s="91">
        <v>3700</v>
      </c>
    </row>
    <row r="289" spans="1:5">
      <c r="A289" s="21">
        <f t="shared" si="4"/>
        <v>286</v>
      </c>
      <c r="B289" s="169" t="str">
        <f ca="1">IFERROR(__xludf.DUMMYFUNCTION("GOOGLETRANSLATE(B2691:B2706,""RU"",""UK"")"),"Нутромір індикаторний НІ 18-50мм Кл.2 (0,01) вживаний")</f>
        <v>Нутромір індикаторний НІ 18-50мм Кл.2 (0,01) вживаний</v>
      </c>
      <c r="C289" s="59" t="s">
        <v>6</v>
      </c>
      <c r="D289" s="59">
        <v>4</v>
      </c>
      <c r="E289" s="91">
        <v>3400</v>
      </c>
    </row>
    <row r="290" spans="1:5">
      <c r="A290" s="21">
        <f t="shared" si="4"/>
        <v>287</v>
      </c>
      <c r="B290" s="200" t="str">
        <f ca="1">IFERROR(__xludf.DUMMYFUNCTION("GOOGLETRANSLATE(B2692:B2707,""RU"",""UK"")"),"Нутромір індикаторний НІ 18-50мм Кл.1 (0,002) підвищ. точності")</f>
        <v>Нутромір індикаторний НІ 18-50мм Кл.1 (0,002) підвищ. точності</v>
      </c>
      <c r="C290" s="59" t="s">
        <v>6</v>
      </c>
      <c r="D290" s="59">
        <v>0</v>
      </c>
      <c r="E290" s="91" t="s">
        <v>3625</v>
      </c>
    </row>
    <row r="291" spans="1:5">
      <c r="A291" s="21">
        <f t="shared" si="4"/>
        <v>288</v>
      </c>
      <c r="B291" s="85" t="str">
        <f ca="1">IFERROR(__xludf.DUMMYFUNCTION("GOOGLETRANSLATE(B2692:B2707,""RU"",""UK"")"),"Нутромір індикаторний НІ 18-50мм Кл.1 (0,002) підвищ. точності мало вжив.")</f>
        <v>Нутромір індикаторний НІ 18-50мм Кл.1 (0,002) підвищ. точності мало вжив.</v>
      </c>
      <c r="C291" s="59" t="s">
        <v>6</v>
      </c>
      <c r="D291" s="59">
        <v>2</v>
      </c>
      <c r="E291" s="91">
        <v>6300</v>
      </c>
    </row>
    <row r="292" spans="1:5">
      <c r="A292" s="21">
        <f t="shared" si="4"/>
        <v>289</v>
      </c>
      <c r="B292" s="85" t="str">
        <f ca="1">IFERROR(__xludf.DUMMYFUNCTION("GOOGLETRANSLATE(B2695:B2710,""RU"",""UK"")"),"Нутромір індикаторний НІ 35-60мм ГДР Кл.1 (0,002) підвищ. точності ")</f>
        <v xml:space="preserve">Нутромір індикаторний НІ 35-60мм ГДР Кл.1 (0,002) підвищ. точності </v>
      </c>
      <c r="C292" s="59" t="s">
        <v>6</v>
      </c>
      <c r="D292" s="59">
        <v>1</v>
      </c>
      <c r="E292" s="91" t="s">
        <v>44</v>
      </c>
    </row>
    <row r="293" spans="1:5">
      <c r="A293" s="21">
        <f t="shared" si="4"/>
        <v>290</v>
      </c>
      <c r="B293" s="195" t="s">
        <v>6349</v>
      </c>
      <c r="C293" s="59" t="s">
        <v>6</v>
      </c>
      <c r="D293" s="59">
        <v>1</v>
      </c>
      <c r="E293" s="91">
        <v>6900</v>
      </c>
    </row>
    <row r="294" spans="1:5">
      <c r="A294" s="21">
        <f t="shared" si="4"/>
        <v>291</v>
      </c>
      <c r="B294" s="85" t="s">
        <v>6350</v>
      </c>
      <c r="C294" s="59" t="s">
        <v>6</v>
      </c>
      <c r="D294" s="59">
        <v>1</v>
      </c>
      <c r="E294" s="91">
        <v>6600</v>
      </c>
    </row>
    <row r="295" spans="1:5">
      <c r="A295" s="21">
        <f t="shared" si="4"/>
        <v>292</v>
      </c>
      <c r="B295" s="169" t="str">
        <f ca="1">IFERROR(__xludf.DUMMYFUNCTION("GOOGLETRANSLATE(B2696:B2711,""RU"",""UK"")"),"Нутромір індикаторний НІ 35-95мм Кл.2 (0,01) мало вживаний")</f>
        <v>Нутромір індикаторний НІ 35-95мм Кл.2 (0,01) мало вживаний</v>
      </c>
      <c r="C295" s="37" t="s">
        <v>6</v>
      </c>
      <c r="D295" s="37">
        <v>1</v>
      </c>
      <c r="E295" s="92">
        <v>3300</v>
      </c>
    </row>
    <row r="296" spans="1:5">
      <c r="A296" s="21">
        <f t="shared" si="4"/>
        <v>293</v>
      </c>
      <c r="B296" s="169" t="str">
        <f ca="1">IFERROR(__xludf.DUMMYFUNCTION("GOOGLETRANSLATE(B2696:B2711,""RU"",""UK"")"),"Нутромір індикаторний НІ 50-100мм Кл.2 (0,01) Калібр, вживаний, без коробки")</f>
        <v>Нутромір індикаторний НІ 50-100мм Кл.2 (0,01) Калібр, вживаний, без коробки</v>
      </c>
      <c r="C296" s="37" t="s">
        <v>6</v>
      </c>
      <c r="D296" s="37">
        <v>1</v>
      </c>
      <c r="E296" s="92">
        <v>3300</v>
      </c>
    </row>
    <row r="297" spans="1:5">
      <c r="A297" s="21">
        <f t="shared" si="4"/>
        <v>294</v>
      </c>
      <c r="B297" s="169" t="str">
        <f ca="1">IFERROR(__xludf.DUMMYFUNCTION("GOOGLETRANSLATE(B2696:B2711,""RU"",""UK"")"),"Нутромір індикаторний НІ 50-100мм Кл.2 (0,01) Калібр, вживаний, без коробки")</f>
        <v>Нутромір індикаторний НІ 50-100мм Кл.2 (0,01) Калібр, вживаний, без коробки</v>
      </c>
      <c r="C297" s="37" t="s">
        <v>6</v>
      </c>
      <c r="D297" s="37">
        <v>1</v>
      </c>
      <c r="E297" s="92">
        <v>3500</v>
      </c>
    </row>
    <row r="298" spans="1:5">
      <c r="A298" s="21">
        <f t="shared" si="4"/>
        <v>295</v>
      </c>
      <c r="B298" s="169" t="str">
        <f ca="1">IFERROR(__xludf.DUMMYFUNCTION("GOOGLETRANSLATE(B2696:B2711,""RU"",""UK"")"),"Нутромір індикаторний НІ 50-100мм Кл.2 (0,01) завод КИ, вживаний")</f>
        <v>Нутромір індикаторний НІ 50-100мм Кл.2 (0,01) завод КИ, вживаний</v>
      </c>
      <c r="C298" s="37" t="s">
        <v>6</v>
      </c>
      <c r="D298" s="37">
        <v>2</v>
      </c>
      <c r="E298" s="92">
        <v>4200</v>
      </c>
    </row>
    <row r="299" spans="1:5">
      <c r="A299" s="21">
        <f t="shared" si="4"/>
        <v>296</v>
      </c>
      <c r="B299" s="164" t="str">
        <f ca="1">IFERROR(__xludf.DUMMYFUNCTION("GOOGLETRANSLATE(B2697:B2712,""RU"",""UK"")"),"Нутромір індикаторний НІ 50-100мм Кл.2 (0,01)")</f>
        <v>Нутромір індикаторний НІ 50-100мм Кл.2 (0,01)</v>
      </c>
      <c r="C299" s="37" t="s">
        <v>6</v>
      </c>
      <c r="D299" s="37">
        <v>0</v>
      </c>
      <c r="E299" s="92">
        <v>6700</v>
      </c>
    </row>
    <row r="300" spans="1:5">
      <c r="A300" s="21">
        <f t="shared" si="4"/>
        <v>297</v>
      </c>
      <c r="B300" s="169" t="str">
        <f ca="1">IFERROR(__xludf.DUMMYFUNCTION("GOOGLETRANSLATE(B2692:B2707,""RU"",""UK"")"),"Нутромір індикаторний НІ 50-100мм Кл.2 (0,01)КИ, з паспортом, мало вживаний")</f>
        <v>Нутромір індикаторний НІ 50-100мм Кл.2 (0,01)КИ, з паспортом, мало вживаний</v>
      </c>
      <c r="C300" s="37" t="s">
        <v>6</v>
      </c>
      <c r="D300" s="37">
        <v>1</v>
      </c>
      <c r="E300" s="92">
        <v>4900</v>
      </c>
    </row>
    <row r="301" spans="1:5">
      <c r="A301" s="21">
        <f t="shared" si="4"/>
        <v>298</v>
      </c>
      <c r="B301" s="169" t="str">
        <f ca="1">IFERROR(__xludf.DUMMYFUNCTION("GOOGLETRANSLATE(B2692:B2707,""RU"",""UK"")"),"Нутромір індикаторний НІ 50-100мм Кл.1 (0,01) завод КИ, вживаний №85207")</f>
        <v>Нутромір індикаторний НІ 50-100мм Кл.1 (0,01) завод КИ, вживаний №85207</v>
      </c>
      <c r="C301" s="37" t="s">
        <v>6</v>
      </c>
      <c r="D301" s="37">
        <v>1</v>
      </c>
      <c r="E301" s="92">
        <v>4100</v>
      </c>
    </row>
    <row r="302" spans="1:5">
      <c r="A302" s="21">
        <f t="shared" si="4"/>
        <v>299</v>
      </c>
      <c r="B302" s="169" t="str">
        <f ca="1">IFERROR(__xludf.DUMMYFUNCTION("GOOGLETRANSLATE(B2692:B2707,""RU"",""UK"")"),"Нутромір індикаторний НІ 50-100мм Кл.1 (0,01) завод КИ, вживаний, вставки не рідні")</f>
        <v>Нутромір індикаторний НІ 50-100мм Кл.1 (0,01) завод КИ, вживаний, вставки не рідні</v>
      </c>
      <c r="C302" s="37" t="s">
        <v>6</v>
      </c>
      <c r="D302" s="37">
        <v>1</v>
      </c>
      <c r="E302" s="92">
        <v>3500</v>
      </c>
    </row>
    <row r="303" spans="1:5">
      <c r="A303" s="21">
        <f t="shared" si="4"/>
        <v>300</v>
      </c>
      <c r="B303" s="169" t="str">
        <f ca="1">IFERROR(__xludf.DUMMYFUNCTION("GOOGLETRANSLATE(B2692:B2707,""RU"",""UK"")"),"Нутромір індикаторний НІ 50-100мм Кл.1 (0,002) Калібр, підвищеної точності, мало вживан.")</f>
        <v>Нутромір індикаторний НІ 50-100мм Кл.1 (0,002) Калібр, підвищеної точності, мало вживан.</v>
      </c>
      <c r="C303" s="37" t="s">
        <v>6</v>
      </c>
      <c r="D303" s="37">
        <v>1</v>
      </c>
      <c r="E303" s="92">
        <v>6600</v>
      </c>
    </row>
    <row r="304" spans="1:5">
      <c r="A304" s="21">
        <f t="shared" si="4"/>
        <v>301</v>
      </c>
      <c r="B304" s="169" t="s">
        <v>6412</v>
      </c>
      <c r="C304" s="37" t="s">
        <v>6</v>
      </c>
      <c r="D304" s="37">
        <v>1</v>
      </c>
      <c r="E304" s="92">
        <v>6000</v>
      </c>
    </row>
    <row r="305" spans="1:5">
      <c r="A305" s="21">
        <f t="shared" ref="A305" si="5">A304+1</f>
        <v>302</v>
      </c>
      <c r="B305" s="169" t="str">
        <f ca="1">IFERROR(__xludf.DUMMYFUNCTION("GOOGLETRANSLATE(B2692:B2707,""RU"",""UK"")"),"Нутромір індикаторний НІ 50-100мм Кл.1 (0,002) Калібр, підвищеної точності, вживаний")</f>
        <v>Нутромір індикаторний НІ 50-100мм Кл.1 (0,002) Калібр, підвищеної точності, вживаний</v>
      </c>
      <c r="C305" s="37" t="s">
        <v>6</v>
      </c>
      <c r="D305" s="37">
        <v>1</v>
      </c>
      <c r="E305" s="92">
        <v>5150</v>
      </c>
    </row>
    <row r="306" spans="1:5">
      <c r="A306" s="21">
        <f t="shared" ref="A306:A374" si="6">A305+1</f>
        <v>303</v>
      </c>
      <c r="B306" s="198" t="str">
        <f ca="1">IFERROR(__xludf.DUMMYFUNCTION("GOOGLETRANSLATE(B2698:B2713,""RU"",""UK"")"),"Нутромір індикаторний НІ 50-160мм Кл.2 (0,01) ГДР з паспортом")</f>
        <v>Нутромір індикаторний НІ 50-160мм Кл.2 (0,01) ГДР з паспортом</v>
      </c>
      <c r="C306" s="59" t="s">
        <v>6</v>
      </c>
      <c r="D306" s="59">
        <v>1</v>
      </c>
      <c r="E306" s="91">
        <v>10500</v>
      </c>
    </row>
    <row r="307" spans="1:5">
      <c r="A307" s="21">
        <f t="shared" si="6"/>
        <v>304</v>
      </c>
      <c r="B307" s="85" t="str">
        <f ca="1">IFERROR(__xludf.DUMMYFUNCTION("GOOGLETRANSLATE(B2698:B2713,""RU"",""UK"")"),"Нутромір індикаторний НІ 100-160мм Кл.2 (0,01)")</f>
        <v>Нутромір індикаторний НІ 100-160мм Кл.2 (0,01)</v>
      </c>
      <c r="C307" s="59" t="s">
        <v>6</v>
      </c>
      <c r="D307" s="59">
        <v>3</v>
      </c>
      <c r="E307" s="91" t="s">
        <v>3632</v>
      </c>
    </row>
    <row r="308" spans="1:5">
      <c r="A308" s="21">
        <f t="shared" si="6"/>
        <v>305</v>
      </c>
      <c r="B308" s="85" t="s">
        <v>6284</v>
      </c>
      <c r="C308" s="59" t="s">
        <v>6</v>
      </c>
      <c r="D308" s="59">
        <v>3</v>
      </c>
      <c r="E308" s="91">
        <v>4280</v>
      </c>
    </row>
    <row r="309" spans="1:5">
      <c r="A309" s="21">
        <f t="shared" si="6"/>
        <v>306</v>
      </c>
      <c r="B309" s="169" t="str">
        <f ca="1">IFERROR(__xludf.DUMMYFUNCTION("GOOGLETRANSLATE(B2699:B2714,""RU"",""UK"")"),"Нутромір індикаторний НІ 100-160мм Кл.1 (0,002) підвищ. точності ")</f>
        <v xml:space="preserve">Нутромір індикаторний НІ 100-160мм Кл.1 (0,002) підвищ. точності </v>
      </c>
      <c r="C309" s="59" t="s">
        <v>6</v>
      </c>
      <c r="D309" s="59">
        <v>3</v>
      </c>
      <c r="E309" s="91" t="s">
        <v>1000</v>
      </c>
    </row>
    <row r="310" spans="1:5">
      <c r="A310" s="21">
        <f t="shared" si="6"/>
        <v>307</v>
      </c>
      <c r="B310" s="229" t="str">
        <f ca="1">IFERROR(__xludf.DUMMYFUNCTION("GOOGLETRANSLATE(B2699:B2714,""RU"",""UK"")"),"Нутромір індикаторний НІ 100-160мм Кл.1 (0,002) Калібр, підвищ. точності мало вживан., без коробки ")</f>
        <v xml:space="preserve">Нутромір індикаторний НІ 100-160мм Кл.1 (0,002) Калібр, підвищ. точності мало вживан., без коробки </v>
      </c>
      <c r="C310" s="59" t="s">
        <v>6</v>
      </c>
      <c r="D310" s="59">
        <v>1</v>
      </c>
      <c r="E310" s="91">
        <v>4100</v>
      </c>
    </row>
    <row r="311" spans="1:5">
      <c r="A311" s="21">
        <f t="shared" si="6"/>
        <v>308</v>
      </c>
      <c r="B311" s="169" t="s">
        <v>6223</v>
      </c>
      <c r="C311" s="59" t="s">
        <v>6</v>
      </c>
      <c r="D311" s="59">
        <v>1</v>
      </c>
      <c r="E311" s="91">
        <v>5500</v>
      </c>
    </row>
    <row r="312" spans="1:5">
      <c r="A312" s="21">
        <f t="shared" si="6"/>
        <v>309</v>
      </c>
      <c r="B312" s="169" t="s">
        <v>6237</v>
      </c>
      <c r="C312" s="59" t="s">
        <v>6</v>
      </c>
      <c r="D312" s="59">
        <v>1</v>
      </c>
      <c r="E312" s="91">
        <v>7500</v>
      </c>
    </row>
    <row r="313" spans="1:5">
      <c r="A313" s="21">
        <f t="shared" si="6"/>
        <v>310</v>
      </c>
      <c r="B313" s="85" t="str">
        <f ca="1">IFERROR(__xludf.DUMMYFUNCTION("GOOGLETRANSLATE(B2700:B2715,""RU"",""UK"")"),"Нутромір індикаторний НІ 160-250мм Кл.2 (0,01)")</f>
        <v>Нутромір індикаторний НІ 160-250мм Кл.2 (0,01)</v>
      </c>
      <c r="C313" s="59" t="s">
        <v>6</v>
      </c>
      <c r="D313" s="59">
        <v>3</v>
      </c>
      <c r="E313" s="91" t="s">
        <v>3632</v>
      </c>
    </row>
    <row r="314" spans="1:5">
      <c r="A314" s="21">
        <f t="shared" si="6"/>
        <v>311</v>
      </c>
      <c r="B314" s="85" t="str">
        <f ca="1">IFERROR(__xludf.DUMMYFUNCTION("GOOGLETRANSLATE(B2700:B2715,""RU"",""UK"")"),"Нутромір індикаторний НІ 160-250мм Кл.2 (0,01) завод Калібр, мало вживаний")</f>
        <v>Нутромір індикаторний НІ 160-250мм Кл.2 (0,01) завод Калібр, мало вживаний</v>
      </c>
      <c r="C314" s="59" t="s">
        <v>6</v>
      </c>
      <c r="D314" s="59">
        <v>2</v>
      </c>
      <c r="E314" s="91">
        <v>4500</v>
      </c>
    </row>
    <row r="315" spans="1:5">
      <c r="A315" s="21">
        <f t="shared" si="6"/>
        <v>312</v>
      </c>
      <c r="B315" s="169" t="str">
        <f ca="1">IFERROR(__xludf.DUMMYFUNCTION("GOOGLETRANSLATE(B2701:B2716,""RU"",""UK"")"),"Нутромір індикаторний НІ 160-250мм Кл.1 (0,002) підвищ. точності ")</f>
        <v xml:space="preserve">Нутромір індикаторний НІ 160-250мм Кл.1 (0,002) підвищ. точності </v>
      </c>
      <c r="C315" s="59" t="s">
        <v>6</v>
      </c>
      <c r="D315" s="59">
        <v>1</v>
      </c>
      <c r="E315" s="91" t="s">
        <v>1000</v>
      </c>
    </row>
    <row r="316" spans="1:5">
      <c r="A316" s="21">
        <f t="shared" si="6"/>
        <v>313</v>
      </c>
      <c r="B316" s="169" t="str">
        <f ca="1">IFERROR(__xludf.DUMMYFUNCTION("GOOGLETRANSLATE(B2702:B2717,""RU"",""UK"")"),"Нутромір індикаторний НІ 250-450мм Кл.2 (0,01)")</f>
        <v>Нутромір індикаторний НІ 250-450мм Кл.2 (0,01)</v>
      </c>
      <c r="C316" s="37" t="s">
        <v>6</v>
      </c>
      <c r="D316" s="37">
        <v>3</v>
      </c>
      <c r="E316" s="92" t="s">
        <v>1002</v>
      </c>
    </row>
    <row r="317" spans="1:5">
      <c r="A317" s="21">
        <f t="shared" si="6"/>
        <v>314</v>
      </c>
      <c r="B317" s="85" t="str">
        <f ca="1">IFERROR(__xludf.DUMMYFUNCTION("GOOGLETRANSLATE(B2703:B2718,""RU"",""UK"")"),"Нутромір індикаторний НІ 450-700мм Кл.2 (0,01)")</f>
        <v>Нутромір індикаторний НІ 450-700мм Кл.2 (0,01)</v>
      </c>
      <c r="C317" s="59" t="s">
        <v>6</v>
      </c>
      <c r="D317" s="59">
        <v>3</v>
      </c>
      <c r="E317" s="91" t="s">
        <v>3638</v>
      </c>
    </row>
    <row r="318" spans="1:5">
      <c r="A318" s="21">
        <f t="shared" si="6"/>
        <v>315</v>
      </c>
      <c r="B318" s="169" t="str">
        <f ca="1">IFERROR(__xludf.DUMMYFUNCTION("GOOGLETRANSLATE(B2705:B2720,""RU"",""UK"")"),"Нутромір мікрометріч. НМ 50-75мм")</f>
        <v>Нутромір мікрометріч. НМ 50-75мм</v>
      </c>
      <c r="C318" s="59" t="s">
        <v>6</v>
      </c>
      <c r="D318" s="59">
        <v>2</v>
      </c>
      <c r="E318" s="91" t="s">
        <v>80</v>
      </c>
    </row>
    <row r="319" spans="1:5">
      <c r="A319" s="21">
        <f t="shared" si="6"/>
        <v>316</v>
      </c>
      <c r="B319" s="85" t="str">
        <f ca="1">IFERROR(__xludf.DUMMYFUNCTION("GOOGLETRANSLATE(B2706:B2721,""RU"",""UK"")"),"Нутромір мікрометріч. НМ 175мм")</f>
        <v>Нутромір мікрометріч. НМ 175мм</v>
      </c>
      <c r="C319" s="59" t="s">
        <v>6</v>
      </c>
      <c r="D319" s="59">
        <v>4</v>
      </c>
      <c r="E319" s="91" t="s">
        <v>10</v>
      </c>
    </row>
    <row r="320" spans="1:5">
      <c r="A320" s="21">
        <f t="shared" si="6"/>
        <v>317</v>
      </c>
      <c r="B320" s="164" t="str">
        <f ca="1">IFERROR(__xludf.DUMMYFUNCTION("GOOGLETRANSLATE(B2708:B2723,""RU"",""UK"")"),"Нутромір мікрометріч. НМ 75-575мм, новий, без паспорту")</f>
        <v>Нутромір мікрометріч. НМ 75-575мм, новий, без паспорту</v>
      </c>
      <c r="C320" s="59" t="s">
        <v>6</v>
      </c>
      <c r="D320" s="59">
        <v>0</v>
      </c>
      <c r="E320" s="91">
        <v>5700</v>
      </c>
    </row>
    <row r="321" spans="1:5">
      <c r="A321" s="21">
        <f t="shared" si="6"/>
        <v>318</v>
      </c>
      <c r="B321" s="169" t="str">
        <f ca="1">IFERROR(__xludf.DUMMYFUNCTION("GOOGLETRANSLATE(B2708:B2723,""RU"",""UK"")"),"Нутромір мікрометріч. НМ 75-575мм, як новий, без паспорту")</f>
        <v>Нутромір мікрометріч. НМ 75-575мм, як новий, без паспорту</v>
      </c>
      <c r="C321" s="59" t="s">
        <v>6</v>
      </c>
      <c r="D321" s="59">
        <v>1</v>
      </c>
      <c r="E321" s="91">
        <v>5200</v>
      </c>
    </row>
    <row r="322" spans="1:5">
      <c r="A322" s="21">
        <f t="shared" si="6"/>
        <v>319</v>
      </c>
      <c r="B322" s="85" t="str">
        <f ca="1">IFERROR(__xludf.DUMMYFUNCTION("GOOGLETRANSLATE(B2708:B2723,""RU"",""UK"")"),"Нутромір мікрометріч. НМ 75-575мм вжив.")</f>
        <v>Нутромір мікрометріч. НМ 75-575мм вжив.</v>
      </c>
      <c r="C322" s="59" t="s">
        <v>6</v>
      </c>
      <c r="D322" s="59">
        <v>4</v>
      </c>
      <c r="E322" s="91">
        <v>3000</v>
      </c>
    </row>
    <row r="323" spans="1:5">
      <c r="A323" s="21">
        <f t="shared" si="6"/>
        <v>320</v>
      </c>
      <c r="B323" s="85" t="str">
        <f ca="1">IFERROR(__xludf.DUMMYFUNCTION("GOOGLETRANSLATE(B2708:B2723,""RU"",""UK"")"),"Нутромір мікрометріч. НМ 75-575мм вживаний, без ключа і гвинта")</f>
        <v>Нутромір мікрометріч. НМ 75-575мм вживаний, без ключа і гвинта</v>
      </c>
      <c r="C323" s="59" t="s">
        <v>6</v>
      </c>
      <c r="D323" s="59">
        <v>1</v>
      </c>
      <c r="E323" s="91">
        <v>2500</v>
      </c>
    </row>
    <row r="324" spans="1:5">
      <c r="A324" s="21">
        <f t="shared" si="6"/>
        <v>321</v>
      </c>
      <c r="B324" s="169" t="str">
        <f ca="1">IFERROR(__xludf.DUMMYFUNCTION("GOOGLETRANSLATE(B2709:B2724,""RU"",""UK"")"),"Нутромір мікрометріч. НМ 75-600мм новий, без паспорта")</f>
        <v>Нутромір мікрометріч. НМ 75-600мм новий, без паспорта</v>
      </c>
      <c r="C324" s="59" t="s">
        <v>6</v>
      </c>
      <c r="D324" s="59">
        <v>1</v>
      </c>
      <c r="E324" s="91">
        <v>5800</v>
      </c>
    </row>
    <row r="325" spans="1:5">
      <c r="A325" s="21">
        <f t="shared" si="6"/>
        <v>322</v>
      </c>
      <c r="B325" s="169" t="s">
        <v>6273</v>
      </c>
      <c r="C325" s="59" t="s">
        <v>6</v>
      </c>
      <c r="D325" s="59">
        <v>1</v>
      </c>
      <c r="E325" s="91">
        <v>4800</v>
      </c>
    </row>
    <row r="326" spans="1:5">
      <c r="A326" s="21">
        <f t="shared" si="6"/>
        <v>323</v>
      </c>
      <c r="B326" s="85" t="str">
        <f ca="1">IFERROR(__xludf.DUMMYFUNCTION("GOOGLETRANSLATE(B2710:B2725,""RU"",""UK"")"),"Нутромір мікрометріч. НМ 75-600мм мало вжив.")</f>
        <v>Нутромір мікрометріч. НМ 75-600мм мало вжив.</v>
      </c>
      <c r="C326" s="59" t="s">
        <v>6</v>
      </c>
      <c r="D326" s="59">
        <v>1</v>
      </c>
      <c r="E326" s="91">
        <v>3800</v>
      </c>
    </row>
    <row r="327" spans="1:5">
      <c r="A327" s="21">
        <f t="shared" si="6"/>
        <v>324</v>
      </c>
      <c r="B327" s="85" t="str">
        <f ca="1">IFERROR(__xludf.DUMMYFUNCTION("GOOGLETRANSLATE(B2710:B2725,""RU"",""UK"")"),"Нутромір мікрометріч. НМ 75-600мм вживаний")</f>
        <v>Нутромір мікрометріч. НМ 75-600мм вживаний</v>
      </c>
      <c r="C327" s="59" t="s">
        <v>6</v>
      </c>
      <c r="D327" s="59">
        <v>2</v>
      </c>
      <c r="E327" s="91">
        <v>2700</v>
      </c>
    </row>
    <row r="328" spans="1:5">
      <c r="A328" s="21">
        <f t="shared" si="6"/>
        <v>325</v>
      </c>
      <c r="B328" s="85" t="str">
        <f ca="1">IFERROR(__xludf.DUMMYFUNCTION("GOOGLETRANSLATE(B2710:B2725,""RU"",""UK"")"),"Нутромір мікрометріч. НМ 75-600мм вживаний")</f>
        <v>Нутромір мікрометріч. НМ 75-600мм вживаний</v>
      </c>
      <c r="C328" s="59" t="s">
        <v>6</v>
      </c>
      <c r="D328" s="59">
        <v>1</v>
      </c>
      <c r="E328" s="91">
        <v>3000</v>
      </c>
    </row>
    <row r="329" spans="1:5">
      <c r="A329" s="21">
        <f t="shared" si="6"/>
        <v>326</v>
      </c>
      <c r="B329" s="169" t="str">
        <f ca="1">IFERROR(__xludf.DUMMYFUNCTION("GOOGLETRANSLATE(B2712:B2727,""RU"",""UK"")"),"Нутромір мікрометріч. НМ 150-1200мм мало вживаний з корозією")</f>
        <v>Нутромір мікрометріч. НМ 150-1200мм мало вживаний з корозією</v>
      </c>
      <c r="C329" s="59" t="s">
        <v>6</v>
      </c>
      <c r="D329" s="59">
        <v>1</v>
      </c>
      <c r="E329" s="91">
        <v>6500</v>
      </c>
    </row>
    <row r="330" spans="1:5">
      <c r="A330" s="21">
        <f t="shared" si="6"/>
        <v>327</v>
      </c>
      <c r="B330" s="85" t="str">
        <f ca="1">IFERROR(__xludf.DUMMYFUNCTION("GOOGLETRANSLATE(B2712:B2727,""RU"",""UK"")"),"Нутромір мікрометріч. НМ 150-1250мм мало вживаний")</f>
        <v>Нутромір мікрометріч. НМ 150-1250мм мало вживаний</v>
      </c>
      <c r="C330" s="59" t="s">
        <v>6</v>
      </c>
      <c r="D330" s="59">
        <v>4</v>
      </c>
      <c r="E330" s="91">
        <v>6700</v>
      </c>
    </row>
    <row r="331" spans="1:5">
      <c r="A331" s="21">
        <f t="shared" si="6"/>
        <v>328</v>
      </c>
      <c r="B331" s="85" t="str">
        <f ca="1">IFERROR(__xludf.DUMMYFUNCTION("GOOGLETRANSLATE(B2712:B2727,""RU"",""UK"")"),"Нутромір мікрометріч. НМ 150-1250мм мало вживаний №1")</f>
        <v>Нутромір мікрометріч. НМ 150-1250мм мало вживаний №1</v>
      </c>
      <c r="C331" s="59" t="s">
        <v>6</v>
      </c>
      <c r="D331" s="59">
        <v>2</v>
      </c>
      <c r="E331" s="91">
        <v>7500</v>
      </c>
    </row>
    <row r="332" spans="1:5">
      <c r="A332" s="21">
        <f t="shared" si="6"/>
        <v>329</v>
      </c>
      <c r="B332" s="85" t="str">
        <f ca="1">IFERROR(__xludf.DUMMYFUNCTION("GOOGLETRANSLATE(B2712:B2727,""RU"",""UK"")"),"Нутромір мікрометріч. НМ 150-1250мм мало вживаний №2")</f>
        <v>Нутромір мікрометріч. НМ 150-1250мм мало вживаний №2</v>
      </c>
      <c r="C332" s="59" t="s">
        <v>6</v>
      </c>
      <c r="D332" s="59">
        <v>2</v>
      </c>
      <c r="E332" s="91">
        <v>7500</v>
      </c>
    </row>
    <row r="333" spans="1:5">
      <c r="A333" s="21">
        <f t="shared" si="6"/>
        <v>330</v>
      </c>
      <c r="B333" s="85" t="str">
        <f ca="1">IFERROR(__xludf.DUMMYFUNCTION("GOOGLETRANSLATE(B2712:B2727,""RU"",""UK"")"),"Нутромір мікрометріч. НМ 150-1250мм мало вживаний №3")</f>
        <v>Нутромір мікрометріч. НМ 150-1250мм мало вживаний №3</v>
      </c>
      <c r="C333" s="59" t="s">
        <v>6</v>
      </c>
      <c r="D333" s="59">
        <v>2</v>
      </c>
      <c r="E333" s="91">
        <v>7200</v>
      </c>
    </row>
    <row r="334" spans="1:5">
      <c r="A334" s="21">
        <f t="shared" si="6"/>
        <v>331</v>
      </c>
      <c r="B334" s="169" t="s">
        <v>6414</v>
      </c>
      <c r="C334" s="59" t="s">
        <v>6</v>
      </c>
      <c r="D334" s="59">
        <v>1</v>
      </c>
      <c r="E334" s="91">
        <v>7350</v>
      </c>
    </row>
    <row r="335" spans="1:5">
      <c r="A335" s="21">
        <f t="shared" si="6"/>
        <v>332</v>
      </c>
      <c r="B335" s="85" t="s">
        <v>6413</v>
      </c>
      <c r="C335" s="59" t="s">
        <v>6</v>
      </c>
      <c r="D335" s="59">
        <v>1</v>
      </c>
      <c r="E335" s="91">
        <v>7350</v>
      </c>
    </row>
    <row r="336" spans="1:5">
      <c r="A336" s="21">
        <f t="shared" si="6"/>
        <v>333</v>
      </c>
      <c r="B336" s="85" t="s">
        <v>6402</v>
      </c>
      <c r="C336" s="59" t="s">
        <v>6</v>
      </c>
      <c r="D336" s="59">
        <v>1</v>
      </c>
      <c r="E336" s="91">
        <v>7350</v>
      </c>
    </row>
    <row r="337" spans="1:5">
      <c r="A337" s="21">
        <f t="shared" si="6"/>
        <v>334</v>
      </c>
      <c r="B337" s="85" t="s">
        <v>6407</v>
      </c>
      <c r="C337" s="59" t="s">
        <v>6</v>
      </c>
      <c r="D337" s="59">
        <v>1</v>
      </c>
      <c r="E337" s="91">
        <v>7350</v>
      </c>
    </row>
    <row r="338" spans="1:5">
      <c r="A338" s="21">
        <f t="shared" si="6"/>
        <v>335</v>
      </c>
      <c r="B338" s="85" t="str">
        <f ca="1">IFERROR(__xludf.DUMMYFUNCTION("GOOGLETRANSLATE(B2713:B2728,""RU"",""UK"")"),"Нутромір мікрометріч. НМ 150-1250мм вжив.")</f>
        <v>Нутромір мікрометріч. НМ 150-1250мм вжив.</v>
      </c>
      <c r="C338" s="59" t="s">
        <v>6</v>
      </c>
      <c r="D338" s="59">
        <v>1</v>
      </c>
      <c r="E338" s="91" t="s">
        <v>3565</v>
      </c>
    </row>
    <row r="339" spans="1:5">
      <c r="A339" s="21">
        <f t="shared" si="6"/>
        <v>336</v>
      </c>
      <c r="B339" s="85" t="str">
        <f ca="1">IFERROR(__xludf.DUMMYFUNCTION("GOOGLETRANSLATE(B2714:B2729,""RU"",""UK"")"),"Глибиномір мікрометричний ГМ 0-25мм (0,01)")</f>
        <v>Глибиномір мікрометричний ГМ 0-25мм (0,01)</v>
      </c>
      <c r="C339" s="59" t="s">
        <v>6</v>
      </c>
      <c r="D339" s="59">
        <v>1</v>
      </c>
      <c r="E339" s="91">
        <v>1200</v>
      </c>
    </row>
    <row r="340" spans="1:5">
      <c r="A340" s="21">
        <f t="shared" si="6"/>
        <v>337</v>
      </c>
      <c r="B340" s="85" t="str">
        <f ca="1">IFERROR(__xludf.DUMMYFUNCTION("GOOGLETRANSLATE(B2714:B2729,""RU"",""UK"")"),"Глибиномір мікрометричний ГМ 0-25мм (0,01) VIS (ПНР)")</f>
        <v>Глибиномір мікрометричний ГМ 0-25мм (0,01) VIS (ПНР)</v>
      </c>
      <c r="C340" s="59" t="s">
        <v>6</v>
      </c>
      <c r="D340" s="59">
        <v>4</v>
      </c>
      <c r="E340" s="91">
        <v>1200</v>
      </c>
    </row>
    <row r="341" spans="1:5">
      <c r="A341" s="21">
        <f t="shared" si="6"/>
        <v>338</v>
      </c>
      <c r="B341" s="85" t="str">
        <f ca="1">IFERROR(__xludf.DUMMYFUNCTION("GOOGLETRANSLATE(B2715:B2730,""RU"",""UK"")"),"Глибиномір мікрометричний ГМ 0-50мм (0,01)")</f>
        <v>Глибиномір мікрометричний ГМ 0-50мм (0,01)</v>
      </c>
      <c r="C341" s="59" t="s">
        <v>6</v>
      </c>
      <c r="D341" s="59">
        <v>2</v>
      </c>
      <c r="E341" s="91">
        <v>1320</v>
      </c>
    </row>
    <row r="342" spans="1:5">
      <c r="A342" s="21">
        <f t="shared" si="6"/>
        <v>339</v>
      </c>
      <c r="B342" s="85" t="str">
        <f ca="1">IFERROR(__xludf.DUMMYFUNCTION("GOOGLETRANSLATE(B2716:B2731,""RU"",""UK"")"),"Глибиномір мікрометричний ГМ 0-100мм Кл.1")</f>
        <v>Глибиномір мікрометричний ГМ 0-100мм Кл.1</v>
      </c>
      <c r="C342" s="59" t="s">
        <v>6</v>
      </c>
      <c r="D342" s="59">
        <v>10</v>
      </c>
      <c r="E342" s="91" t="s">
        <v>157</v>
      </c>
    </row>
    <row r="343" spans="1:5">
      <c r="A343" s="21">
        <f t="shared" si="6"/>
        <v>340</v>
      </c>
      <c r="B343" s="200" t="str">
        <f ca="1">IFERROR(__xludf.DUMMYFUNCTION("GOOGLETRANSLATE(B2716:B2731,""RU"",""UK"")"),"Глибиномір мікрометричний ГМ 0-100мм Кл.1, мало вживаний")</f>
        <v>Глибиномір мікрометричний ГМ 0-100мм Кл.1, мало вживаний</v>
      </c>
      <c r="C343" s="59" t="s">
        <v>6</v>
      </c>
      <c r="D343" s="59">
        <v>0</v>
      </c>
      <c r="E343" s="91">
        <v>1000</v>
      </c>
    </row>
    <row r="344" spans="1:5">
      <c r="A344" s="21">
        <f t="shared" si="6"/>
        <v>341</v>
      </c>
      <c r="B344" s="85" t="str">
        <f ca="1">IFERROR(__xludf.DUMMYFUNCTION("GOOGLETRANSLATE(B2716:B2731,""RU"",""UK"")"),"Глибиномір мікрометричний ГМ 0-100мм Кл.1, Німеччина (ГДР)")</f>
        <v>Глибиномір мікрометричний ГМ 0-100мм Кл.1, Німеччина (ГДР)</v>
      </c>
      <c r="C344" s="59" t="s">
        <v>6</v>
      </c>
      <c r="D344" s="59">
        <v>1</v>
      </c>
      <c r="E344" s="91">
        <v>1500</v>
      </c>
    </row>
    <row r="345" spans="1:5">
      <c r="A345" s="21">
        <f t="shared" si="6"/>
        <v>342</v>
      </c>
      <c r="B345" s="169" t="str">
        <f ca="1">IFERROR(__xludf.DUMMYFUNCTION("GOOGLETRANSLATE(B2717:B2732,""RU"",""UK"")"),"Глибиномір індикаторний ГІ 0-100мм")</f>
        <v>Глибиномір індикаторний ГІ 0-100мм</v>
      </c>
      <c r="C345" s="59" t="s">
        <v>6</v>
      </c>
      <c r="D345" s="59">
        <v>3</v>
      </c>
      <c r="E345" s="91">
        <v>4500</v>
      </c>
    </row>
    <row r="346" spans="1:5">
      <c r="A346" s="21">
        <f t="shared" si="6"/>
        <v>343</v>
      </c>
      <c r="B346" s="169" t="str">
        <f ca="1">IFERROR(__xludf.DUMMYFUNCTION("GOOGLETRANSLATE(B2717:B2732,""RU"",""UK"")"),"Глибиномір індикаторний ГІ 0-100мм вживаний")</f>
        <v>Глибиномір індикаторний ГІ 0-100мм вживаний</v>
      </c>
      <c r="C346" s="59" t="s">
        <v>6</v>
      </c>
      <c r="D346" s="59">
        <v>1</v>
      </c>
      <c r="E346" s="91">
        <v>2600</v>
      </c>
    </row>
    <row r="347" spans="1:5">
      <c r="A347" s="21">
        <f t="shared" si="6"/>
        <v>344</v>
      </c>
      <c r="B347" s="169" t="str">
        <f ca="1">IFERROR(__xludf.DUMMYFUNCTION("GOOGLETRANSLATE(B2717:B2732,""RU"",""UK"")"),"Глибиномір індикаторний ГІ 0-140мм 0,01мм, ГДР")</f>
        <v>Глибиномір індикаторний ГІ 0-140мм 0,01мм, ГДР</v>
      </c>
      <c r="C347" s="59" t="s">
        <v>6</v>
      </c>
      <c r="D347" s="59">
        <v>2</v>
      </c>
      <c r="E347" s="91">
        <v>4900</v>
      </c>
    </row>
    <row r="348" spans="1:5">
      <c r="A348" s="21">
        <f t="shared" si="6"/>
        <v>345</v>
      </c>
      <c r="B348" s="85" t="str">
        <f ca="1">IFERROR(__xludf.DUMMYFUNCTION("GOOGLETRANSLATE(B2719:B2734,""RU"",""UK"")"),"Кутомір з ноніусом УН-127 - Семенова (0-360*) мало вжив. (дер. коробка)")</f>
        <v>Кутомір з ноніусом УН-127 - Семенова (0-360*) мало вжив. (дер. коробка)</v>
      </c>
      <c r="C348" s="59" t="s">
        <v>6</v>
      </c>
      <c r="D348" s="59">
        <v>2</v>
      </c>
      <c r="E348" s="91" t="s">
        <v>97</v>
      </c>
    </row>
    <row r="349" spans="1:5">
      <c r="A349" s="21">
        <f t="shared" si="6"/>
        <v>346</v>
      </c>
      <c r="B349" s="85" t="str">
        <f ca="1">IFERROR(__xludf.DUMMYFUNCTION("GOOGLETRANSLATE(B2719:B2734,""RU"",""UK"")"),"Кутомір з ноніусом УН-127 - Семенова (0-360*) вжив. (пластик. коробка)")</f>
        <v>Кутомір з ноніусом УН-127 - Семенова (0-360*) вжив. (пластик. коробка)</v>
      </c>
      <c r="C349" s="59" t="s">
        <v>6</v>
      </c>
      <c r="D349" s="59">
        <v>1</v>
      </c>
      <c r="E349" s="91">
        <v>2000</v>
      </c>
    </row>
    <row r="350" spans="1:5">
      <c r="A350" s="21">
        <f t="shared" si="6"/>
        <v>347</v>
      </c>
      <c r="B350" s="85" t="str">
        <f ca="1">IFERROR(__xludf.DUMMYFUNCTION("GOOGLETRANSLATE(B2720:B2735,""RU"",""UK"")"),"Кутомір з ноніусом типа 1-2 УМ 180* (0-180*) 2`")</f>
        <v>Кутомір з ноніусом типа 1-2 УМ 180* (0-180*) 2`</v>
      </c>
      <c r="C350" s="37" t="s">
        <v>6</v>
      </c>
      <c r="D350" s="37">
        <v>3</v>
      </c>
      <c r="E350" s="92" t="s">
        <v>84</v>
      </c>
    </row>
    <row r="351" spans="1:5">
      <c r="A351" s="21">
        <f t="shared" si="6"/>
        <v>348</v>
      </c>
      <c r="B351" s="85" t="str">
        <f ca="1">IFERROR(__xludf.DUMMYFUNCTION("GOOGLETRANSLATE(B2720:B2735,""RU"",""UK"")"),"Кутомір з ноніусом типа 1-2 УМ 180* (0-180*) 2` без паспорту")</f>
        <v>Кутомір з ноніусом типа 1-2 УМ 180* (0-180*) 2` без паспорту</v>
      </c>
      <c r="C351" s="37" t="s">
        <v>6</v>
      </c>
      <c r="D351" s="37">
        <v>1</v>
      </c>
      <c r="E351" s="92">
        <v>3400</v>
      </c>
    </row>
    <row r="352" spans="1:5">
      <c r="A352" s="21">
        <f t="shared" si="6"/>
        <v>349</v>
      </c>
      <c r="B352" s="85" t="str">
        <f ca="1">IFERROR(__xludf.DUMMYFUNCTION("GOOGLETRANSLATE(B2720:B2735,""RU"",""UK"")"),"Кутомір з ноніусом УМ 180* (0-180*) 2` мало вживаний")</f>
        <v>Кутомір з ноніусом УМ 180* (0-180*) 2` мало вживаний</v>
      </c>
      <c r="C352" s="37" t="s">
        <v>6</v>
      </c>
      <c r="D352" s="37">
        <v>1</v>
      </c>
      <c r="E352" s="92">
        <v>2700</v>
      </c>
    </row>
    <row r="353" spans="1:5">
      <c r="A353" s="21">
        <f t="shared" si="6"/>
        <v>350</v>
      </c>
      <c r="B353" s="169" t="s">
        <v>6281</v>
      </c>
      <c r="C353" s="37" t="s">
        <v>6</v>
      </c>
      <c r="D353" s="37">
        <v>1</v>
      </c>
      <c r="E353" s="92">
        <v>2150</v>
      </c>
    </row>
    <row r="354" spans="1:5">
      <c r="A354" s="21">
        <f t="shared" si="6"/>
        <v>351</v>
      </c>
      <c r="B354" s="85" t="s">
        <v>6177</v>
      </c>
      <c r="C354" s="37" t="s">
        <v>6</v>
      </c>
      <c r="D354" s="37">
        <v>1</v>
      </c>
      <c r="E354" s="92">
        <v>1600</v>
      </c>
    </row>
    <row r="355" spans="1:5">
      <c r="A355" s="21">
        <f t="shared" si="6"/>
        <v>352</v>
      </c>
      <c r="B355" s="169" t="s">
        <v>6117</v>
      </c>
      <c r="C355" s="37" t="s">
        <v>6</v>
      </c>
      <c r="D355" s="37">
        <v>1</v>
      </c>
      <c r="E355" s="92">
        <v>14000</v>
      </c>
    </row>
    <row r="356" spans="1:5">
      <c r="A356" s="21">
        <f t="shared" si="6"/>
        <v>353</v>
      </c>
      <c r="B356" s="85" t="str">
        <f ca="1">IFERROR(__xludf.DUMMYFUNCTION("GOOGLETRANSLATE(B2722:B2737,""RU"",""UK"")"),"Кутомір універсальний з ноніусом та лупою УН-0.05° (0-360*) VIS ПНР")</f>
        <v>Кутомір універсальний з ноніусом та лупою УН-0.05° (0-360*) VIS ПНР</v>
      </c>
      <c r="C356" s="59" t="s">
        <v>6</v>
      </c>
      <c r="D356" s="59">
        <v>1</v>
      </c>
      <c r="E356" s="91" t="s">
        <v>3660</v>
      </c>
    </row>
    <row r="357" spans="1:5">
      <c r="A357" s="21">
        <f t="shared" si="6"/>
        <v>354</v>
      </c>
      <c r="B357" s="85" t="str">
        <f ca="1">IFERROR(__xludf.DUMMYFUNCTION("GOOGLETRANSLATE(B2722:B2737,""RU"",""UK"")"),"Кутомір універсальний з ноніусом та лупою УН-0.05° (0-360*) VIS ПНР, мало вживан.")</f>
        <v>Кутомір універсальний з ноніусом та лупою УН-0.05° (0-360*) VIS ПНР, мало вживан.</v>
      </c>
      <c r="C357" s="59" t="s">
        <v>6</v>
      </c>
      <c r="D357" s="59">
        <v>1</v>
      </c>
      <c r="E357" s="91">
        <v>2000</v>
      </c>
    </row>
    <row r="358" spans="1:5">
      <c r="A358" s="21">
        <f t="shared" si="6"/>
        <v>355</v>
      </c>
      <c r="B358" s="85" t="s">
        <v>6134</v>
      </c>
      <c r="C358" s="59" t="s">
        <v>6</v>
      </c>
      <c r="D358" s="59">
        <v>2</v>
      </c>
      <c r="E358" s="91">
        <v>4200</v>
      </c>
    </row>
    <row r="359" spans="1:5">
      <c r="A359" s="21">
        <f t="shared" si="6"/>
        <v>356</v>
      </c>
      <c r="B359" s="217" t="s">
        <v>6265</v>
      </c>
      <c r="C359" s="59" t="s">
        <v>6</v>
      </c>
      <c r="D359" s="59">
        <v>0</v>
      </c>
      <c r="E359" s="91">
        <v>2700</v>
      </c>
    </row>
    <row r="360" spans="1:5">
      <c r="A360" s="21">
        <f t="shared" si="6"/>
        <v>357</v>
      </c>
      <c r="B360" s="85" t="str">
        <f ca="1">IFERROR(__xludf.DUMMYFUNCTION("GOOGLETRANSLATE(B2723:B2738,""RU"",""UK"")"),"Кутомір універсальний 2-УРІ")</f>
        <v>Кутомір універсальний 2-УРІ</v>
      </c>
      <c r="C360" s="59" t="s">
        <v>6</v>
      </c>
      <c r="D360" s="59">
        <v>3</v>
      </c>
      <c r="E360" s="91" t="s">
        <v>38</v>
      </c>
    </row>
    <row r="361" spans="1:5">
      <c r="A361" s="21">
        <f t="shared" si="6"/>
        <v>358</v>
      </c>
      <c r="B361" s="85" t="str">
        <f ca="1">IFERROR(__xludf.DUMMYFUNCTION("GOOGLETRANSLATE(B2724:B2739,""RU"",""UK"")"),"Кутомір оптичний УО-2 (0-180*) 5`")</f>
        <v>Кутомір оптичний УО-2 (0-180*) 5`</v>
      </c>
      <c r="C361" s="59" t="s">
        <v>6</v>
      </c>
      <c r="D361" s="59">
        <v>2</v>
      </c>
      <c r="E361" s="91" t="s">
        <v>73</v>
      </c>
    </row>
    <row r="362" spans="1:5">
      <c r="A362" s="21">
        <f t="shared" si="6"/>
        <v>359</v>
      </c>
      <c r="B362" s="85" t="str">
        <f ca="1">IFERROR(__xludf.DUMMYFUNCTION("GOOGLETRANSLATE(B2725:B2740,""RU"",""UK"")"),"Кутомір  з рівнем L300мм вжив.")</f>
        <v>Кутомір  з рівнем L300мм вжив.</v>
      </c>
      <c r="C362" s="59" t="s">
        <v>6</v>
      </c>
      <c r="D362" s="59">
        <v>1</v>
      </c>
      <c r="E362" s="91" t="s">
        <v>3664</v>
      </c>
    </row>
    <row r="363" spans="1:5">
      <c r="A363" s="21">
        <f t="shared" si="6"/>
        <v>360</v>
      </c>
      <c r="B363" s="169" t="str">
        <f ca="1">IFERROR(__xludf.DUMMYFUNCTION("GOOGLETRANSLATE(B2727:B2742,""RU"",""UK"")"),"Граммометр ГРМ-60 (предел измерений 10-60г)")</f>
        <v>Граммометр ГРМ-60 (предел измерений 10-60г)</v>
      </c>
      <c r="C363" s="59" t="s">
        <v>6</v>
      </c>
      <c r="D363" s="59">
        <v>1</v>
      </c>
      <c r="E363" s="91">
        <v>520</v>
      </c>
    </row>
    <row r="364" spans="1:5">
      <c r="A364" s="21">
        <f t="shared" si="6"/>
        <v>361</v>
      </c>
      <c r="B364" s="169" t="str">
        <f ca="1">IFERROR(__xludf.DUMMYFUNCTION("GOOGLETRANSLATE(B2728:B2743,""RU"",""UK"")"),"Плоскопар. набір кінц. мір довжини КМД №1 (83 мір) Кл.0 без паспорту")</f>
        <v>Плоскопар. набір кінц. мір довжини КМД №1 (83 мір) Кл.0 без паспорту</v>
      </c>
      <c r="C364" s="59" t="s">
        <v>3118</v>
      </c>
      <c r="D364" s="160">
        <v>1</v>
      </c>
      <c r="E364" s="91">
        <v>6900</v>
      </c>
    </row>
    <row r="365" spans="1:5">
      <c r="A365" s="21">
        <f t="shared" si="6"/>
        <v>362</v>
      </c>
      <c r="B365" s="205" t="str">
        <f ca="1">IFERROR(__xludf.DUMMYFUNCTION("GOOGLETRANSLATE(B2729:B2744,""RU"",""UK"")"),"Плоскопар. набір кінц. мір довжини КМД №1 (83 мір) Кл.1. Мало вживані")</f>
        <v>Плоскопар. набір кінц. мір довжини КМД №1 (83 мір) Кл.1. Мало вживані</v>
      </c>
      <c r="C365" s="59" t="s">
        <v>3118</v>
      </c>
      <c r="D365" s="160">
        <v>1</v>
      </c>
      <c r="E365" s="91">
        <v>3500</v>
      </c>
    </row>
    <row r="366" spans="1:5">
      <c r="A366" s="21">
        <f t="shared" si="6"/>
        <v>363</v>
      </c>
      <c r="B366" s="205" t="str">
        <f ca="1">IFERROR(__xludf.DUMMYFUNCTION("GOOGLETRANSLATE(B2729:B2744,""RU"",""UK"")"),"Плоскопар. набір кінц. мір довжини КМД №1 (83 мір) Кл.1. вживані")</f>
        <v>Плоскопар. набір кінц. мір довжини КМД №1 (83 мір) Кл.1. вживані</v>
      </c>
      <c r="C366" s="59" t="s">
        <v>3118</v>
      </c>
      <c r="D366" s="160">
        <v>2</v>
      </c>
      <c r="E366" s="91">
        <v>3000</v>
      </c>
    </row>
    <row r="367" spans="1:5">
      <c r="A367" s="21">
        <f t="shared" si="6"/>
        <v>364</v>
      </c>
      <c r="B367" s="169" t="str">
        <f ca="1">IFERROR(__xludf.DUMMYFUNCTION("GOOGLETRANSLATE(B2729:B2744,""RU"",""UK"")"),"Плоскопар. набір кінц. мір довжини КМД №1 (83 мір) Кл.2 без пасторта")</f>
        <v>Плоскопар. набір кінц. мір довжини КМД №1 (83 мір) Кл.2 без пасторта</v>
      </c>
      <c r="C367" s="59" t="s">
        <v>3118</v>
      </c>
      <c r="D367" s="160">
        <v>3</v>
      </c>
      <c r="E367" s="91">
        <v>5900</v>
      </c>
    </row>
    <row r="368" spans="1:5">
      <c r="A368" s="21">
        <f t="shared" si="6"/>
        <v>365</v>
      </c>
      <c r="B368" s="169" t="str">
        <f ca="1">IFERROR(__xludf.DUMMYFUNCTION("GOOGLETRANSLATE(B2729:B2744,""RU"",""UK"")"),"Плоскопар. набір кінц. мір довжини КМД №1 (83 мір) Кл.2,  твердосплавні")</f>
        <v>Плоскопар. набір кінц. мір довжини КМД №1 (83 мір) Кл.2,  твердосплавні</v>
      </c>
      <c r="C368" s="59" t="s">
        <v>3118</v>
      </c>
      <c r="D368" s="160">
        <v>1</v>
      </c>
      <c r="E368" s="91">
        <v>7500</v>
      </c>
    </row>
    <row r="369" spans="1:5">
      <c r="A369" s="21">
        <f t="shared" si="6"/>
        <v>366</v>
      </c>
      <c r="B369" s="198" t="str">
        <f ca="1">IFERROR(__xludf.DUMMYFUNCTION("GOOGLETRANSLATE(B2729:B2744,""RU"",""UK"")"),"Плоскопар. набір кінц. мір довжини КМД №1 (83 мір) Кл.3, з паспортом, мало вживані")</f>
        <v>Плоскопар. набір кінц. мір довжини КМД №1 (83 мір) Кл.3, з паспортом, мало вживані</v>
      </c>
      <c r="C369" s="59" t="s">
        <v>3118</v>
      </c>
      <c r="D369" s="160">
        <v>1</v>
      </c>
      <c r="E369" s="91">
        <v>3200</v>
      </c>
    </row>
    <row r="370" spans="1:5">
      <c r="A370" s="21">
        <f t="shared" si="6"/>
        <v>367</v>
      </c>
      <c r="B370" s="198" t="str">
        <f ca="1">IFERROR(__xludf.DUMMYFUNCTION("GOOGLETRANSLATE(B2729:B2744,""RU"",""UK"")"),"Плоскопар. набір кінц. мір довжини КМД №1 (83 мір) Кл.3,  твердосплавні, мало вживані")</f>
        <v>Плоскопар. набір кінц. мір довжини КМД №1 (83 мір) Кл.3,  твердосплавні, мало вживані</v>
      </c>
      <c r="C370" s="59" t="s">
        <v>3118</v>
      </c>
      <c r="D370" s="160">
        <v>1</v>
      </c>
      <c r="E370" s="91">
        <v>3300</v>
      </c>
    </row>
    <row r="371" spans="1:5">
      <c r="A371" s="21">
        <f t="shared" si="6"/>
        <v>368</v>
      </c>
      <c r="B371" s="198" t="str">
        <f ca="1">IFERROR(__xludf.DUMMYFUNCTION("GOOGLETRANSLATE(B2729:B2744,""RU"",""UK"")"),"Плоскопар. набір кінц. мір довжини КМД №1 (83 мір) Кл.3,  мало вживані")</f>
        <v>Плоскопар. набір кінц. мір довжини КМД №1 (83 мір) Кл.3,  мало вживані</v>
      </c>
      <c r="C371" s="59" t="s">
        <v>3118</v>
      </c>
      <c r="D371" s="160">
        <v>1</v>
      </c>
      <c r="E371" s="91">
        <v>2900</v>
      </c>
    </row>
    <row r="372" spans="1:5">
      <c r="A372" s="21">
        <f t="shared" si="6"/>
        <v>369</v>
      </c>
      <c r="B372" s="85" t="str">
        <f ca="1">IFERROR(__xludf.DUMMYFUNCTION("GOOGLETRANSLATE(B2731:B2746,""RU"",""UK"")"),"Плоскопар. набір кінц. мір довжини КМД №2 (38 мір) Кл.1")</f>
        <v>Плоскопар. набір кінц. мір довжини КМД №2 (38 мір) Кл.1</v>
      </c>
      <c r="C372" s="59" t="s">
        <v>3118</v>
      </c>
      <c r="D372" s="59">
        <v>8</v>
      </c>
      <c r="E372" s="91">
        <v>3800</v>
      </c>
    </row>
    <row r="373" spans="1:5">
      <c r="A373" s="21">
        <f t="shared" si="6"/>
        <v>370</v>
      </c>
      <c r="B373" s="85" t="str">
        <f ca="1">IFERROR(__xludf.DUMMYFUNCTION("GOOGLETRANSLATE(B2731:B2746,""RU"",""UK"")"),"Плоскопар. набір кінц. мір довжини КМД №2 (38 мір) Кл.1 твердосплавні")</f>
        <v>Плоскопар. набір кінц. мір довжини КМД №2 (38 мір) Кл.1 твердосплавні</v>
      </c>
      <c r="C373" s="59" t="s">
        <v>3118</v>
      </c>
      <c r="D373" s="59">
        <v>1</v>
      </c>
      <c r="E373" s="91">
        <v>5000</v>
      </c>
    </row>
    <row r="374" spans="1:5">
      <c r="A374" s="21">
        <f t="shared" si="6"/>
        <v>371</v>
      </c>
      <c r="B374" s="85" t="str">
        <f ca="1">IFERROR(__xludf.DUMMYFUNCTION("GOOGLETRANSLATE(B2731:B2746,""RU"",""UK"")"),"Плоскопар. набір кінц. мір довжини КМД №2 (38 мір) Кл.1 мало вживаний")</f>
        <v>Плоскопар. набір кінц. мір довжини КМД №2 (38 мір) Кл.1 мало вживаний</v>
      </c>
      <c r="C374" s="59" t="s">
        <v>3118</v>
      </c>
      <c r="D374" s="59">
        <v>1</v>
      </c>
      <c r="E374" s="91">
        <v>2300</v>
      </c>
    </row>
    <row r="375" spans="1:5">
      <c r="A375" s="21">
        <f t="shared" ref="A375" si="7">A374+1</f>
        <v>372</v>
      </c>
      <c r="B375" s="85" t="str">
        <f ca="1">IFERROR(__xludf.DUMMYFUNCTION("GOOGLETRANSLATE(B2732:B2747,""RU"",""UK"")"),"Плоскопар. набір кінц. мір довжини КМД №2 (38 мір) Кл.2")</f>
        <v>Плоскопар. набір кінц. мір довжини КМД №2 (38 мір) Кл.2</v>
      </c>
      <c r="C375" s="59" t="s">
        <v>3118</v>
      </c>
      <c r="D375" s="59">
        <v>1</v>
      </c>
      <c r="E375" s="91">
        <v>3500</v>
      </c>
    </row>
    <row r="376" spans="1:5">
      <c r="A376" s="21">
        <f t="shared" ref="A376:A440" si="8">A375+1</f>
        <v>373</v>
      </c>
      <c r="B376" s="169" t="str">
        <f ca="1">IFERROR(__xludf.DUMMYFUNCTION("GOOGLETRANSLATE(B2733:B2748,""RU"",""UK"")"),"Плоскопар. набір кінц. мір довжини КМД №3 (112 мір) Кл.1")</f>
        <v>Плоскопар. набір кінц. мір довжини КМД №3 (112 мір) Кл.1</v>
      </c>
      <c r="C376" s="59" t="s">
        <v>3118</v>
      </c>
      <c r="D376" s="59">
        <v>2</v>
      </c>
      <c r="E376" s="91">
        <v>14000</v>
      </c>
    </row>
    <row r="377" spans="1:5">
      <c r="A377" s="21">
        <f t="shared" si="8"/>
        <v>374</v>
      </c>
      <c r="B377" s="169" t="str">
        <f ca="1">IFERROR(__xludf.DUMMYFUNCTION("GOOGLETRANSLATE(B2733:B2748,""RU"",""UK"")"),"Плоскопар. набір кінц. мір довжини КМД №3 (112 мір) Кл.2 твердосплавні")</f>
        <v>Плоскопар. набір кінц. мір довжини КМД №3 (112 мір) Кл.2 твердосплавні</v>
      </c>
      <c r="C377" s="59" t="s">
        <v>3118</v>
      </c>
      <c r="D377" s="59">
        <v>2</v>
      </c>
      <c r="E377" s="91">
        <v>18000</v>
      </c>
    </row>
    <row r="378" spans="1:5">
      <c r="A378" s="21">
        <f t="shared" si="8"/>
        <v>375</v>
      </c>
      <c r="B378" s="85" t="str">
        <f ca="1">IFERROR(__xludf.DUMMYFUNCTION("GOOGLETRANSLATE(B2734:B2749,""RU"",""UK"")"),"Плоскопар. набір кінц. мір довжини КМД №7 (11 мір) Кл.1")</f>
        <v>Плоскопар. набір кінц. мір довжини КМД №7 (11 мір) Кл.1</v>
      </c>
      <c r="C378" s="59" t="s">
        <v>3118</v>
      </c>
      <c r="D378" s="59">
        <v>1</v>
      </c>
      <c r="E378" s="91" t="s">
        <v>71</v>
      </c>
    </row>
    <row r="379" spans="1:5">
      <c r="A379" s="21">
        <f t="shared" si="8"/>
        <v>376</v>
      </c>
      <c r="B379" s="205" t="str">
        <f ca="1">IFERROR(__xludf.DUMMYFUNCTION("GOOGLETRANSLATE(B2734:B2749,""RU"",""UK"")"),"Плоскопар. набір кінц. мір довжини КМД №8, Кл.1, (50-500мм), мало вживані")</f>
        <v>Плоскопар. набір кінц. мір довжини КМД №8, Кл.1, (50-500мм), мало вживані</v>
      </c>
      <c r="C379" s="59" t="s">
        <v>3118</v>
      </c>
      <c r="D379" s="59">
        <v>3</v>
      </c>
      <c r="E379" s="91">
        <v>5900</v>
      </c>
    </row>
    <row r="380" spans="1:5">
      <c r="A380" s="21">
        <f t="shared" si="8"/>
        <v>377</v>
      </c>
      <c r="B380" s="205" t="str">
        <f ca="1">IFERROR(__xludf.DUMMYFUNCTION("GOOGLETRANSLATE(B2734:B2749,""RU"",""UK"")"),"Плоскопар. набір кінц. мір довжини КМД №8, Кл.2, (50-500мм), мало вживані")</f>
        <v>Плоскопар. набір кінц. мір довжини КМД №8, Кл.2, (50-500мм), мало вживані</v>
      </c>
      <c r="C380" s="59" t="s">
        <v>3118</v>
      </c>
      <c r="D380" s="59">
        <v>1</v>
      </c>
      <c r="E380" s="91">
        <v>5700</v>
      </c>
    </row>
    <row r="381" spans="1:5">
      <c r="A381" s="21">
        <f t="shared" si="8"/>
        <v>378</v>
      </c>
      <c r="B381" s="85" t="str">
        <f ca="1">IFERROR(__xludf.DUMMYFUNCTION("GOOGLETRANSLATE(B2736:B2751,""RU"",""UK"")"),"Зразкові плоскопаралельні міри 3 розряд КМД (№№ 3, 10, 11, 16, 17, 20, 21 та ПІ60)")</f>
        <v>Зразкові плоскопаралельні міри 3 розряд КМД (№№ 3, 10, 11, 16, 17, 20, 21 та ПІ60)</v>
      </c>
      <c r="C381" s="59" t="s">
        <v>3118</v>
      </c>
      <c r="D381" s="59">
        <v>1</v>
      </c>
      <c r="E381" s="91" t="s">
        <v>6099</v>
      </c>
    </row>
    <row r="382" spans="1:5">
      <c r="A382" s="21">
        <f t="shared" si="8"/>
        <v>379</v>
      </c>
      <c r="B382" s="85" t="s">
        <v>6229</v>
      </c>
      <c r="C382" s="59" t="s">
        <v>3118</v>
      </c>
      <c r="D382" s="59">
        <v>1</v>
      </c>
      <c r="E382" s="91">
        <v>1050</v>
      </c>
    </row>
    <row r="383" spans="1:5">
      <c r="A383" s="21">
        <f t="shared" si="8"/>
        <v>380</v>
      </c>
      <c r="B383" s="85" t="str">
        <f ca="1">IFERROR(__xludf.DUMMYFUNCTION("GOOGLETRANSLATE(B2738:B2753,""RU"",""UK"")"),"Набір приладдя до мір довжини кінцевих плоскопаралельних, набір стяжок ПК0")</f>
        <v>Набір приладдя до мір довжини кінцевих плоскопаралельних, набір стяжок ПК0</v>
      </c>
      <c r="C383" s="59" t="s">
        <v>6</v>
      </c>
      <c r="D383" s="59">
        <v>1</v>
      </c>
      <c r="E383" s="91">
        <v>9000</v>
      </c>
    </row>
    <row r="384" spans="1:5">
      <c r="A384" s="21">
        <f t="shared" si="8"/>
        <v>381</v>
      </c>
      <c r="B384" s="85" t="str">
        <f ca="1">IFERROR(__xludf.DUMMYFUNCTION("GOOGLETRANSLATE(B2738:B2753,""RU"",""UK"")"),"Набір приладдя до мір довжини кінцевих плоскопаралельних, набір стяжок ПК0 (як новий)")</f>
        <v>Набір приладдя до мір довжини кінцевих плоскопаралельних, набір стяжок ПК0 (як новий)</v>
      </c>
      <c r="C384" s="59" t="s">
        <v>6</v>
      </c>
      <c r="D384" s="59">
        <v>1</v>
      </c>
      <c r="E384" s="91">
        <v>8000</v>
      </c>
    </row>
    <row r="385" spans="1:5">
      <c r="A385" s="21">
        <f t="shared" si="8"/>
        <v>382</v>
      </c>
      <c r="B385" s="195" t="str">
        <f ca="1">IFERROR(__xludf.DUMMYFUNCTION("GOOGLETRANSLATE(B2738:B2753,""RU"",""UK"")"),"Набір приладдя до мір довжини кінцевих плоскопаралельних, набір стяжок ПК0, вживаний")</f>
        <v>Набір приладдя до мір довжини кінцевих плоскопаралельних, набір стяжок ПК0, вживаний</v>
      </c>
      <c r="C385" s="59" t="s">
        <v>6</v>
      </c>
      <c r="D385" s="59">
        <v>1</v>
      </c>
      <c r="E385" s="91">
        <v>5200</v>
      </c>
    </row>
    <row r="386" spans="1:5">
      <c r="A386" s="21">
        <f t="shared" si="8"/>
        <v>383</v>
      </c>
      <c r="B386" s="85" t="str">
        <f ca="1">IFERROR(__xludf.DUMMYFUNCTION("GOOGLETRANSLATE(B2738:B2753,""RU"",""UK"")"),"Набір приладдя до мір довжини кінцевих плоскопаралельних ПК1 повний (1965г)")</f>
        <v>Набір приладдя до мір довжини кінцевих плоскопаралельних ПК1 повний (1965г)</v>
      </c>
      <c r="C386" s="59" t="s">
        <v>6</v>
      </c>
      <c r="D386" s="59">
        <v>1</v>
      </c>
      <c r="E386" s="91">
        <v>9800</v>
      </c>
    </row>
    <row r="387" spans="1:5">
      <c r="A387" s="21">
        <f t="shared" si="8"/>
        <v>384</v>
      </c>
      <c r="B387" s="229" t="str">
        <f ca="1">IFERROR(__xludf.DUMMYFUNCTION("GOOGLETRANSLATE(B2738:B2753,""RU"",""UK"")"),"Набір приладдя до мір довжини кінцевих плоскопаралельних ПК1мало вживаний(комплект без лінійки)")</f>
        <v>Набір приладдя до мір довжини кінцевих плоскопаралельних ПК1мало вживаний(комплект без лінійки)</v>
      </c>
      <c r="C387" s="59" t="s">
        <v>6</v>
      </c>
      <c r="D387" s="59">
        <v>1</v>
      </c>
      <c r="E387" s="91">
        <v>5800</v>
      </c>
    </row>
    <row r="388" spans="1:5">
      <c r="A388" s="21">
        <f t="shared" si="8"/>
        <v>385</v>
      </c>
      <c r="B388" s="85" t="str">
        <f ca="1">IFERROR(__xludf.DUMMYFUNCTION("GOOGLETRANSLATE(B2739:B2754,""RU"",""UK"")"),"Набір приладдя до мір довжини кінцевих плоскопаралельних ПК1 мало вжив.")</f>
        <v>Набір приладдя до мір довжини кінцевих плоскопаралельних ПК1 мало вжив.</v>
      </c>
      <c r="C388" s="59" t="s">
        <v>6</v>
      </c>
      <c r="D388" s="59">
        <v>5</v>
      </c>
      <c r="E388" s="91">
        <v>6500</v>
      </c>
    </row>
    <row r="389" spans="1:5">
      <c r="A389" s="21">
        <f t="shared" si="8"/>
        <v>386</v>
      </c>
      <c r="B389" s="85" t="str">
        <f ca="1">IFERROR(__xludf.DUMMYFUNCTION("GOOGLETRANSLATE(B2739:B2754,""RU"",""UK"")"),"Набір приладдя до мір довжини кінцевих плоскопаралельних ПК1 повний, мало вжив.")</f>
        <v>Набір приладдя до мір довжини кінцевих плоскопаралельних ПК1 повний, мало вжив.</v>
      </c>
      <c r="C389" s="59" t="s">
        <v>6</v>
      </c>
      <c r="D389" s="59">
        <v>1</v>
      </c>
      <c r="E389" s="91">
        <v>7000</v>
      </c>
    </row>
    <row r="390" spans="1:5">
      <c r="A390" s="21">
        <f t="shared" si="8"/>
        <v>387</v>
      </c>
      <c r="B390" s="85" t="str">
        <f ca="1">IFERROR(__xludf.DUMMYFUNCTION("GOOGLETRANSLATE(B2740:B2755,""RU"",""UK"")"),"Набір приладдя до мір довжини ПК2")</f>
        <v>Набір приладдя до мір довжини ПК2</v>
      </c>
      <c r="C390" s="59" t="s">
        <v>6</v>
      </c>
      <c r="D390" s="59">
        <v>1</v>
      </c>
      <c r="E390" s="91">
        <v>5000</v>
      </c>
    </row>
    <row r="391" spans="1:5">
      <c r="A391" s="21">
        <f t="shared" si="8"/>
        <v>388</v>
      </c>
      <c r="B391" s="85" t="str">
        <f ca="1">IFERROR(__xludf.DUMMYFUNCTION("GOOGLETRANSLATE(B2741:B2756,""RU"",""UK"")"),"Набір приладдя до мір довжини ПК2 мало вживан.")</f>
        <v>Набір приладдя до мір довжини ПК2 мало вживан.</v>
      </c>
      <c r="C391" s="59" t="s">
        <v>6</v>
      </c>
      <c r="D391" s="59">
        <v>5</v>
      </c>
      <c r="E391" s="91">
        <v>4000</v>
      </c>
    </row>
    <row r="392" spans="1:5">
      <c r="A392" s="21">
        <f t="shared" si="8"/>
        <v>389</v>
      </c>
      <c r="B392" s="85" t="str">
        <f ca="1">IFERROR(__xludf.DUMMYFUNCTION("GOOGLETRANSLATE(B2741:B2756,""RU"",""UK"")"),"Набір приладдя до мір довжини ПК2 вживан.")</f>
        <v>Набір приладдя до мір довжини ПК2 вживан.</v>
      </c>
      <c r="C392" s="59" t="s">
        <v>6</v>
      </c>
      <c r="D392" s="59">
        <v>1</v>
      </c>
      <c r="E392" s="91">
        <v>3100</v>
      </c>
    </row>
    <row r="393" spans="1:5">
      <c r="A393" s="21">
        <f t="shared" si="8"/>
        <v>390</v>
      </c>
      <c r="B393" s="85" t="str">
        <f ca="1">IFERROR(__xludf.DUMMYFUNCTION("GOOGLETRANSLATE(B2740:B2755,""RU"",""UK"")"),"Набір приладдя до мір довжини ПК")</f>
        <v>Набір приладдя до мір довжини ПК</v>
      </c>
      <c r="C393" s="59" t="s">
        <v>6</v>
      </c>
      <c r="D393" s="59">
        <v>1</v>
      </c>
      <c r="E393" s="91">
        <v>1200</v>
      </c>
    </row>
    <row r="394" spans="1:5">
      <c r="A394" s="21">
        <f t="shared" si="8"/>
        <v>391</v>
      </c>
      <c r="B394" s="85" t="str">
        <f ca="1">IFERROR(__xludf.DUMMYFUNCTION("GOOGLETRANSLATE(B2742:B2757,""RU"",""UK"")"),"Набір мір плоского кута МУ №1 Кл. 1 (93шт).")</f>
        <v>Набір мір плоского кута МУ №1 Кл. 1 (93шт).</v>
      </c>
      <c r="C394" s="59" t="s">
        <v>6</v>
      </c>
      <c r="D394" s="59">
        <v>2</v>
      </c>
      <c r="E394" s="91" t="s">
        <v>991</v>
      </c>
    </row>
    <row r="395" spans="1:5">
      <c r="A395" s="21">
        <f t="shared" si="8"/>
        <v>392</v>
      </c>
      <c r="B395" s="200" t="str">
        <f ca="1">IFERROR(__xludf.DUMMYFUNCTION("GOOGLETRANSLATE(B2743:B2758,""RU"",""UK"")"),"Набір мір плоского кута МУ №1 Кл. 2 (93шт).")</f>
        <v>Набір мір плоского кута МУ №1 Кл. 2 (93шт).</v>
      </c>
      <c r="C395" s="59" t="s">
        <v>6</v>
      </c>
      <c r="D395" s="59">
        <v>0</v>
      </c>
      <c r="E395" s="91" t="s">
        <v>59</v>
      </c>
    </row>
    <row r="396" spans="1:5">
      <c r="A396" s="21">
        <f t="shared" si="8"/>
        <v>393</v>
      </c>
      <c r="B396" s="85" t="str">
        <f ca="1">IFERROR(__xludf.DUMMYFUNCTION("GOOGLETRANSLATE(B2744:B2759,""RU"",""UK"")"),"Набір мір плоского кута МУ №1 Кл. 2 (93шт) мало вжив.")</f>
        <v>Набір мір плоского кута МУ №1 Кл. 2 (93шт) мало вжив.</v>
      </c>
      <c r="C396" s="59" t="s">
        <v>6</v>
      </c>
      <c r="D396" s="59">
        <v>1</v>
      </c>
      <c r="E396" s="91" t="s">
        <v>73</v>
      </c>
    </row>
    <row r="397" spans="1:5">
      <c r="A397" s="21">
        <f t="shared" si="8"/>
        <v>394</v>
      </c>
      <c r="B397" s="85" t="str">
        <f ca="1">IFERROR(__xludf.DUMMYFUNCTION("GOOGLETRANSLATE(B2745:B2760,""RU"",""UK"")"),"Набір мір кутових призматичні МУ №2 Кл.2 (33шт).")</f>
        <v>Набір мір кутових призматичні МУ №2 Кл.2 (33шт).</v>
      </c>
      <c r="C397" s="59" t="s">
        <v>6</v>
      </c>
      <c r="D397" s="59">
        <v>1</v>
      </c>
      <c r="E397" s="91" t="s">
        <v>914</v>
      </c>
    </row>
    <row r="398" spans="1:5">
      <c r="A398" s="21">
        <f t="shared" si="8"/>
        <v>395</v>
      </c>
      <c r="B398" s="85" t="str">
        <f ca="1">IFERROR(__xludf.DUMMYFUNCTION("GOOGLETRANSLATE(B2745:B2760,""RU"",""UK"")"),"Набір мір кутових призматичні МУ №2 Кл.1 (33шт). Без паспорту")</f>
        <v>Набір мір кутових призматичні МУ №2 Кл.1 (33шт). Без паспорту</v>
      </c>
      <c r="C398" s="59" t="s">
        <v>6</v>
      </c>
      <c r="D398" s="59">
        <v>1</v>
      </c>
      <c r="E398" s="91">
        <v>2800</v>
      </c>
    </row>
    <row r="399" spans="1:5">
      <c r="A399" s="21">
        <f t="shared" si="8"/>
        <v>396</v>
      </c>
      <c r="B399" s="169" t="str">
        <f ca="1">IFERROR(__xludf.DUMMYFUNCTION("GOOGLETRANSLATE(B2746:B2761,""RU"",""UK"")"),"Набір мір кутових призматичних МУ №4 Кл.1")</f>
        <v>Набір мір кутових призматичних МУ №4 Кл.1</v>
      </c>
      <c r="C399" s="59" t="s">
        <v>6</v>
      </c>
      <c r="D399" s="59">
        <v>1</v>
      </c>
      <c r="E399" s="91" t="s">
        <v>3545</v>
      </c>
    </row>
    <row r="400" spans="1:5">
      <c r="A400" s="21">
        <f t="shared" si="8"/>
        <v>397</v>
      </c>
      <c r="B400" s="164" t="str">
        <f ca="1">IFERROR(__xludf.DUMMYFUNCTION("GOOGLETRANSLATE(B2747:B2762,""RU"",""UK"")"),"Міри твердості зразкові МТР ")</f>
        <v xml:space="preserve">Міри твердості зразкові МТР </v>
      </c>
      <c r="C400" s="59" t="s">
        <v>1031</v>
      </c>
      <c r="D400" s="59">
        <v>0</v>
      </c>
      <c r="E400" s="91"/>
    </row>
    <row r="401" spans="1:5">
      <c r="A401" s="21">
        <f t="shared" si="8"/>
        <v>398</v>
      </c>
      <c r="B401" s="85" t="str">
        <f ca="1">IFERROR(__xludf.DUMMYFUNCTION("GOOGLETRANSLATE(B2748:B2763,""RU"",""UK"")"),"Міри твердості зразкові МТБ-1 ")</f>
        <v xml:space="preserve">Міри твердості зразкові МТБ-1 </v>
      </c>
      <c r="C401" s="59" t="s">
        <v>1031</v>
      </c>
      <c r="D401" s="59">
        <v>5</v>
      </c>
      <c r="E401" s="91" t="s">
        <v>38</v>
      </c>
    </row>
    <row r="402" spans="1:5">
      <c r="A402" s="21">
        <f t="shared" si="8"/>
        <v>399</v>
      </c>
      <c r="B402" s="85" t="str">
        <f ca="1">IFERROR(__xludf.DUMMYFUNCTION("GOOGLETRANSLATE(B2748:B2763,""RU"",""UK"")"),"Міри твердості зразкові МТВ-1")</f>
        <v>Міри твердості зразкові МТВ-1</v>
      </c>
      <c r="C402" s="59" t="s">
        <v>1031</v>
      </c>
      <c r="D402" s="59">
        <v>2</v>
      </c>
      <c r="E402" s="91" t="s">
        <v>38</v>
      </c>
    </row>
    <row r="403" spans="1:5">
      <c r="A403" s="21">
        <f t="shared" si="8"/>
        <v>400</v>
      </c>
      <c r="B403" s="85" t="str">
        <f ca="1">IFERROR(__xludf.DUMMYFUNCTION("GOOGLETRANSLATE(B2748:B2763,""RU"",""UK"")"),"Міри твердості зразкові МТСР-1")</f>
        <v>Міри твердості зразкові МТСР-1</v>
      </c>
      <c r="C403" s="59" t="s">
        <v>1031</v>
      </c>
      <c r="D403" s="59">
        <v>1</v>
      </c>
      <c r="E403" s="91" t="s">
        <v>38</v>
      </c>
    </row>
    <row r="404" spans="1:5">
      <c r="A404" s="21">
        <f t="shared" si="8"/>
        <v>401</v>
      </c>
      <c r="B404" s="85" t="s">
        <v>6289</v>
      </c>
      <c r="C404" s="59" t="s">
        <v>6</v>
      </c>
      <c r="D404" s="59">
        <v>1</v>
      </c>
      <c r="E404" s="91">
        <v>350</v>
      </c>
    </row>
    <row r="405" spans="1:5">
      <c r="A405" s="21">
        <f t="shared" si="8"/>
        <v>402</v>
      </c>
      <c r="B405" s="85" t="str">
        <f ca="1">IFERROR(__xludf.DUMMYFUNCTION("GOOGLETRANSLATE(B2749:B2764,""RU"",""UK"")"),"Рулетка землемірна 20м")</f>
        <v>Рулетка землемірна 20м</v>
      </c>
      <c r="C405" s="59" t="s">
        <v>6</v>
      </c>
      <c r="D405" s="59">
        <v>13</v>
      </c>
      <c r="E405" s="91" t="s">
        <v>119</v>
      </c>
    </row>
    <row r="406" spans="1:5">
      <c r="A406" s="21">
        <f t="shared" si="8"/>
        <v>403</v>
      </c>
      <c r="B406" s="85" t="s">
        <v>6288</v>
      </c>
      <c r="C406" s="59" t="s">
        <v>6</v>
      </c>
      <c r="D406" s="59">
        <v>2</v>
      </c>
      <c r="E406" s="91">
        <v>500</v>
      </c>
    </row>
    <row r="407" spans="1:5">
      <c r="A407" s="21">
        <f t="shared" si="8"/>
        <v>404</v>
      </c>
      <c r="B407" s="200" t="str">
        <f ca="1">IFERROR(__xludf.DUMMYFUNCTION("GOOGLETRANSLATE(B2750:B2765,""RU"",""UK"")"),"Рулетка 50м Р50РЗК ДЕРЖСТАНДАРТ")</f>
        <v>Рулетка 50м Р50РЗК ДЕРЖСТАНДАРТ</v>
      </c>
      <c r="C407" s="59" t="s">
        <v>6</v>
      </c>
      <c r="D407" s="59">
        <v>0</v>
      </c>
      <c r="E407" s="91">
        <v>900</v>
      </c>
    </row>
    <row r="408" spans="1:5">
      <c r="A408" s="21">
        <f t="shared" si="8"/>
        <v>405</v>
      </c>
      <c r="B408" s="200" t="str">
        <f ca="1">IFERROR(__xludf.DUMMYFUNCTION("GOOGLETRANSLATE(B2750:B2765,""RU"",""UK"")"),"Рулетка 50м Р50РЗК ДЕРЖСТАНДАРТ (надлом ручки)")</f>
        <v>Рулетка 50м Р50РЗК ДЕРЖСТАНДАРТ (надлом ручки)</v>
      </c>
      <c r="C408" s="59" t="s">
        <v>6</v>
      </c>
      <c r="D408" s="59">
        <v>0</v>
      </c>
      <c r="E408" s="91">
        <v>800</v>
      </c>
    </row>
    <row r="409" spans="1:5">
      <c r="A409" s="21">
        <f t="shared" si="8"/>
        <v>406</v>
      </c>
      <c r="B409" s="85" t="str">
        <f ca="1">IFERROR(__xludf.DUMMYFUNCTION("GOOGLETRANSLATE(B2751:B2766,""RU"",""UK"")"),"Рулетка в обгумованому корпусі з фіксатором, 10м/25мм")</f>
        <v>Рулетка в обгумованому корпусі з фіксатором, 10м/25мм</v>
      </c>
      <c r="C409" s="59" t="s">
        <v>6</v>
      </c>
      <c r="D409" s="59">
        <v>2</v>
      </c>
      <c r="E409" s="91" t="s">
        <v>159</v>
      </c>
    </row>
    <row r="410" spans="1:5">
      <c r="A410" s="21">
        <f t="shared" si="8"/>
        <v>407</v>
      </c>
      <c r="B410" s="85" t="str">
        <f ca="1">IFERROR(__xludf.DUMMYFUNCTION("GOOGLETRANSLATE(B2752:B2767,""RU"",""UK"")"),"Рулетка в обгумованому корпусі з фіксатором, 8м/25мм")</f>
        <v>Рулетка в обгумованому корпусі з фіксатором, 8м/25мм</v>
      </c>
      <c r="C410" s="59" t="s">
        <v>6</v>
      </c>
      <c r="D410" s="59">
        <v>7</v>
      </c>
      <c r="E410" s="91" t="s">
        <v>140</v>
      </c>
    </row>
    <row r="411" spans="1:5">
      <c r="A411" s="21">
        <f t="shared" si="8"/>
        <v>408</v>
      </c>
      <c r="B411" s="169" t="str">
        <f ca="1">IFERROR(__xludf.DUMMYFUNCTION("GOOGLETRANSLATE(B2753:B2768,""RU"",""UK"")"),"Рулетка в обгумованому корпусі з фіксатором, 5м/25мм")</f>
        <v>Рулетка в обгумованому корпусі з фіксатором, 5м/25мм</v>
      </c>
      <c r="C411" s="37" t="s">
        <v>6</v>
      </c>
      <c r="D411" s="37">
        <v>2</v>
      </c>
      <c r="E411" s="92" t="s">
        <v>519</v>
      </c>
    </row>
    <row r="412" spans="1:5">
      <c r="A412" s="21">
        <f t="shared" si="8"/>
        <v>409</v>
      </c>
      <c r="B412" s="169" t="str">
        <f ca="1">IFERROR(__xludf.DUMMYFUNCTION("GOOGLETRANSLATE(B2754:B2769,""RU"",""UK"")"),"Рулетка в обгумованому корпусі2 фукції, 3м/16мм")</f>
        <v>Рулетка в обгумованому корпусі2 фукції, 3м/16мм</v>
      </c>
      <c r="C412" s="59" t="s">
        <v>6</v>
      </c>
      <c r="D412" s="59">
        <v>4</v>
      </c>
      <c r="E412" s="91">
        <v>129</v>
      </c>
    </row>
    <row r="413" spans="1:5">
      <c r="A413" s="21">
        <f t="shared" si="8"/>
        <v>410</v>
      </c>
      <c r="B413" s="85" t="str">
        <f ca="1">IFERROR(__xludf.DUMMYFUNCTION("GOOGLETRANSLATE(B2755:B2770,""RU"",""UK"")"),"Лінійка металева 1000мм ГОСТ")</f>
        <v>Лінійка металева 1000мм ГОСТ</v>
      </c>
      <c r="C413" s="59" t="s">
        <v>6</v>
      </c>
      <c r="D413" s="59">
        <v>12</v>
      </c>
      <c r="E413" s="91">
        <v>350</v>
      </c>
    </row>
    <row r="414" spans="1:5">
      <c r="A414" s="21">
        <f t="shared" si="8"/>
        <v>411</v>
      </c>
      <c r="B414" s="85" t="str">
        <f ca="1">IFERROR(__xludf.DUMMYFUNCTION("GOOGLETRANSLATE(B2755:B2770,""RU"",""UK"")"),"Лінійка металева 1000мм Бытовая")</f>
        <v>Лінійка металева 1000мм Бытовая</v>
      </c>
      <c r="C414" s="59" t="s">
        <v>6</v>
      </c>
      <c r="D414" s="59">
        <v>7</v>
      </c>
      <c r="E414" s="91">
        <v>325</v>
      </c>
    </row>
    <row r="415" spans="1:5">
      <c r="A415" s="21">
        <f t="shared" si="8"/>
        <v>412</v>
      </c>
      <c r="B415" s="85" t="str">
        <f ca="1">IFERROR(__xludf.DUMMYFUNCTION("GOOGLETRANSLATE(B2756:B2771,""RU"",""UK"")"),"Лінійка металева 600мм Японія (міліметровим та дюймовим градуюванням)")</f>
        <v>Лінійка металева 600мм Японія (міліметровим та дюймовим градуюванням)</v>
      </c>
      <c r="C415" s="59" t="s">
        <v>6</v>
      </c>
      <c r="D415" s="59">
        <v>9</v>
      </c>
      <c r="E415" s="91">
        <v>270</v>
      </c>
    </row>
    <row r="416" spans="1:5">
      <c r="A416" s="21">
        <f t="shared" si="8"/>
        <v>413</v>
      </c>
      <c r="B416" s="85" t="str">
        <f ca="1">IFERROR(__xludf.DUMMYFUNCTION("GOOGLETRANSLATE(B2757:B2772,""RU"",""UK"")"),"Лінійка металева 500мм ГОСТ")</f>
        <v>Лінійка металева 500мм ГОСТ</v>
      </c>
      <c r="C416" s="59" t="s">
        <v>6</v>
      </c>
      <c r="D416" s="59">
        <v>60</v>
      </c>
      <c r="E416" s="91">
        <v>140</v>
      </c>
    </row>
    <row r="417" spans="1:5">
      <c r="A417" s="21">
        <f t="shared" si="8"/>
        <v>414</v>
      </c>
      <c r="B417" s="85" t="str">
        <f ca="1">IFERROR(__xludf.DUMMYFUNCTION("GOOGLETRANSLATE(B2760:B2775,""RU"",""UK"")"),"Лінійка металева 500мм, з-д Калібр")</f>
        <v>Лінійка металева 500мм, з-д Калібр</v>
      </c>
      <c r="C417" s="59" t="s">
        <v>6</v>
      </c>
      <c r="D417" s="59">
        <v>1</v>
      </c>
      <c r="E417" s="91">
        <v>168</v>
      </c>
    </row>
    <row r="418" spans="1:5">
      <c r="A418" s="21">
        <f t="shared" si="8"/>
        <v>415</v>
      </c>
      <c r="B418" s="85" t="str">
        <f ca="1">IFERROR(__xludf.DUMMYFUNCTION("GOOGLETRANSLATE(B2757:B2772,""RU"",""UK"")"),"Лінійка усадочна металева 500мм (усадка 1,5 мм на 100мм) ГОСТ, з-д Калібр")</f>
        <v>Лінійка усадочна металева 500мм (усадка 1,5 мм на 100мм) ГОСТ, з-д Калібр</v>
      </c>
      <c r="C418" s="59" t="s">
        <v>6</v>
      </c>
      <c r="D418" s="59">
        <v>1</v>
      </c>
      <c r="E418" s="91">
        <v>150</v>
      </c>
    </row>
    <row r="419" spans="1:5">
      <c r="A419" s="21">
        <f t="shared" si="8"/>
        <v>416</v>
      </c>
      <c r="B419" s="85" t="str">
        <f ca="1">IFERROR(__xludf.DUMMYFUNCTION("GOOGLETRANSLATE(B2758:B2773,""RU"",""UK"")"),"Лінійка металева 300мм ГОСТ")</f>
        <v>Лінійка металева 300мм ГОСТ</v>
      </c>
      <c r="C419" s="59" t="s">
        <v>6</v>
      </c>
      <c r="D419" s="59">
        <v>31</v>
      </c>
      <c r="E419" s="91" t="s">
        <v>104</v>
      </c>
    </row>
    <row r="420" spans="1:5">
      <c r="A420" s="21">
        <f t="shared" si="8"/>
        <v>417</v>
      </c>
      <c r="B420" s="85" t="str">
        <f ca="1">IFERROR(__xludf.DUMMYFUNCTION("GOOGLETRANSLATE(B2760:B2775,""RU"",""UK"")"),"Лінійка металева 300мм, з-д Ізмерон")</f>
        <v>Лінійка металева 300мм, з-д Ізмерон</v>
      </c>
      <c r="C420" s="59" t="s">
        <v>6</v>
      </c>
      <c r="D420" s="59">
        <v>12</v>
      </c>
      <c r="E420" s="91">
        <v>84</v>
      </c>
    </row>
    <row r="421" spans="1:5">
      <c r="A421" s="21">
        <f t="shared" si="8"/>
        <v>418</v>
      </c>
      <c r="B421" s="85" t="str">
        <f ca="1">IFERROR(__xludf.DUMMYFUNCTION("GOOGLETRANSLATE(B2760:B2775,""RU"",""UK"")"),"Лінійка металева 300мм, з-д Калібр")</f>
        <v>Лінійка металева 300мм, з-д Калібр</v>
      </c>
      <c r="C421" s="59" t="s">
        <v>6</v>
      </c>
      <c r="D421" s="59">
        <v>1</v>
      </c>
      <c r="E421" s="91">
        <v>105</v>
      </c>
    </row>
    <row r="422" spans="1:5">
      <c r="A422" s="21">
        <f t="shared" si="8"/>
        <v>419</v>
      </c>
      <c r="B422" s="85" t="str">
        <f ca="1">IFERROR(__xludf.DUMMYFUNCTION("GOOGLETRANSLATE(B2759:B2774,""RU"",""UK"")"),"Лінійка металева 300мм Японія (міліметровим та дюймовим градуюванням)")</f>
        <v>Лінійка металева 300мм Японія (міліметровим та дюймовим градуюванням)</v>
      </c>
      <c r="C422" s="59" t="s">
        <v>6</v>
      </c>
      <c r="D422" s="59">
        <v>7</v>
      </c>
      <c r="E422" s="91">
        <v>150</v>
      </c>
    </row>
    <row r="423" spans="1:5">
      <c r="A423" s="21">
        <f t="shared" si="8"/>
        <v>420</v>
      </c>
      <c r="B423" s="85" t="str">
        <f ca="1">IFERROR(__xludf.DUMMYFUNCTION("GOOGLETRANSLATE(B2760:B2775,""RU"",""UK"")"),"Лінійка металева 150мм ГОСТ")</f>
        <v>Лінійка металева 150мм ГОСТ</v>
      </c>
      <c r="C423" s="59" t="s">
        <v>6</v>
      </c>
      <c r="D423" s="59">
        <v>29</v>
      </c>
      <c r="E423" s="91" t="s">
        <v>169</v>
      </c>
    </row>
    <row r="424" spans="1:5">
      <c r="A424" s="21">
        <f t="shared" si="8"/>
        <v>421</v>
      </c>
      <c r="B424" s="85" t="str">
        <f ca="1">IFERROR(__xludf.DUMMYFUNCTION("GOOGLETRANSLATE(B2760:B2775,""RU"",""UK"")"),"Лінійка металева 150мм, з-д Калібр")</f>
        <v>Лінійка металева 150мм, з-д Калібр</v>
      </c>
      <c r="C424" s="59" t="s">
        <v>6</v>
      </c>
      <c r="D424" s="59">
        <v>14</v>
      </c>
      <c r="E424" s="91">
        <v>48</v>
      </c>
    </row>
    <row r="425" spans="1:5">
      <c r="A425" s="21">
        <f t="shared" si="8"/>
        <v>422</v>
      </c>
      <c r="B425" s="85" t="str">
        <f ca="1">IFERROR(__xludf.DUMMYFUNCTION("GOOGLETRANSLATE(B2761:B2776,""RU"",""UK"")"),"Лінійка повірочна лекальна ЛД-80 Кл. 1")</f>
        <v>Лінійка повірочна лекальна ЛД-80 Кл. 1</v>
      </c>
      <c r="C425" s="37" t="s">
        <v>6</v>
      </c>
      <c r="D425" s="37">
        <v>1</v>
      </c>
      <c r="E425" s="92">
        <v>180</v>
      </c>
    </row>
    <row r="426" spans="1:5">
      <c r="A426" s="21">
        <f t="shared" si="8"/>
        <v>423</v>
      </c>
      <c r="B426" s="85" t="str">
        <f ca="1">IFERROR(__xludf.DUMMYFUNCTION("GOOGLETRANSLATE(B2761:B2776,""RU"",""UK"")"),"Лінійка повірочна лекальна ЛД-80 Кл. 0")</f>
        <v>Лінійка повірочна лекальна ЛД-80 Кл. 0</v>
      </c>
      <c r="C426" s="37" t="s">
        <v>6</v>
      </c>
      <c r="D426" s="37">
        <v>2</v>
      </c>
      <c r="E426" s="92" t="s">
        <v>140</v>
      </c>
    </row>
    <row r="427" spans="1:5">
      <c r="A427" s="21">
        <f t="shared" si="8"/>
        <v>424</v>
      </c>
      <c r="B427" s="85" t="str">
        <f ca="1">IFERROR(__xludf.DUMMYFUNCTION("GOOGLETRANSLATE(B2762:B2777,""RU"",""UK"")"),"Лінійка повірочна лекальна ЛД-125 Кл.1")</f>
        <v>Лінійка повірочна лекальна ЛД-125 Кл.1</v>
      </c>
      <c r="C427" s="37" t="s">
        <v>6</v>
      </c>
      <c r="D427" s="37">
        <v>1</v>
      </c>
      <c r="E427" s="92">
        <v>360</v>
      </c>
    </row>
    <row r="428" spans="1:5">
      <c r="A428" s="21">
        <f t="shared" si="8"/>
        <v>425</v>
      </c>
      <c r="B428" s="85" t="str">
        <f ca="1">IFERROR(__xludf.DUMMYFUNCTION("GOOGLETRANSLATE(B2762:B2777,""RU"",""UK"")"),"Лінійка повірочна лекальна ЛД-125 Кл. 0")</f>
        <v>Лінійка повірочна лекальна ЛД-125 Кл. 0</v>
      </c>
      <c r="C428" s="37" t="s">
        <v>6</v>
      </c>
      <c r="D428" s="37">
        <v>2</v>
      </c>
      <c r="E428" s="92">
        <v>390</v>
      </c>
    </row>
    <row r="429" spans="1:5">
      <c r="A429" s="21">
        <f t="shared" si="8"/>
        <v>426</v>
      </c>
      <c r="B429" s="169" t="str">
        <f ca="1">IFERROR(__xludf.DUMMYFUNCTION("GOOGLETRANSLATE(B2763:B2778,""RU"",""UK"")"),"Лінійка повірочна лекальна ЛД-200 Кл. 0")</f>
        <v>Лінійка повірочна лекальна ЛД-200 Кл. 0</v>
      </c>
      <c r="C429" s="37" t="s">
        <v>6</v>
      </c>
      <c r="D429" s="37">
        <v>2</v>
      </c>
      <c r="E429" s="92">
        <v>750</v>
      </c>
    </row>
    <row r="430" spans="1:5">
      <c r="A430" s="21">
        <f t="shared" si="8"/>
        <v>427</v>
      </c>
      <c r="B430" s="85" t="str">
        <f ca="1">IFERROR(__xludf.DUMMYFUNCTION("GOOGLETRANSLATE(B2764:B2779,""RU"",""UK"")"),"Лінійка повірочна лекальна ЛД-320 Кл.1")</f>
        <v>Лінійка повірочна лекальна ЛД-320 Кл.1</v>
      </c>
      <c r="C430" s="37" t="s">
        <v>6</v>
      </c>
      <c r="D430" s="167">
        <v>4</v>
      </c>
      <c r="E430" s="92">
        <v>1100</v>
      </c>
    </row>
    <row r="431" spans="1:5">
      <c r="A431" s="21">
        <f t="shared" si="8"/>
        <v>428</v>
      </c>
      <c r="B431" s="164" t="str">
        <f ca="1">IFERROR(__xludf.DUMMYFUNCTION("GOOGLETRANSLATE(B2764:B2779,""RU"",""UK"")"),"Лінійка повірочна лекальна ЛД-320 Кл.0")</f>
        <v>Лінійка повірочна лекальна ЛД-320 Кл.0</v>
      </c>
      <c r="C431" s="37" t="s">
        <v>6</v>
      </c>
      <c r="D431" s="167">
        <v>0</v>
      </c>
      <c r="E431" s="92">
        <v>1200</v>
      </c>
    </row>
    <row r="432" spans="1:5">
      <c r="A432" s="21">
        <f t="shared" si="8"/>
        <v>429</v>
      </c>
      <c r="B432" s="169" t="str">
        <f ca="1">IFERROR(__xludf.DUMMYFUNCTION("GOOGLETRANSLATE(B2764:B2779,""RU"",""UK"")"),"Лінійка повірочна лекальна ЛД-320 Кл.0, без паспорту, мало вживана")</f>
        <v>Лінійка повірочна лекальна ЛД-320 Кл.0, без паспорту, мало вживана</v>
      </c>
      <c r="C432" s="37" t="s">
        <v>6</v>
      </c>
      <c r="D432" s="167">
        <v>1</v>
      </c>
      <c r="E432" s="92">
        <v>1000</v>
      </c>
    </row>
    <row r="433" spans="1:5">
      <c r="A433" s="21">
        <f t="shared" si="8"/>
        <v>430</v>
      </c>
      <c r="B433" s="169" t="str">
        <f ca="1">IFERROR(__xludf.DUMMYFUNCTION("GOOGLETRANSLATE(B2764:B2779,""RU"",""UK"")"),"Лінійка повірочна лекальна ЛД-300 Кл.1, вживана")</f>
        <v>Лінійка повірочна лекальна ЛД-300 Кл.1, вживана</v>
      </c>
      <c r="C433" s="37" t="s">
        <v>6</v>
      </c>
      <c r="D433" s="167">
        <v>1</v>
      </c>
      <c r="E433" s="92">
        <v>750</v>
      </c>
    </row>
    <row r="434" spans="1:5">
      <c r="A434" s="21">
        <f t="shared" si="8"/>
        <v>431</v>
      </c>
      <c r="B434" s="85" t="str">
        <f ca="1">IFERROR(__xludf.DUMMYFUNCTION("GOOGLETRANSLATE(B2765:B2780,""RU"",""UK"")"),"Лінійка повірочна лекальна ШД-1600 Кл.2 (В180)")</f>
        <v>Лінійка повірочна лекальна ШД-1600 Кл.2 (В180)</v>
      </c>
      <c r="C434" s="37" t="s">
        <v>6</v>
      </c>
      <c r="D434" s="37">
        <v>2</v>
      </c>
      <c r="E434" s="92" t="s">
        <v>3716</v>
      </c>
    </row>
    <row r="435" spans="1:5">
      <c r="A435" s="21">
        <f t="shared" si="8"/>
        <v>432</v>
      </c>
      <c r="B435" s="85" t="s">
        <v>6430</v>
      </c>
      <c r="C435" s="37" t="s">
        <v>6</v>
      </c>
      <c r="D435" s="37">
        <v>1</v>
      </c>
      <c r="E435" s="92">
        <v>2550</v>
      </c>
    </row>
    <row r="436" spans="1:5">
      <c r="A436" s="21">
        <f t="shared" si="8"/>
        <v>433</v>
      </c>
      <c r="B436" s="85" t="str">
        <f ca="1">IFERROR(__xludf.DUMMYFUNCTION("GOOGLETRANSLATE(B2766:B2781,""RU"",""UK"")"),"Лінійка повірочна лекальна ЛЧ-125 Кл.1")</f>
        <v>Лінійка повірочна лекальна ЛЧ-125 Кл.1</v>
      </c>
      <c r="C436" s="37" t="s">
        <v>6</v>
      </c>
      <c r="D436" s="37">
        <v>1</v>
      </c>
      <c r="E436" s="92">
        <v>400</v>
      </c>
    </row>
    <row r="437" spans="1:5">
      <c r="A437" s="21">
        <f t="shared" si="8"/>
        <v>434</v>
      </c>
      <c r="B437" s="85" t="str">
        <f ca="1">IFERROR(__xludf.DUMMYFUNCTION("GOOGLETRANSLATE(B2766:B2781,""RU"",""UK"")"),"Лінійка повірочна лекальна ЛЧ-200 Кл.1")</f>
        <v>Лінійка повірочна лекальна ЛЧ-200 Кл.1</v>
      </c>
      <c r="C437" s="37" t="s">
        <v>6</v>
      </c>
      <c r="D437" s="37">
        <v>1</v>
      </c>
      <c r="E437" s="92">
        <v>750</v>
      </c>
    </row>
    <row r="438" spans="1:5">
      <c r="A438" s="21">
        <f t="shared" si="8"/>
        <v>435</v>
      </c>
      <c r="B438" s="85" t="str">
        <f ca="1">IFERROR(__xludf.DUMMYFUNCTION("GOOGLETRANSLATE(B2766:B2781,""RU"",""UK"")"),"Лінійка повірочна лекальна ЛЧ-200 Кл.0")</f>
        <v>Лінійка повірочна лекальна ЛЧ-200 Кл.0</v>
      </c>
      <c r="C438" s="37" t="s">
        <v>6</v>
      </c>
      <c r="D438" s="37">
        <v>5</v>
      </c>
      <c r="E438" s="92">
        <v>810</v>
      </c>
    </row>
    <row r="439" spans="1:5">
      <c r="A439" s="21">
        <f t="shared" si="8"/>
        <v>436</v>
      </c>
      <c r="B439" s="85" t="str">
        <f ca="1">IFERROR(__xludf.DUMMYFUNCTION("GOOGLETRANSLATE(B2767:B2782,""RU"",""UK"")"),"Лінійка повірочна лекальна ЛЧ-300 Кл.1")</f>
        <v>Лінійка повірочна лекальна ЛЧ-300 Кл.1</v>
      </c>
      <c r="C439" s="37" t="s">
        <v>6</v>
      </c>
      <c r="D439" s="167">
        <v>1</v>
      </c>
      <c r="E439" s="92">
        <v>1200</v>
      </c>
    </row>
    <row r="440" spans="1:5">
      <c r="A440" s="21">
        <f t="shared" si="8"/>
        <v>437</v>
      </c>
      <c r="B440" s="85" t="str">
        <f ca="1">IFERROR(__xludf.DUMMYFUNCTION("GOOGLETRANSLATE(B2768:B2783,""RU"",""UK"")"),"Лінійка повірочна лекальна ЛT-125 Кл.1, Калібр")</f>
        <v>Лінійка повірочна лекальна ЛT-125 Кл.1, Калібр</v>
      </c>
      <c r="C440" s="37" t="s">
        <v>6</v>
      </c>
      <c r="D440" s="37">
        <v>1</v>
      </c>
      <c r="E440" s="92">
        <v>400</v>
      </c>
    </row>
    <row r="441" spans="1:5">
      <c r="A441" s="21">
        <f t="shared" ref="A441:A505" si="9">A440+1</f>
        <v>438</v>
      </c>
      <c r="B441" s="85" t="str">
        <f ca="1">IFERROR(__xludf.DUMMYFUNCTION("GOOGLETRANSLATE(B2768:B2783,""RU"",""UK"")"),"Лінійка повірочна лекальна ЛT-175 Кл.1")</f>
        <v>Лінійка повірочна лекальна ЛT-175 Кл.1</v>
      </c>
      <c r="C441" s="37" t="s">
        <v>6</v>
      </c>
      <c r="D441" s="37">
        <v>3</v>
      </c>
      <c r="E441" s="92" t="s">
        <v>36</v>
      </c>
    </row>
    <row r="442" spans="1:5">
      <c r="A442" s="21">
        <f t="shared" si="9"/>
        <v>439</v>
      </c>
      <c r="B442" s="85" t="str">
        <f ca="1">IFERROR(__xludf.DUMMYFUNCTION("GOOGLETRANSLATE(B2768:B2783,""RU"",""UK"")"),"Лінійка повірочна лекальна ЛT-175 Кл.1 мало вживана")</f>
        <v>Лінійка повірочна лекальна ЛT-175 Кл.1 мало вживана</v>
      </c>
      <c r="C442" s="37" t="s">
        <v>6</v>
      </c>
      <c r="D442" s="37">
        <v>2</v>
      </c>
      <c r="E442" s="92">
        <v>450</v>
      </c>
    </row>
    <row r="443" spans="1:5">
      <c r="A443" s="21">
        <f t="shared" si="9"/>
        <v>440</v>
      </c>
      <c r="B443" s="85" t="str">
        <f ca="1">IFERROR(__xludf.DUMMYFUNCTION("GOOGLETRANSLATE(B2769:B2784,""RU"",""UK"")"),"Лінійка повірочна лекальна ЛT-200 Кл.1")</f>
        <v>Лінійка повірочна лекальна ЛT-200 Кл.1</v>
      </c>
      <c r="C443" s="37" t="s">
        <v>6</v>
      </c>
      <c r="D443" s="37">
        <v>5</v>
      </c>
      <c r="E443" s="92">
        <v>750</v>
      </c>
    </row>
    <row r="444" spans="1:5">
      <c r="A444" s="21">
        <f t="shared" si="9"/>
        <v>441</v>
      </c>
      <c r="B444" s="85" t="str">
        <f ca="1">IFERROR(__xludf.DUMMYFUNCTION("GOOGLETRANSLATE(B2769:B2784,""RU"",""UK"")"),"Лінійка повірочна лекальна ЛT-200 Кл.0")</f>
        <v>Лінійка повірочна лекальна ЛT-200 Кл.0</v>
      </c>
      <c r="C444" s="37" t="s">
        <v>6</v>
      </c>
      <c r="D444" s="37">
        <v>7</v>
      </c>
      <c r="E444" s="92">
        <v>780</v>
      </c>
    </row>
    <row r="445" spans="1:5">
      <c r="A445" s="21">
        <f t="shared" si="9"/>
        <v>442</v>
      </c>
      <c r="B445" s="169" t="str">
        <f ca="1">IFERROR(__xludf.DUMMYFUNCTION("GOOGLETRANSLATE(B2770:B2785,""RU"",""UK"")"),"Лінійка повірочна лекальна ЛT-225 Кл.1 вживана")</f>
        <v>Лінійка повірочна лекальна ЛT-225 Кл.1 вживана</v>
      </c>
      <c r="C445" s="37" t="s">
        <v>6</v>
      </c>
      <c r="D445" s="37">
        <v>1</v>
      </c>
      <c r="E445" s="92">
        <v>500</v>
      </c>
    </row>
    <row r="446" spans="1:5">
      <c r="A446" s="21">
        <f t="shared" si="9"/>
        <v>443</v>
      </c>
      <c r="B446" s="169" t="str">
        <f ca="1">IFERROR(__xludf.DUMMYFUNCTION("GOOGLETRANSLATE(B2770:B2785,""RU"",""UK"")"),"Лінійка повірочна лекальна ЛT-300 Кл.1 вживана")</f>
        <v>Лінійка повірочна лекальна ЛT-300 Кл.1 вживана</v>
      </c>
      <c r="C446" s="37" t="s">
        <v>6</v>
      </c>
      <c r="D446" s="37">
        <v>3</v>
      </c>
      <c r="E446" s="92">
        <v>800</v>
      </c>
    </row>
    <row r="447" spans="1:5">
      <c r="A447" s="21">
        <f t="shared" si="9"/>
        <v>444</v>
      </c>
      <c r="B447" s="85" t="str">
        <f ca="1">IFERROR(__xludf.DUMMYFUNCTION("GOOGLETRANSLATE(B2770:B2785,""RU"",""UK"")"),"Лінійка повірочна лекальна ЛT-320 Кл.0")</f>
        <v>Лінійка повірочна лекальна ЛT-320 Кл.0</v>
      </c>
      <c r="C447" s="37" t="s">
        <v>6</v>
      </c>
      <c r="D447" s="37">
        <v>1</v>
      </c>
      <c r="E447" s="92">
        <v>1300</v>
      </c>
    </row>
    <row r="448" spans="1:5">
      <c r="A448" s="21">
        <f t="shared" si="9"/>
        <v>445</v>
      </c>
      <c r="B448" s="164" t="str">
        <f ca="1">IFERROR(__xludf.DUMMYFUNCTION("GOOGLETRANSLATE(B2770:B2785,""RU"",""UK"")"),"Лінійка повірочна лекальна ШПХ-400 Кл.1. нова з паспортом")</f>
        <v>Лінійка повірочна лекальна ШПХ-400 Кл.1. нова з паспортом</v>
      </c>
      <c r="C448" s="37" t="s">
        <v>6</v>
      </c>
      <c r="D448" s="37">
        <v>0</v>
      </c>
      <c r="E448" s="92">
        <v>1900</v>
      </c>
    </row>
    <row r="449" spans="1:5">
      <c r="A449" s="21">
        <f t="shared" si="9"/>
        <v>446</v>
      </c>
      <c r="B449" s="164" t="str">
        <f ca="1">IFERROR(__xludf.DUMMYFUNCTION("GOOGLETRANSLATE(B2770:B2785,""RU"",""UK"")"),"Лінійка повірочна лекальна ШПХ-400 Кл.2. вживана, без коробки")</f>
        <v>Лінійка повірочна лекальна ШПХ-400 Кл.2. вживана, без коробки</v>
      </c>
      <c r="C449" s="37" t="s">
        <v>6</v>
      </c>
      <c r="D449" s="37">
        <v>0</v>
      </c>
      <c r="E449" s="92">
        <v>1350</v>
      </c>
    </row>
    <row r="450" spans="1:5">
      <c r="A450" s="21">
        <f t="shared" si="9"/>
        <v>447</v>
      </c>
      <c r="B450" s="169" t="s">
        <v>6427</v>
      </c>
      <c r="C450" s="37" t="s">
        <v>6</v>
      </c>
      <c r="D450" s="37">
        <v>2</v>
      </c>
      <c r="E450" s="92">
        <v>3600</v>
      </c>
    </row>
    <row r="451" spans="1:5">
      <c r="A451" s="21">
        <f t="shared" si="9"/>
        <v>448</v>
      </c>
      <c r="B451" s="168" t="str">
        <f ca="1">IFERROR(__xludf.DUMMYFUNCTION("GOOGLETRANSLATE(B2770:B2785,""RU"",""UK"")"),"Лінійка повірочна лекальна 1000х60х12мм ШП-1000 Кл.3 мало вживана")</f>
        <v>Лінійка повірочна лекальна 1000х60х12мм ШП-1000 Кл.3 мало вживана</v>
      </c>
      <c r="C451" s="37" t="s">
        <v>6</v>
      </c>
      <c r="D451" s="37">
        <v>1</v>
      </c>
      <c r="E451" s="92">
        <v>4000</v>
      </c>
    </row>
    <row r="452" spans="1:5">
      <c r="A452" s="21">
        <f t="shared" si="9"/>
        <v>449</v>
      </c>
      <c r="B452" s="85" t="str">
        <f ca="1">IFERROR(__xludf.DUMMYFUNCTION("GOOGLETRANSLATE(B2771:B2786,""RU"",""UK"")"),"Лінійка повірочна УT-1000-60*Кл. 1 (В70)")</f>
        <v>Лінійка повірочна УT-1000-60*Кл. 1 (В70)</v>
      </c>
      <c r="C452" s="37" t="s">
        <v>6</v>
      </c>
      <c r="D452" s="37">
        <v>1</v>
      </c>
      <c r="E452" s="92">
        <v>5700</v>
      </c>
    </row>
    <row r="453" spans="1:5">
      <c r="A453" s="21">
        <f t="shared" si="9"/>
        <v>450</v>
      </c>
      <c r="B453" s="85" t="s">
        <v>6383</v>
      </c>
      <c r="C453" s="37" t="s">
        <v>6</v>
      </c>
      <c r="D453" s="37">
        <v>1</v>
      </c>
      <c r="E453" s="92">
        <v>4250</v>
      </c>
    </row>
    <row r="454" spans="1:5">
      <c r="A454" s="21">
        <f t="shared" si="9"/>
        <v>451</v>
      </c>
      <c r="B454" s="85" t="s">
        <v>6382</v>
      </c>
      <c r="C454" s="37" t="s">
        <v>6</v>
      </c>
      <c r="D454" s="37">
        <v>1</v>
      </c>
      <c r="E454" s="92">
        <v>2500</v>
      </c>
    </row>
    <row r="455" spans="1:5">
      <c r="A455" s="21">
        <f t="shared" si="9"/>
        <v>452</v>
      </c>
      <c r="B455" s="85" t="str">
        <f ca="1">IFERROR(__xludf.DUMMYFUNCTION("GOOGLETRANSLATE(B2772:B2787,""RU"",""UK"")"),"Метр складаний металевий СРСР")</f>
        <v>Метр складаний металевий СРСР</v>
      </c>
      <c r="C455" s="37" t="s">
        <v>6</v>
      </c>
      <c r="D455" s="37">
        <v>1</v>
      </c>
      <c r="E455" s="92" t="s">
        <v>319</v>
      </c>
    </row>
    <row r="456" spans="1:5">
      <c r="A456" s="21">
        <f t="shared" si="9"/>
        <v>453</v>
      </c>
      <c r="B456" s="85" t="str">
        <f ca="1">IFERROR(__xludf.DUMMYFUNCTION("GOOGLETRANSLATE(B2772:B2787,""RU"",""UK"")"),"Метр складаний дерев'яний СРСР")</f>
        <v>Метр складаний дерев'яний СРСР</v>
      </c>
      <c r="C456" s="37" t="s">
        <v>6</v>
      </c>
      <c r="D456" s="37">
        <v>4</v>
      </c>
      <c r="E456" s="92" t="s">
        <v>319</v>
      </c>
    </row>
    <row r="457" spans="1:5">
      <c r="A457" s="21">
        <f t="shared" si="9"/>
        <v>454</v>
      </c>
      <c r="B457" s="85" t="str">
        <f ca="1">IFERROR(__xludf.DUMMYFUNCTION("GOOGLETRANSLATE(B2773:B2788,""RU"",""UK"")"),"Курвіметр. Дюйми та сантиметр. Без скла")</f>
        <v>Курвіметр. Дюйми та сантиметр. Без скла</v>
      </c>
      <c r="C457" s="37" t="s">
        <v>6</v>
      </c>
      <c r="D457" s="37">
        <v>1</v>
      </c>
      <c r="E457" s="92" t="s">
        <v>24</v>
      </c>
    </row>
    <row r="458" spans="1:5">
      <c r="A458" s="21">
        <f t="shared" si="9"/>
        <v>455</v>
      </c>
      <c r="B458" s="85" t="str">
        <f ca="1">IFERROR(__xludf.DUMMYFUNCTION("GOOGLETRANSLATE(B2774:B2789,""RU"",""UK"")"),"Кронциркуль R-125")</f>
        <v>Кронциркуль R-125</v>
      </c>
      <c r="C458" s="59" t="s">
        <v>6</v>
      </c>
      <c r="D458" s="59">
        <v>1</v>
      </c>
      <c r="E458" s="91" t="s">
        <v>564</v>
      </c>
    </row>
    <row r="459" spans="1:5">
      <c r="A459" s="21">
        <f t="shared" si="9"/>
        <v>456</v>
      </c>
      <c r="B459" s="85" t="str">
        <f ca="1">IFERROR(__xludf.DUMMYFUNCTION("GOOGLETRANSLATE(B2776:B2791,""RU"",""UK"")"),"Кутник перевірочний слюсарний метал. УШ 60х40мм Кл.2")</f>
        <v>Кутник перевірочний слюсарний метал. УШ 60х40мм Кл.2</v>
      </c>
      <c r="C459" s="59" t="s">
        <v>6</v>
      </c>
      <c r="D459" s="59">
        <v>2</v>
      </c>
      <c r="E459" s="91">
        <v>450</v>
      </c>
    </row>
    <row r="460" spans="1:5">
      <c r="A460" s="21">
        <f t="shared" si="9"/>
        <v>457</v>
      </c>
      <c r="B460" s="85" t="str">
        <f ca="1">IFERROR(__xludf.DUMMYFUNCTION("GOOGLETRANSLATE(B2777:B2792,""RU"",""UK"")"),"Кутник перевірочний слюсарний метал. УШ 75х50мм Кл.2 ПНР VIS")</f>
        <v>Кутник перевірочний слюсарний метал. УШ 75х50мм Кл.2 ПНР VIS</v>
      </c>
      <c r="C460" s="59" t="s">
        <v>6</v>
      </c>
      <c r="D460" s="59">
        <v>1</v>
      </c>
      <c r="E460" s="91">
        <v>600</v>
      </c>
    </row>
    <row r="461" spans="1:5">
      <c r="A461" s="21">
        <f t="shared" si="9"/>
        <v>458</v>
      </c>
      <c r="B461" s="85" t="str">
        <f ca="1">IFERROR(__xludf.DUMMYFUNCTION("GOOGLETRANSLATE(B2777:B2792,""RU"",""UK"")"),"Кутник перевірочний слюсарний метал. УШ 80х50мм Кл.1")</f>
        <v>Кутник перевірочний слюсарний метал. УШ 80х50мм Кл.1</v>
      </c>
      <c r="C461" s="59" t="s">
        <v>6</v>
      </c>
      <c r="D461" s="59">
        <v>2</v>
      </c>
      <c r="E461" s="91">
        <v>630</v>
      </c>
    </row>
    <row r="462" spans="1:5">
      <c r="A462" s="21">
        <f t="shared" si="9"/>
        <v>459</v>
      </c>
      <c r="B462" s="85" t="s">
        <v>6149</v>
      </c>
      <c r="C462" s="59" t="s">
        <v>6</v>
      </c>
      <c r="D462" s="59">
        <v>1</v>
      </c>
      <c r="E462" s="91">
        <v>840</v>
      </c>
    </row>
    <row r="463" spans="1:5">
      <c r="A463" s="21">
        <f t="shared" si="9"/>
        <v>460</v>
      </c>
      <c r="B463" s="85" t="str">
        <f ca="1">IFERROR(__xludf.DUMMYFUNCTION("GOOGLETRANSLATE(B2778:B2793,""RU"",""UK"")"),"Кутник перевірочний слюсарний метал. УЛП 100х60мм Кл.1")</f>
        <v>Кутник перевірочний слюсарний метал. УЛП 100х60мм Кл.1</v>
      </c>
      <c r="C463" s="59" t="s">
        <v>6</v>
      </c>
      <c r="D463" s="59">
        <v>4</v>
      </c>
      <c r="E463" s="91" t="s">
        <v>283</v>
      </c>
    </row>
    <row r="464" spans="1:5">
      <c r="A464" s="21">
        <f t="shared" si="9"/>
        <v>461</v>
      </c>
      <c r="B464" s="85" t="str">
        <f ca="1">IFERROR(__xludf.DUMMYFUNCTION("GOOGLETRANSLATE(B2779:B2794,""RU"",""UK"")"),"Кутник перевірочний слюсарний метал. УШ 100х60мм Кл.2")</f>
        <v>Кутник перевірочний слюсарний метал. УШ 100х60мм Кл.2</v>
      </c>
      <c r="C464" s="59" t="s">
        <v>6</v>
      </c>
      <c r="D464" s="59">
        <v>2</v>
      </c>
      <c r="E464" s="91" t="s">
        <v>663</v>
      </c>
    </row>
    <row r="465" spans="1:5">
      <c r="A465" s="21">
        <f t="shared" si="9"/>
        <v>462</v>
      </c>
      <c r="B465" s="169" t="str">
        <f ca="1">IFERROR(__xludf.DUMMYFUNCTION("GOOGLETRANSLATE(B2781:B2796,""RU"",""UK"")"),"Кутник перевірочний слюсарний метал. УШ 160х100мм Кл.2")</f>
        <v>Кутник перевірочний слюсарний метал. УШ 160х100мм Кл.2</v>
      </c>
      <c r="C465" s="59" t="s">
        <v>6</v>
      </c>
      <c r="D465" s="59">
        <v>7</v>
      </c>
      <c r="E465" s="91" t="s">
        <v>3610</v>
      </c>
    </row>
    <row r="466" spans="1:5">
      <c r="A466" s="21">
        <f t="shared" si="9"/>
        <v>463</v>
      </c>
      <c r="B466" s="85" t="str">
        <f ca="1">IFERROR(__xludf.DUMMYFUNCTION("GOOGLETRANSLATE(B2782:B2797,""RU"",""UK"")"),"Кутник перевірочний слюсарний метал. УШ 160х100мм Кл.2 вжив.")</f>
        <v>Кутник перевірочний слюсарний метал. УШ 160х100мм Кл.2 вжив.</v>
      </c>
      <c r="C466" s="59" t="s">
        <v>6</v>
      </c>
      <c r="D466" s="59">
        <v>1</v>
      </c>
      <c r="E466" s="91" t="s">
        <v>3738</v>
      </c>
    </row>
    <row r="467" spans="1:5">
      <c r="A467" s="21">
        <f t="shared" si="9"/>
        <v>464</v>
      </c>
      <c r="B467" s="85" t="str">
        <f ca="1">IFERROR(__xludf.DUMMYFUNCTION("GOOGLETRANSLATE(B2783:B2798,""RU"",""UK"")"),"Кутник перевірочний слюсарний метал. УП 160х100мм")</f>
        <v>Кутник перевірочний слюсарний метал. УП 160х100мм</v>
      </c>
      <c r="C467" s="59" t="s">
        <v>6</v>
      </c>
      <c r="D467" s="59">
        <v>4</v>
      </c>
      <c r="E467" s="91" t="s">
        <v>102</v>
      </c>
    </row>
    <row r="468" spans="1:5">
      <c r="A468" s="21">
        <f t="shared" si="9"/>
        <v>465</v>
      </c>
      <c r="B468" s="164" t="str">
        <f ca="1">IFERROR(__xludf.DUMMYFUNCTION("GOOGLETRANSLATE(B2783:B2798,""RU"",""UK"")"),"Кутник перевірочний слюсарний метал. УП 160х100мм Кл 1 мало вжив.")</f>
        <v>Кутник перевірочний слюсарний метал. УП 160х100мм Кл 1 мало вжив.</v>
      </c>
      <c r="C468" s="59" t="s">
        <v>6</v>
      </c>
      <c r="D468" s="59">
        <v>0</v>
      </c>
      <c r="E468" s="91" t="s">
        <v>102</v>
      </c>
    </row>
    <row r="469" spans="1:5">
      <c r="A469" s="21">
        <f t="shared" si="9"/>
        <v>466</v>
      </c>
      <c r="B469" s="85" t="str">
        <f ca="1">IFERROR(__xludf.DUMMYFUNCTION("GOOGLETRANSLATE(B2784:B2799,""RU"",""UK"")"),"Кутник перевірочний слюсарний метал. УП 160х100мм Кл.2")</f>
        <v>Кутник перевірочний слюсарний метал. УП 160х100мм Кл.2</v>
      </c>
      <c r="C469" s="59" t="s">
        <v>6</v>
      </c>
      <c r="D469" s="59">
        <v>3</v>
      </c>
      <c r="E469" s="91" t="s">
        <v>80</v>
      </c>
    </row>
    <row r="470" spans="1:5">
      <c r="A470" s="21">
        <f t="shared" si="9"/>
        <v>467</v>
      </c>
      <c r="B470" s="85" t="str">
        <f ca="1">IFERROR(__xludf.DUMMYFUNCTION("GOOGLETRANSLATE(B2785:B2800,""RU"",""UK"")"),"Кутник перевірочний лекальний метал. УП 160х100мм Кл.1")</f>
        <v>Кутник перевірочний лекальний метал. УП 160х100мм Кл.1</v>
      </c>
      <c r="C470" s="59" t="s">
        <v>6</v>
      </c>
      <c r="D470" s="59">
        <v>5</v>
      </c>
      <c r="E470" s="91" t="s">
        <v>157</v>
      </c>
    </row>
    <row r="471" spans="1:5">
      <c r="A471" s="21">
        <f t="shared" si="9"/>
        <v>468</v>
      </c>
      <c r="B471" s="85" t="str">
        <f ca="1">IFERROR(__xludf.DUMMYFUNCTION("GOOGLETRANSLATE(B2786:B2801,""RU"",""UK"")"),"Кутник перевірочний лекальний метал. УЛП 160х100мм Кл.1")</f>
        <v>Кутник перевірочний лекальний метал. УЛП 160х100мм Кл.1</v>
      </c>
      <c r="C471" s="59" t="s">
        <v>6</v>
      </c>
      <c r="D471" s="59">
        <v>3</v>
      </c>
      <c r="E471" s="91" t="s">
        <v>3610</v>
      </c>
    </row>
    <row r="472" spans="1:5">
      <c r="A472" s="21">
        <f t="shared" si="9"/>
        <v>469</v>
      </c>
      <c r="B472" s="85" t="str">
        <f ca="1">IFERROR(__xludf.DUMMYFUNCTION("GOOGLETRANSLATE(B2786:B2801,""RU"",""UK"")"),"Кутник перевірочний лекальний метал. УЛП 160х100мм Кл.1 мало вживаний")</f>
        <v>Кутник перевірочний лекальний метал. УЛП 160х100мм Кл.1 мало вживаний</v>
      </c>
      <c r="C472" s="59" t="s">
        <v>6</v>
      </c>
      <c r="D472" s="59">
        <v>1</v>
      </c>
      <c r="E472" s="91">
        <v>800</v>
      </c>
    </row>
    <row r="473" spans="1:5">
      <c r="A473" s="21">
        <f t="shared" si="9"/>
        <v>470</v>
      </c>
      <c r="B473" s="85" t="str">
        <f ca="1">IFERROR(__xludf.DUMMYFUNCTION("GOOGLETRANSLATE(B2787:B2802,""RU"",""UK"")"),"Кутник перевірочний лекальний метал. УШ 200х130мм VIS ПНР")</f>
        <v>Кутник перевірочний лекальний метал. УШ 200х130мм VIS ПНР</v>
      </c>
      <c r="C473" s="59" t="s">
        <v>6</v>
      </c>
      <c r="D473" s="59">
        <v>1</v>
      </c>
      <c r="E473" s="91" t="s">
        <v>1091</v>
      </c>
    </row>
    <row r="474" spans="1:5">
      <c r="A474" s="21">
        <f t="shared" si="9"/>
        <v>471</v>
      </c>
      <c r="B474" s="85" t="str">
        <f ca="1">IFERROR(__xludf.DUMMYFUNCTION("GOOGLETRANSLATE(B2789:B2804,""RU"",""UK"")"),"Кутник перевірочний лекальний метал. УП 250х160мм Кл.2")</f>
        <v>Кутник перевірочний лекальний метал. УП 250х160мм Кл.2</v>
      </c>
      <c r="C474" s="59" t="s">
        <v>6</v>
      </c>
      <c r="D474" s="59">
        <v>3</v>
      </c>
      <c r="E474" s="91" t="s">
        <v>237</v>
      </c>
    </row>
    <row r="475" spans="1:5">
      <c r="A475" s="21">
        <f t="shared" si="9"/>
        <v>472</v>
      </c>
      <c r="B475" s="85" t="str">
        <f ca="1">IFERROR(__xludf.DUMMYFUNCTION("GOOGLETRANSLATE(B2789:B2804,""RU"",""UK"")"),"Кутник перевірочний лекальний метал. УП 250х160мм Кл.1")</f>
        <v>Кутник перевірочний лекальний метал. УП 250х160мм Кл.1</v>
      </c>
      <c r="C475" s="59" t="s">
        <v>6</v>
      </c>
      <c r="D475" s="59">
        <v>3</v>
      </c>
      <c r="E475" s="91" t="s">
        <v>237</v>
      </c>
    </row>
    <row r="476" spans="1:5">
      <c r="A476" s="21">
        <f t="shared" si="9"/>
        <v>473</v>
      </c>
      <c r="B476" s="85" t="str">
        <f ca="1">IFERROR(__xludf.DUMMYFUNCTION("GOOGLETRANSLATE(B2790:B2805,""RU"",""UK"")"),"Кутник перевірочний лекальний метал. УП 250х160мм Кл.1 вжив.")</f>
        <v>Кутник перевірочний лекальний метал. УП 250х160мм Кл.1 вжив.</v>
      </c>
      <c r="C476" s="59" t="s">
        <v>6</v>
      </c>
      <c r="D476" s="59">
        <v>1</v>
      </c>
      <c r="E476" s="91" t="s">
        <v>1874</v>
      </c>
    </row>
    <row r="477" spans="1:5">
      <c r="A477" s="21">
        <f t="shared" si="9"/>
        <v>474</v>
      </c>
      <c r="B477" s="85" t="str">
        <f ca="1">IFERROR(__xludf.DUMMYFUNCTION("GOOGLETRANSLATE(B2791:B2806,""RU"",""UK"")"),"Кутник перевірочний лекальний метал. УЛП 250х160мм Кл.0 мало вжив.")</f>
        <v>Кутник перевірочний лекальний метал. УЛП 250х160мм Кл.0 мало вжив.</v>
      </c>
      <c r="C477" s="59" t="s">
        <v>6</v>
      </c>
      <c r="D477" s="59">
        <v>1</v>
      </c>
      <c r="E477" s="91" t="s">
        <v>38</v>
      </c>
    </row>
    <row r="478" spans="1:5">
      <c r="A478" s="21">
        <f t="shared" si="9"/>
        <v>475</v>
      </c>
      <c r="B478" s="85" t="str">
        <f ca="1">IFERROR(__xludf.DUMMYFUNCTION("GOOGLETRANSLATE(B2791:B2806,""RU"",""UK"")"),"Кутник перевірочний лекальний метал. УЛП 250х160мм Кл.1 вживаний")</f>
        <v>Кутник перевірочний лекальний метал. УЛП 250х160мм Кл.1 вживаний</v>
      </c>
      <c r="C478" s="59" t="s">
        <v>6</v>
      </c>
      <c r="D478" s="59">
        <v>1</v>
      </c>
      <c r="E478" s="91">
        <v>1200</v>
      </c>
    </row>
    <row r="479" spans="1:5">
      <c r="A479" s="21">
        <f t="shared" si="9"/>
        <v>476</v>
      </c>
      <c r="B479" s="85" t="str">
        <f ca="1">IFERROR(__xludf.DUMMYFUNCTION("GOOGLETRANSLATE(B2792:B2807,""RU"",""UK"")"),"Кутник перевірочний лекальний метал. УЛП 250х160мм Кл.1")</f>
        <v>Кутник перевірочний лекальний метал. УЛП 250х160мм Кл.1</v>
      </c>
      <c r="C479" s="59" t="s">
        <v>6</v>
      </c>
      <c r="D479" s="59">
        <v>1</v>
      </c>
      <c r="E479" s="91" t="s">
        <v>3445</v>
      </c>
    </row>
    <row r="480" spans="1:5">
      <c r="A480" s="21">
        <f t="shared" si="9"/>
        <v>477</v>
      </c>
      <c r="B480" s="85" t="str">
        <f ca="1">IFERROR(__xludf.DUMMYFUNCTION("GOOGLETRANSLATE(B2793:B2808,""RU"",""UK"")"),"Кутник перевірочний слюсарний метал. рамний УШ 300х240мм мало вжив.")</f>
        <v>Кутник перевірочний слюсарний метал. рамний УШ 300х240мм мало вжив.</v>
      </c>
      <c r="C480" s="59" t="s">
        <v>6</v>
      </c>
      <c r="D480" s="59">
        <v>1</v>
      </c>
      <c r="E480" s="91" t="s">
        <v>80</v>
      </c>
    </row>
    <row r="481" spans="1:5">
      <c r="A481" s="21">
        <f t="shared" si="9"/>
        <v>478</v>
      </c>
      <c r="B481" s="85" t="str">
        <f ca="1">IFERROR(__xludf.DUMMYFUNCTION("GOOGLETRANSLATE(B2794:B2809,""RU"",""UK"")"),"Кутник перевірочний слюсарний метал. УШ 315х200мм вжив.")</f>
        <v>Кутник перевірочний слюсарний метал. УШ 315х200мм вжив.</v>
      </c>
      <c r="C481" s="59" t="s">
        <v>6</v>
      </c>
      <c r="D481" s="59">
        <v>1</v>
      </c>
      <c r="E481" s="91" t="s">
        <v>889</v>
      </c>
    </row>
    <row r="482" spans="1:5">
      <c r="A482" s="21">
        <f t="shared" si="9"/>
        <v>479</v>
      </c>
      <c r="B482" s="85" t="str">
        <f ca="1">IFERROR(__xludf.DUMMYFUNCTION("GOOGLETRANSLATE(B2795:B2810,""RU"",""UK"")"),"Кутник перевірочний слюсарний метал. УШ 400х250мм Кл.1, Кл.2 мало вжив.")</f>
        <v>Кутник перевірочний слюсарний метал. УШ 400х250мм Кл.1, Кл.2 мало вжив.</v>
      </c>
      <c r="C482" s="59" t="s">
        <v>6</v>
      </c>
      <c r="D482" s="59">
        <v>3</v>
      </c>
      <c r="E482" s="91" t="s">
        <v>75</v>
      </c>
    </row>
    <row r="483" spans="1:5">
      <c r="A483" s="21">
        <f t="shared" si="9"/>
        <v>480</v>
      </c>
      <c r="B483" s="228" t="str">
        <f ca="1">IFERROR(__xludf.DUMMYFUNCTION("GOOGLETRANSLATE(B2796:B2811,""RU"",""UK"")"),"Кутник перевірочний слюсарний метал. УШ 400х250мм мало вжив.")</f>
        <v>Кутник перевірочний слюсарний метал. УШ 400х250мм мало вжив.</v>
      </c>
      <c r="C483" s="59" t="s">
        <v>6</v>
      </c>
      <c r="D483" s="59">
        <v>3</v>
      </c>
      <c r="E483" s="91" t="s">
        <v>71</v>
      </c>
    </row>
    <row r="484" spans="1:5">
      <c r="A484" s="21">
        <f t="shared" si="9"/>
        <v>481</v>
      </c>
      <c r="B484" s="85" t="str">
        <f ca="1">IFERROR(__xludf.DUMMYFUNCTION("GOOGLETRANSLATE(B2796:B2811,""RU"",""UK"")"),"Кутник перевірочний слюсарний метал. УШ 400х250мм вживаний")</f>
        <v>Кутник перевірочний слюсарний метал. УШ 400х250мм вживаний</v>
      </c>
      <c r="C484" s="59" t="s">
        <v>6</v>
      </c>
      <c r="D484" s="59">
        <v>2</v>
      </c>
      <c r="E484" s="91">
        <v>1100</v>
      </c>
    </row>
    <row r="485" spans="1:5">
      <c r="A485" s="21">
        <f t="shared" si="9"/>
        <v>482</v>
      </c>
      <c r="B485" s="85" t="str">
        <f ca="1">IFERROR(__xludf.DUMMYFUNCTION("GOOGLETRANSLATE(B2797:B2812,""RU"",""UK"")"),"Кутник перевірочний слюсарний метал. УШ 500х300мм Кл.2")</f>
        <v>Кутник перевірочний слюсарний метал. УШ 500х300мм Кл.2</v>
      </c>
      <c r="C485" s="59" t="s">
        <v>6</v>
      </c>
      <c r="D485" s="59">
        <v>1</v>
      </c>
      <c r="E485" s="91" t="s">
        <v>914</v>
      </c>
    </row>
    <row r="486" spans="1:5">
      <c r="A486" s="21">
        <f t="shared" si="9"/>
        <v>483</v>
      </c>
      <c r="B486" s="164" t="str">
        <f ca="1">IFERROR(__xludf.DUMMYFUNCTION("GOOGLETRANSLATE(B2798:B2813,""RU"",""UK"")"),"Кутник перевірочний слюсарний метал. УШ 630х400мм Кл.2 ")</f>
        <v xml:space="preserve">Кутник перевірочний слюсарний метал. УШ 630х400мм Кл.2 </v>
      </c>
      <c r="C486" s="59" t="s">
        <v>6</v>
      </c>
      <c r="D486" s="59">
        <v>0</v>
      </c>
      <c r="E486" s="91">
        <v>3900</v>
      </c>
    </row>
    <row r="487" spans="1:5">
      <c r="A487" s="21">
        <f t="shared" si="9"/>
        <v>484</v>
      </c>
      <c r="B487" s="85" t="str">
        <f ca="1">IFERROR(__xludf.DUMMYFUNCTION("GOOGLETRANSLATE(B2798:B2813,""RU"",""UK"")"),"Кутник перевірочний слюсарний метал. УШ 630х400мм Кл.2 корозія")</f>
        <v>Кутник перевірочний слюсарний метал. УШ 630х400мм Кл.2 корозія</v>
      </c>
      <c r="C487" s="59" t="s">
        <v>6</v>
      </c>
      <c r="D487" s="59">
        <v>6</v>
      </c>
      <c r="E487" s="91">
        <v>3300</v>
      </c>
    </row>
    <row r="488" spans="1:5">
      <c r="A488" s="21">
        <f t="shared" si="9"/>
        <v>485</v>
      </c>
      <c r="B488" s="85" t="str">
        <f ca="1">IFERROR(__xludf.DUMMYFUNCTION("GOOGLETRANSLATE(B2799:B2814,""RU"",""UK"")"),"Кутник перевірочний слюсарний метал. УШ 630х400мм Кл.2 вжив.")</f>
        <v>Кутник перевірочний слюсарний метал. УШ 630х400мм Кл.2 вжив.</v>
      </c>
      <c r="C488" s="59" t="s">
        <v>6</v>
      </c>
      <c r="D488" s="59">
        <v>3</v>
      </c>
      <c r="E488" s="91" t="s">
        <v>3366</v>
      </c>
    </row>
    <row r="489" spans="1:5">
      <c r="A489" s="21">
        <f t="shared" si="9"/>
        <v>486</v>
      </c>
      <c r="B489" s="164" t="str">
        <f ca="1">IFERROR(__xludf.DUMMYFUNCTION("GOOGLETRANSLATE(B2800:B2815,""RU"",""UK"")"),"Кутник перевірочний слюсарний метал. УШ 1000х630мм Кл2, новий.")</f>
        <v>Кутник перевірочний слюсарний метал. УШ 1000х630мм Кл2, новий.</v>
      </c>
      <c r="C489" s="59" t="s">
        <v>6</v>
      </c>
      <c r="D489" s="59">
        <v>0</v>
      </c>
      <c r="E489" s="91">
        <v>6500</v>
      </c>
    </row>
    <row r="490" spans="1:5">
      <c r="A490" s="21">
        <f t="shared" si="9"/>
        <v>487</v>
      </c>
      <c r="B490" s="198" t="str">
        <f ca="1">IFERROR(__xludf.DUMMYFUNCTION("GOOGLETRANSLATE(B2800:B2815,""RU"",""UK"")"),"Кутник перевірочний слюсарний метал. УШ 1000х630мм Кл.2 мало вживаний")</f>
        <v>Кутник перевірочний слюсарний метал. УШ 1000х630мм Кл.2 мало вживаний</v>
      </c>
      <c r="C490" s="59" t="s">
        <v>6</v>
      </c>
      <c r="D490" s="59">
        <v>1</v>
      </c>
      <c r="E490" s="91">
        <v>5500</v>
      </c>
    </row>
    <row r="491" spans="1:5">
      <c r="A491" s="21">
        <f t="shared" si="9"/>
        <v>488</v>
      </c>
      <c r="B491" s="169" t="str">
        <f ca="1">IFERROR(__xludf.DUMMYFUNCTION("GOOGLETRANSLATE(B2800:B2815,""RU"",""UK"")"),"Кутник перевірочний слюсарний метал. УШ 1000х630мм вживаний")</f>
        <v>Кутник перевірочний слюсарний метал. УШ 1000х630мм вживаний</v>
      </c>
      <c r="C491" s="59" t="s">
        <v>6</v>
      </c>
      <c r="D491" s="59">
        <v>1</v>
      </c>
      <c r="E491" s="91">
        <v>2500</v>
      </c>
    </row>
    <row r="492" spans="1:5">
      <c r="A492" s="21">
        <f t="shared" si="9"/>
        <v>489</v>
      </c>
      <c r="B492" s="200" t="str">
        <f ca="1">IFERROR(__xludf.DUMMYFUNCTION("GOOGLETRANSLATE(B2801:B2816,""RU"",""UK"")"),"Плита повірочна та розміт. метал. 250х250мм шабрована,  мало вживана")</f>
        <v>Плита повірочна та розміт. метал. 250х250мм шабрована,  мало вживана</v>
      </c>
      <c r="C492" s="59" t="s">
        <v>6</v>
      </c>
      <c r="D492" s="59">
        <v>0</v>
      </c>
      <c r="E492" s="91">
        <v>2500</v>
      </c>
    </row>
    <row r="493" spans="1:5">
      <c r="A493" s="21">
        <f t="shared" si="9"/>
        <v>490</v>
      </c>
      <c r="B493" s="169" t="s">
        <v>6417</v>
      </c>
      <c r="C493" s="59" t="s">
        <v>6</v>
      </c>
      <c r="D493" s="59">
        <v>1</v>
      </c>
      <c r="E493" s="91">
        <v>2500</v>
      </c>
    </row>
    <row r="494" spans="1:5">
      <c r="A494" s="21">
        <f t="shared" si="9"/>
        <v>491</v>
      </c>
      <c r="B494" s="85" t="str">
        <f ca="1">IFERROR(__xludf.DUMMYFUNCTION("GOOGLETRANSLATE(B2805:B2820,""RU"",""UK"")"),"Призма повірочна та розміт. П1-1-Кл.0 ЧІЗ (35х40х30мм) d вала 3-15мм")</f>
        <v>Призма повірочна та розміт. П1-1-Кл.0 ЧІЗ (35х40х30мм) d вала 3-15мм</v>
      </c>
      <c r="C494" s="75" t="s">
        <v>1031</v>
      </c>
      <c r="D494" s="37">
        <v>2</v>
      </c>
      <c r="E494" s="92">
        <v>5400</v>
      </c>
    </row>
    <row r="495" spans="1:5">
      <c r="A495" s="21">
        <f t="shared" si="9"/>
        <v>492</v>
      </c>
      <c r="B495" s="169" t="str">
        <f ca="1">IFERROR(__xludf.DUMMYFUNCTION("GOOGLETRANSLATE(B2805:B2820,""RU"",""UK"")"),"Призма повірочна та розміт. П1-1-Кл.1 ЧІЗ (35х40х30мм) d вала 3-15мм без паспорту")</f>
        <v>Призма повірочна та розміт. П1-1-Кл.1 ЧІЗ (35х40х30мм) d вала 3-15мм без паспорту</v>
      </c>
      <c r="C495" s="75" t="s">
        <v>1031</v>
      </c>
      <c r="D495" s="37">
        <v>2</v>
      </c>
      <c r="E495" s="92">
        <v>4800</v>
      </c>
    </row>
    <row r="496" spans="1:5">
      <c r="A496" s="21">
        <f t="shared" si="9"/>
        <v>493</v>
      </c>
      <c r="B496" s="169" t="str">
        <f ca="1">IFERROR(__xludf.DUMMYFUNCTION("GOOGLETRANSLATE(B2805:B2820,""RU"",""UK"")"),"Призма повірочна та розміт. П1-2-Кл.1 ЧІЗ(60х60х50мм) (d вала 5-30мм) мало вживані")</f>
        <v>Призма повірочна та розміт. П1-2-Кл.1 ЧІЗ(60х60х50мм) (d вала 5-30мм) мало вживані</v>
      </c>
      <c r="C496" s="75" t="s">
        <v>1031</v>
      </c>
      <c r="D496" s="37">
        <v>1</v>
      </c>
      <c r="E496" s="92">
        <v>4800</v>
      </c>
    </row>
    <row r="497" spans="1:5">
      <c r="A497" s="21">
        <f t="shared" si="9"/>
        <v>494</v>
      </c>
      <c r="B497" s="169" t="str">
        <f ca="1">IFERROR(__xludf.DUMMYFUNCTION("GOOGLETRANSLATE(B2805:B2820,""RU"",""UK"")"),"Призма повірочна та розміт. П1-2-Кл.2 ЧІЗ(60х60х50мм) (d вала 5-30мм) мало вживані")</f>
        <v>Призма повірочна та розміт. П1-2-Кл.2 ЧІЗ(60х60х50мм) (d вала 5-30мм) мало вживані</v>
      </c>
      <c r="C497" s="75" t="s">
        <v>1031</v>
      </c>
      <c r="D497" s="37">
        <v>1</v>
      </c>
      <c r="E497" s="92">
        <v>4800</v>
      </c>
    </row>
    <row r="498" spans="1:5">
      <c r="A498" s="21">
        <f t="shared" si="9"/>
        <v>495</v>
      </c>
      <c r="B498" s="169" t="str">
        <f ca="1">IFERROR(__xludf.DUMMYFUNCTION("GOOGLETRANSLATE(B2805:B2820,""RU"",""UK"")"),"Призма повірочна та розміт. П1-2-Кл.2 ЧІЗ(60х60х50мм) (d вала 5-30мм) мало вживані")</f>
        <v>Призма повірочна та розміт. П1-2-Кл.2 ЧІЗ(60х60х50мм) (d вала 5-30мм) мало вживані</v>
      </c>
      <c r="C498" s="75" t="s">
        <v>1031</v>
      </c>
      <c r="D498" s="37">
        <v>1</v>
      </c>
      <c r="E498" s="92">
        <v>4800</v>
      </c>
    </row>
    <row r="499" spans="1:5">
      <c r="A499" s="21">
        <f t="shared" si="9"/>
        <v>496</v>
      </c>
      <c r="B499" s="169" t="str">
        <f ca="1">IFERROR(__xludf.DUMMYFUNCTION("GOOGLETRANSLATE(B2805:B2820,""RU"",""UK"")"),"Призма повірочна та розміт. П1-2-Кл.0 ЧІЗ(60х60х50мм) (d вала 5-30мм) мало вживані")</f>
        <v>Призма повірочна та розміт. П1-2-Кл.0 ЧІЗ(60х60х50мм) (d вала 5-30мм) мало вживані</v>
      </c>
      <c r="C499" s="75" t="s">
        <v>1031</v>
      </c>
      <c r="D499" s="37">
        <v>1</v>
      </c>
      <c r="E499" s="92">
        <v>4800</v>
      </c>
    </row>
    <row r="500" spans="1:5">
      <c r="A500" s="21">
        <f t="shared" si="9"/>
        <v>497</v>
      </c>
      <c r="B500" s="164" t="str">
        <f ca="1">IFERROR(__xludf.DUMMYFUNCTION("GOOGLETRANSLATE(B2805:B2820,""RU"",""UK"")"),"Призма повірочна та розміт. П1-2 ЧІЗ (60х60х50мм) d вала 5-30мм")</f>
        <v>Призма повірочна та розміт. П1-2 ЧІЗ (60х60х50мм) d вала 5-30мм</v>
      </c>
      <c r="C500" s="75" t="s">
        <v>6</v>
      </c>
      <c r="D500" s="37">
        <v>0</v>
      </c>
      <c r="E500" s="92">
        <v>1950</v>
      </c>
    </row>
    <row r="501" spans="1:5">
      <c r="A501" s="21">
        <f t="shared" si="9"/>
        <v>498</v>
      </c>
      <c r="B501" s="169" t="str">
        <f ca="1">IFERROR(__xludf.DUMMYFUNCTION("GOOGLETRANSLATE(B2805:B2820,""RU"",""UK"")"),"Призма повірочна та розміт. П1-3 Кл.2 ЧІЗ (мм) d вала мм")</f>
        <v>Призма повірочна та розміт. П1-3 Кл.2 ЧІЗ (мм) d вала мм</v>
      </c>
      <c r="C501" s="75" t="s">
        <v>6</v>
      </c>
      <c r="D501" s="37">
        <v>1</v>
      </c>
      <c r="E501" s="92">
        <v>3500</v>
      </c>
    </row>
    <row r="502" spans="1:5">
      <c r="A502" s="21">
        <f t="shared" si="9"/>
        <v>499</v>
      </c>
      <c r="B502" s="85" t="str">
        <f ca="1">IFERROR(__xludf.DUMMYFUNCTION("GOOGLETRANSLATE(B2812:B2827,""RU"",""UK"")"),"Призма повірочна та розміт. П2-1 Кл.2 (100х60х90мм)")</f>
        <v>Призма повірочна та розміт. П2-1 Кл.2 (100х60х90мм)</v>
      </c>
      <c r="C502" s="75" t="s">
        <v>6</v>
      </c>
      <c r="D502" s="37">
        <v>24</v>
      </c>
      <c r="E502" s="92" t="s">
        <v>3368</v>
      </c>
    </row>
    <row r="503" spans="1:5">
      <c r="A503" s="21">
        <f t="shared" si="9"/>
        <v>500</v>
      </c>
      <c r="B503" s="169" t="str">
        <f ca="1">IFERROR(__xludf.DUMMYFUNCTION("GOOGLETRANSLATE(B2813:B2828,""RU"",""UK"")"),"Призма повірочна та розміт. П2-1 Кл.2 (100х60х90мм)")</f>
        <v>Призма повірочна та розміт. П2-1 Кл.2 (100х60х90мм)</v>
      </c>
      <c r="C503" s="75" t="s">
        <v>1031</v>
      </c>
      <c r="D503" s="37">
        <v>6</v>
      </c>
      <c r="E503" s="92">
        <v>6600</v>
      </c>
    </row>
    <row r="504" spans="1:5">
      <c r="A504" s="21">
        <f t="shared" si="9"/>
        <v>501</v>
      </c>
      <c r="B504" s="169" t="s">
        <v>6139</v>
      </c>
      <c r="C504" s="75" t="s">
        <v>1031</v>
      </c>
      <c r="D504" s="37">
        <v>1</v>
      </c>
      <c r="E504" s="92">
        <v>9300</v>
      </c>
    </row>
    <row r="505" spans="1:5">
      <c r="A505" s="21">
        <f t="shared" si="9"/>
        <v>502</v>
      </c>
      <c r="B505" s="85" t="str">
        <f ca="1">IFERROR(__xludf.DUMMYFUNCTION("GOOGLETRANSLATE(B2814:B2829,""RU"",""UK"")"),"Призма повірочна та розміт. П2-2 Кл.2 (150х80х135мм) ")</f>
        <v xml:space="preserve">Призма повірочна та розміт. П2-2 Кл.2 (150х80х135мм) </v>
      </c>
      <c r="C505" s="75" t="s">
        <v>6</v>
      </c>
      <c r="D505" s="37">
        <v>5</v>
      </c>
      <c r="E505" s="92">
        <v>2800</v>
      </c>
    </row>
    <row r="506" spans="1:5">
      <c r="A506" s="21">
        <f t="shared" ref="A506:A568" si="10">A505+1</f>
        <v>503</v>
      </c>
      <c r="B506" s="164" t="str">
        <f ca="1">IFERROR(__xludf.DUMMYFUNCTION("GOOGLETRANSLATE(B2815:B2830,""RU"",""UK"")"),"Призма повірочна та розміт. П2-2 Кл.1 (150х80х135мм)")</f>
        <v>Призма повірочна та розміт. П2-2 Кл.1 (150х80х135мм)</v>
      </c>
      <c r="C506" s="75" t="s">
        <v>1031</v>
      </c>
      <c r="D506" s="37">
        <v>0</v>
      </c>
      <c r="E506" s="92">
        <v>9000</v>
      </c>
    </row>
    <row r="507" spans="1:5">
      <c r="A507" s="21">
        <f t="shared" si="10"/>
        <v>504</v>
      </c>
      <c r="B507" s="200" t="str">
        <f ca="1">IFERROR(__xludf.DUMMYFUNCTION("GOOGLETRANSLATE(B2815:B2830,""RU"",""UK"")"),"Призма повірочна та розміт. П2-2 Кл.2 (150х80х135мм)")</f>
        <v>Призма повірочна та розміт. П2-2 Кл.2 (150х80х135мм)</v>
      </c>
      <c r="C507" s="75" t="s">
        <v>1031</v>
      </c>
      <c r="D507" s="37">
        <v>0</v>
      </c>
      <c r="E507" s="92">
        <v>7500</v>
      </c>
    </row>
    <row r="508" spans="1:5">
      <c r="A508" s="21">
        <f t="shared" si="10"/>
        <v>505</v>
      </c>
      <c r="B508" s="85" t="str">
        <f ca="1">IFERROR(__xludf.DUMMYFUNCTION("GOOGLETRANSLATE(B2816:B2831,""RU"",""UK"")"),"Призма повірочна та розміт. П2-3 Кл.2 (200х100х180мм) d вала 20-160мм")</f>
        <v>Призма повірочна та розміт. П2-3 Кл.2 (200х100х180мм) d вала 20-160мм</v>
      </c>
      <c r="C508" s="75" t="s">
        <v>6</v>
      </c>
      <c r="D508" s="37">
        <v>8</v>
      </c>
      <c r="E508" s="92">
        <v>3900</v>
      </c>
    </row>
    <row r="509" spans="1:5">
      <c r="A509" s="21">
        <f t="shared" si="10"/>
        <v>506</v>
      </c>
      <c r="B509" s="85" t="str">
        <f ca="1">IFERROR(__xludf.DUMMYFUNCTION("GOOGLETRANSLATE(B2816:B2831,""RU"",""UK"")"),"Призма повірочна та розміт. П2-3 (200х100х180мм) Калібр, номерний ком-кт")</f>
        <v>Призма повірочна та розміт. П2-3 (200х100х180мм) Калібр, номерний ком-кт</v>
      </c>
      <c r="C509" s="75" t="s">
        <v>1031</v>
      </c>
      <c r="D509" s="37">
        <v>1</v>
      </c>
      <c r="E509" s="92">
        <v>15000</v>
      </c>
    </row>
    <row r="510" spans="1:5">
      <c r="A510" s="21">
        <f t="shared" si="10"/>
        <v>507</v>
      </c>
      <c r="B510" s="85" t="str">
        <f ca="1">IFERROR(__xludf.DUMMYFUNCTION("GOOGLETRANSLATE(B2819:B2834,""RU"",""UK"")"),"Призма повірочна та розміт. УСП (18-55мм)")</f>
        <v>Призма повірочна та розміт. УСП (18-55мм)</v>
      </c>
      <c r="C510" s="75" t="s">
        <v>1031</v>
      </c>
      <c r="D510" s="37">
        <v>1</v>
      </c>
      <c r="E510" s="92" t="s">
        <v>78</v>
      </c>
    </row>
    <row r="511" spans="1:5">
      <c r="A511" s="21">
        <f t="shared" si="10"/>
        <v>508</v>
      </c>
      <c r="B511" s="85" t="str">
        <f ca="1">IFERROR(__xludf.DUMMYFUNCTION("GOOGLETRANSLATE(B2821:B2836,""RU"",""UK"")"),"Рівень водяний 7м")</f>
        <v>Рівень водяний 7м</v>
      </c>
      <c r="C511" s="59" t="s">
        <v>6</v>
      </c>
      <c r="D511" s="59">
        <v>1</v>
      </c>
      <c r="E511" s="91">
        <v>60</v>
      </c>
    </row>
    <row r="512" spans="1:5">
      <c r="A512" s="21">
        <f t="shared" si="10"/>
        <v>509</v>
      </c>
      <c r="B512" s="85" t="str">
        <f ca="1">IFERROR(__xludf.DUMMYFUNCTION("GOOGLETRANSLATE(B2821:B2836,""RU"",""UK"")"),"Рівень водяний 25м")</f>
        <v>Рівень водяний 25м</v>
      </c>
      <c r="C512" s="59" t="s">
        <v>6</v>
      </c>
      <c r="D512" s="59">
        <v>1</v>
      </c>
      <c r="E512" s="91">
        <v>120</v>
      </c>
    </row>
    <row r="513" spans="1:5">
      <c r="A513" s="21">
        <f t="shared" si="10"/>
        <v>510</v>
      </c>
      <c r="B513" s="85" t="str">
        <f ca="1">IFERROR(__xludf.DUMMYFUNCTION("GOOGLETRANSLATE(B2822:B2837,""RU"",""UK"")"),"Рівень рамний 200мм Калібр (0,1мм) із паспортом")</f>
        <v>Рівень рамний 200мм Калібр (0,1мм) із паспортом</v>
      </c>
      <c r="C513" s="59" t="s">
        <v>6</v>
      </c>
      <c r="D513" s="59">
        <v>1</v>
      </c>
      <c r="E513" s="91" t="s">
        <v>12</v>
      </c>
    </row>
    <row r="514" spans="1:5">
      <c r="A514" s="21">
        <f t="shared" si="10"/>
        <v>511</v>
      </c>
      <c r="B514" s="85" t="str">
        <f ca="1">IFERROR(__xludf.DUMMYFUNCTION("GOOGLETRANSLATE(B2823:B2838,""RU"",""UK"")"),"Рівень рамний 200мм Калібр (0,09мм) без паспорта")</f>
        <v>Рівень рамний 200мм Калібр (0,09мм) без паспорта</v>
      </c>
      <c r="C514" s="59" t="s">
        <v>6</v>
      </c>
      <c r="D514" s="59">
        <v>1</v>
      </c>
      <c r="E514" s="91" t="s">
        <v>12</v>
      </c>
    </row>
    <row r="515" spans="1:5">
      <c r="A515" s="21">
        <f t="shared" si="10"/>
        <v>512</v>
      </c>
      <c r="B515" s="85" t="str">
        <f ca="1">IFERROR(__xludf.DUMMYFUNCTION("GOOGLETRANSLATE(B2824:B2839,""RU"",""UK"")"),"Рівень рамний 200мм Калібр (0,05мм) вживаний")</f>
        <v>Рівень рамний 200мм Калібр (0,05мм) вживаний</v>
      </c>
      <c r="C515" s="59" t="s">
        <v>6</v>
      </c>
      <c r="D515" s="59">
        <v>1</v>
      </c>
      <c r="E515" s="91" t="s">
        <v>3785</v>
      </c>
    </row>
    <row r="516" spans="1:5">
      <c r="A516" s="21">
        <f t="shared" si="10"/>
        <v>513</v>
      </c>
      <c r="B516" s="85" t="str">
        <f ca="1">IFERROR(__xludf.DUMMYFUNCTION("GOOGLETRANSLATE(B2824:B2839,""RU"",""UK"")"),"Рівень рамний 200мм Калібр (0,14мм) вживаний")</f>
        <v>Рівень рамний 200мм Калібр (0,14мм) вживаний</v>
      </c>
      <c r="C516" s="59" t="s">
        <v>6</v>
      </c>
      <c r="D516" s="59">
        <v>1</v>
      </c>
      <c r="E516" s="91">
        <v>1700</v>
      </c>
    </row>
    <row r="517" spans="1:5">
      <c r="A517" s="21">
        <f t="shared" si="10"/>
        <v>514</v>
      </c>
      <c r="B517" s="169" t="str">
        <f ca="1">IFERROR(__xludf.DUMMYFUNCTION("GOOGLETRANSLATE(B2825:B2840,""RU"",""UK"")"),"Рівень брусковий 200мм Калібр (0,05мм) мало вживаний")</f>
        <v>Рівень брусковий 200мм Калібр (0,05мм) мало вживаний</v>
      </c>
      <c r="C517" s="59" t="s">
        <v>6</v>
      </c>
      <c r="D517" s="59">
        <v>1</v>
      </c>
      <c r="E517" s="91">
        <v>2300</v>
      </c>
    </row>
    <row r="518" spans="1:5">
      <c r="A518" s="21">
        <f t="shared" si="10"/>
        <v>515</v>
      </c>
      <c r="B518" s="85" t="str">
        <f ca="1">IFERROR(__xludf.DUMMYFUNCTION("GOOGLETRANSLATE(B2824:B2839,""RU"",""UK"")"),"Рівень брусковий 200мм Калібр (0,05мм) вживаний, битая коробка")</f>
        <v>Рівень брусковий 200мм Калібр (0,05мм) вживаний, битая коробка</v>
      </c>
      <c r="C518" s="59" t="s">
        <v>6</v>
      </c>
      <c r="D518" s="59">
        <v>1</v>
      </c>
      <c r="E518" s="91">
        <v>1600</v>
      </c>
    </row>
    <row r="519" spans="1:5">
      <c r="A519" s="21">
        <f t="shared" si="10"/>
        <v>516</v>
      </c>
      <c r="B519" s="85" t="str">
        <f ca="1">IFERROR(__xludf.DUMMYFUNCTION("GOOGLETRANSLATE(B2826:B2841,""RU"",""UK"")"),"Виска 400г")</f>
        <v>Виска 400г</v>
      </c>
      <c r="C519" s="59" t="s">
        <v>6</v>
      </c>
      <c r="D519" s="59">
        <v>3</v>
      </c>
      <c r="E519" s="91" t="s">
        <v>201</v>
      </c>
    </row>
    <row r="520" spans="1:5">
      <c r="A520" s="21">
        <f t="shared" si="10"/>
        <v>517</v>
      </c>
      <c r="B520" s="85" t="str">
        <f ca="1">IFERROR(__xludf.DUMMYFUNCTION("GOOGLETRANSLATE(B2828:B2843,""RU"",""UK"")"),"Динамометр ДПУ-5-2-У2 (предельная нагрузка 5т =50kN)")</f>
        <v>Динамометр ДПУ-5-2-У2 (предельная нагрузка 5т =50kN)</v>
      </c>
      <c r="C520" s="59" t="s">
        <v>6</v>
      </c>
      <c r="D520" s="59">
        <v>1</v>
      </c>
      <c r="E520" s="91">
        <v>4900</v>
      </c>
    </row>
    <row r="521" spans="1:5">
      <c r="A521" s="21">
        <f t="shared" si="10"/>
        <v>518</v>
      </c>
      <c r="B521" s="85" t="s">
        <v>6376</v>
      </c>
      <c r="C521" s="59" t="s">
        <v>6</v>
      </c>
      <c r="D521" s="59">
        <v>1</v>
      </c>
      <c r="E521" s="91">
        <v>6000</v>
      </c>
    </row>
    <row r="522" spans="1:5">
      <c r="A522" s="21">
        <f t="shared" si="10"/>
        <v>519</v>
      </c>
      <c r="B522" s="85" t="s">
        <v>6377</v>
      </c>
      <c r="C522" s="59" t="s">
        <v>6</v>
      </c>
      <c r="D522" s="59">
        <v>1</v>
      </c>
      <c r="E522" s="91">
        <v>8000</v>
      </c>
    </row>
    <row r="523" spans="1:5">
      <c r="A523" s="21">
        <f t="shared" si="10"/>
        <v>520</v>
      </c>
      <c r="B523" s="85" t="s">
        <v>6124</v>
      </c>
      <c r="C523" s="59" t="s">
        <v>1031</v>
      </c>
      <c r="D523" s="59">
        <v>1</v>
      </c>
      <c r="E523" s="91">
        <v>300</v>
      </c>
    </row>
    <row r="524" spans="1:5">
      <c r="A524" s="21">
        <f t="shared" si="10"/>
        <v>521</v>
      </c>
      <c r="B524" s="85" t="str">
        <f ca="1">IFERROR(__xludf.DUMMYFUNCTION("GOOGLETRANSLATE(B2829:B2844,""RU"",""UK"")"),"Шаблон-різьбомір (55 дюймова)")</f>
        <v>Шаблон-різьбомір (55 дюймова)</v>
      </c>
      <c r="C524" s="59" t="s">
        <v>6</v>
      </c>
      <c r="D524" s="59">
        <v>126</v>
      </c>
      <c r="E524" s="91">
        <v>198</v>
      </c>
    </row>
    <row r="525" spans="1:5">
      <c r="A525" s="21">
        <f t="shared" si="10"/>
        <v>522</v>
      </c>
      <c r="B525" s="85" t="str">
        <f ca="1">IFERROR(__xludf.DUMMYFUNCTION("GOOGLETRANSLATE(B2829:B2844,""RU"",""UK"")"),"Шаблон-різьбомір (60 метрична)")</f>
        <v>Шаблон-різьбомір (60 метрична)</v>
      </c>
      <c r="C525" s="59" t="s">
        <v>6</v>
      </c>
      <c r="D525" s="59">
        <v>72</v>
      </c>
      <c r="E525" s="91">
        <v>198</v>
      </c>
    </row>
    <row r="526" spans="1:5">
      <c r="A526" s="21">
        <f t="shared" si="10"/>
        <v>523</v>
      </c>
      <c r="B526" s="85" t="str">
        <f ca="1">IFERROR(__xludf.DUMMYFUNCTION("GOOGLETRANSLATE(B2830:B2845,""RU"",""UK"")"),"Шаблон-радіусометр №1 (R1-6)")</f>
        <v>Шаблон-радіусометр №1 (R1-6)</v>
      </c>
      <c r="C526" s="59" t="s">
        <v>6</v>
      </c>
      <c r="D526" s="59">
        <v>53</v>
      </c>
      <c r="E526" s="91" t="s">
        <v>119</v>
      </c>
    </row>
    <row r="527" spans="1:5">
      <c r="A527" s="21">
        <f t="shared" si="10"/>
        <v>524</v>
      </c>
      <c r="B527" s="85" t="str">
        <f ca="1">IFERROR(__xludf.DUMMYFUNCTION("GOOGLETRANSLATE(B2830:B2845,""RU"",""UK"")"),"Шаблон-радіусометр №2 (R8-25)")</f>
        <v>Шаблон-радіусометр №2 (R8-25)</v>
      </c>
      <c r="C527" s="59" t="s">
        <v>6</v>
      </c>
      <c r="D527" s="59">
        <v>28</v>
      </c>
      <c r="E527" s="91" t="s">
        <v>119</v>
      </c>
    </row>
    <row r="528" spans="1:5">
      <c r="A528" s="21">
        <f t="shared" si="10"/>
        <v>525</v>
      </c>
      <c r="B528" s="85" t="str">
        <f ca="1">IFERROR(__xludf.DUMMYFUNCTION("GOOGLETRANSLATE(B2830:B2845,""RU"",""UK"")"),"Шаблон-радіусометр №3")</f>
        <v>Шаблон-радіусометр №3</v>
      </c>
      <c r="C528" s="59" t="s">
        <v>6</v>
      </c>
      <c r="D528" s="59">
        <v>0</v>
      </c>
      <c r="E528" s="91" t="s">
        <v>119</v>
      </c>
    </row>
    <row r="529" spans="1:5">
      <c r="A529" s="21">
        <f t="shared" si="10"/>
        <v>526</v>
      </c>
      <c r="B529" s="85" t="str">
        <f ca="1">IFERROR(__xludf.DUMMYFUNCTION("GOOGLETRANSLATE(B2831:B2846,""RU"",""UK"")"),"Шаблон для заточування різців")</f>
        <v>Шаблон для заточування різців</v>
      </c>
      <c r="C529" s="59" t="s">
        <v>6</v>
      </c>
      <c r="D529" s="59">
        <v>0</v>
      </c>
      <c r="E529" s="91">
        <v>300</v>
      </c>
    </row>
    <row r="530" spans="1:5">
      <c r="A530" s="21">
        <f t="shared" si="10"/>
        <v>527</v>
      </c>
      <c r="B530" s="85" t="s">
        <v>6318</v>
      </c>
      <c r="C530" s="59" t="s">
        <v>6</v>
      </c>
      <c r="D530" s="59">
        <v>7</v>
      </c>
      <c r="E530" s="91">
        <v>1100</v>
      </c>
    </row>
    <row r="531" spans="1:5">
      <c r="A531" s="21">
        <f t="shared" si="10"/>
        <v>528</v>
      </c>
      <c r="B531" s="85" t="str">
        <f ca="1">IFERROR(__xludf.DUMMYFUNCTION("GOOGLETRANSLATE(B2832:B2847,""RU"",""UK"")"),"Шаблон зварювальника ШС2")</f>
        <v>Шаблон зварювальника ШС2</v>
      </c>
      <c r="C531" s="59" t="s">
        <v>6</v>
      </c>
      <c r="D531" s="59">
        <v>1</v>
      </c>
      <c r="E531" s="91">
        <v>600</v>
      </c>
    </row>
    <row r="532" spans="1:5">
      <c r="A532" s="21">
        <f t="shared" si="10"/>
        <v>529</v>
      </c>
      <c r="B532" s="85" t="s">
        <v>6316</v>
      </c>
      <c r="C532" s="59" t="s">
        <v>6</v>
      </c>
      <c r="D532" s="59">
        <v>1</v>
      </c>
      <c r="E532" s="91" t="s">
        <v>20</v>
      </c>
    </row>
    <row r="533" spans="1:5">
      <c r="A533" s="21">
        <f t="shared" si="10"/>
        <v>530</v>
      </c>
      <c r="B533" s="85" t="s">
        <v>6317</v>
      </c>
      <c r="C533" s="59" t="s">
        <v>6</v>
      </c>
      <c r="D533" s="59">
        <v>1</v>
      </c>
      <c r="E533" s="91" t="s">
        <v>20</v>
      </c>
    </row>
    <row r="534" spans="1:5">
      <c r="A534" s="21">
        <f t="shared" si="10"/>
        <v>531</v>
      </c>
      <c r="B534" s="164" t="str">
        <f ca="1">IFERROR(__xludf.DUMMYFUNCTION("GOOGLETRANSLATE(B2834:B2849,""RU"",""UK"")"),"Шаблон універсальний КОР модель 00316")</f>
        <v>Шаблон універсальний КОР модель 00316</v>
      </c>
      <c r="C534" s="59" t="s">
        <v>6</v>
      </c>
      <c r="D534" s="59">
        <v>0</v>
      </c>
      <c r="E534" s="91" t="s">
        <v>629</v>
      </c>
    </row>
    <row r="535" spans="1:5">
      <c r="A535" s="21">
        <f t="shared" si="10"/>
        <v>532</v>
      </c>
      <c r="B535" s="169" t="s">
        <v>6421</v>
      </c>
      <c r="C535" s="59" t="s">
        <v>1031</v>
      </c>
      <c r="D535" s="59">
        <v>1</v>
      </c>
      <c r="E535" s="91">
        <v>2200</v>
      </c>
    </row>
    <row r="536" spans="1:5">
      <c r="A536" s="21">
        <f t="shared" si="10"/>
        <v>533</v>
      </c>
      <c r="B536" s="169" t="s">
        <v>6420</v>
      </c>
      <c r="C536" s="59" t="s">
        <v>1031</v>
      </c>
      <c r="D536" s="59">
        <v>1</v>
      </c>
      <c r="E536" s="91">
        <v>2500</v>
      </c>
    </row>
    <row r="537" spans="1:5">
      <c r="A537" s="21">
        <f t="shared" si="10"/>
        <v>534</v>
      </c>
      <c r="B537" s="85" t="str">
        <f ca="1">IFERROR(__xludf.DUMMYFUNCTION("GOOGLETRANSLATE(B2835:B2850,""RU"",""UK"")"),"Щуп зазор. №1 (0,02-0,1мм)")</f>
        <v>Щуп зазор. №1 (0,02-0,1мм)</v>
      </c>
      <c r="C537" s="59" t="s">
        <v>6</v>
      </c>
      <c r="D537" s="59">
        <v>41</v>
      </c>
      <c r="E537" s="91" t="s">
        <v>119</v>
      </c>
    </row>
    <row r="538" spans="1:5">
      <c r="A538" s="21">
        <f t="shared" si="10"/>
        <v>535</v>
      </c>
      <c r="B538" s="85" t="str">
        <f ca="1">IFERROR(__xludf.DUMMYFUNCTION("GOOGLETRANSLATE(B2835:B2850,""RU"",""UK"")"),"Щуп зазор. №2 (0,2-0,5мм)")</f>
        <v>Щуп зазор. №2 (0,2-0,5мм)</v>
      </c>
      <c r="C538" s="59" t="s">
        <v>6</v>
      </c>
      <c r="D538" s="59">
        <v>42</v>
      </c>
      <c r="E538" s="91" t="s">
        <v>119</v>
      </c>
    </row>
    <row r="539" spans="1:5">
      <c r="A539" s="21">
        <f t="shared" si="10"/>
        <v>536</v>
      </c>
      <c r="B539" s="85" t="str">
        <f ca="1">IFERROR(__xludf.DUMMYFUNCTION("GOOGLETRANSLATE(B2836:B2851,""RU"",""UK"")"),"Щуп зазор. №3 (0,55-1,0мм)")</f>
        <v>Щуп зазор. №3 (0,55-1,0мм)</v>
      </c>
      <c r="C539" s="59" t="s">
        <v>6</v>
      </c>
      <c r="D539" s="59">
        <v>290</v>
      </c>
      <c r="E539" s="91" t="s">
        <v>119</v>
      </c>
    </row>
    <row r="540" spans="1:5">
      <c r="A540" s="21">
        <f t="shared" si="10"/>
        <v>537</v>
      </c>
      <c r="B540" s="85" t="str">
        <f ca="1">IFERROR(__xludf.DUMMYFUNCTION("GOOGLETRANSLATE(B2836:B2851,""RU"",""UK"")"),"Щуп зазор. №4 'Вимірювальний інструмент'!C331шт")</f>
        <v>Щуп зазор. №4 'Вимірювальний інструмент'!C331шт</v>
      </c>
      <c r="C540" s="59" t="s">
        <v>6</v>
      </c>
      <c r="D540" s="59">
        <v>26</v>
      </c>
      <c r="E540" s="91" t="s">
        <v>119</v>
      </c>
    </row>
    <row r="541" spans="1:5">
      <c r="A541" s="21">
        <f t="shared" si="10"/>
        <v>538</v>
      </c>
      <c r="B541" s="169" t="s">
        <v>6181</v>
      </c>
      <c r="C541" s="59" t="s">
        <v>6</v>
      </c>
      <c r="D541" s="59">
        <v>1</v>
      </c>
      <c r="E541" s="91">
        <v>1700</v>
      </c>
    </row>
    <row r="542" spans="1:5">
      <c r="A542" s="21">
        <f t="shared" si="10"/>
        <v>539</v>
      </c>
      <c r="B542" s="169" t="s">
        <v>6175</v>
      </c>
      <c r="C542" s="59" t="s">
        <v>6</v>
      </c>
      <c r="D542" s="59">
        <v>3</v>
      </c>
      <c r="E542" s="91">
        <v>1400</v>
      </c>
    </row>
    <row r="543" spans="1:5">
      <c r="A543" s="21">
        <f t="shared" si="10"/>
        <v>540</v>
      </c>
      <c r="B543" s="164" t="str">
        <f ca="1">IFERROR(__xludf.DUMMYFUNCTION("GOOGLETRANSLATE(B2837:B2852,""RU"",""UK"")"),"Тахометр годинниковий типа (межі виміру 40-48000 об/хв), Німеччіна (ГДР), новий")</f>
        <v>Тахометр годинниковий типа (межі виміру 40-48000 об/хв), Німеччіна (ГДР), новий</v>
      </c>
      <c r="C543" s="59" t="s">
        <v>6</v>
      </c>
      <c r="D543" s="59">
        <v>0</v>
      </c>
      <c r="E543" s="91">
        <v>2100</v>
      </c>
    </row>
    <row r="544" spans="1:5">
      <c r="A544" s="21">
        <f t="shared" si="10"/>
        <v>541</v>
      </c>
      <c r="B544" s="164" t="str">
        <f ca="1">IFERROR(__xludf.DUMMYFUNCTION("GOOGLETRANSLATE(B2837:B2852,""RU"",""UK"")"),"Тахометр годинниковий типа ТЧ10-Р (межі виміру до 1000 об/хв), Японія, новий")</f>
        <v>Тахометр годинниковий типа ТЧ10-Р (межі виміру до 1000 об/хв), Японія, новий</v>
      </c>
      <c r="C544" s="59" t="s">
        <v>6</v>
      </c>
      <c r="D544" s="59">
        <v>0</v>
      </c>
      <c r="E544" s="91">
        <v>3000</v>
      </c>
    </row>
    <row r="545" spans="1:5">
      <c r="A545" s="21">
        <f t="shared" si="10"/>
        <v>542</v>
      </c>
      <c r="B545" s="164" t="s">
        <v>6228</v>
      </c>
      <c r="C545" s="59" t="s">
        <v>6</v>
      </c>
      <c r="D545" s="59">
        <v>0</v>
      </c>
      <c r="E545" s="91">
        <v>900</v>
      </c>
    </row>
    <row r="546" spans="1:5">
      <c r="A546" s="21">
        <f t="shared" si="10"/>
        <v>543</v>
      </c>
      <c r="B546" s="85" t="str">
        <f ca="1">IFERROR(__xludf.DUMMYFUNCTION("GOOGLETRANSLATE(B2838:B2853,""RU"",""UK"")"),"Тахометр магнітоіндуктивний ТМ 05-01 (межі виміру 25-500об/хв)")</f>
        <v>Тахометр магнітоіндуктивний ТМ 05-01 (межі виміру 25-500об/хв)</v>
      </c>
      <c r="C546" s="59" t="s">
        <v>6</v>
      </c>
      <c r="D546" s="59">
        <v>1</v>
      </c>
      <c r="E546" s="91">
        <v>900</v>
      </c>
    </row>
    <row r="547" spans="1:5">
      <c r="A547" s="21">
        <f t="shared" si="10"/>
        <v>544</v>
      </c>
      <c r="B547" s="169" t="str">
        <f ca="1">IFERROR(__xludf.DUMMYFUNCTION("GOOGLETRANSLATE(B2840:B2855,""RU"",""UK"")"),"Анемометр чашковий МС-13")</f>
        <v>Анемометр чашковий МС-13</v>
      </c>
      <c r="C547" s="59" t="s">
        <v>6</v>
      </c>
      <c r="D547" s="59">
        <v>1</v>
      </c>
      <c r="E547" s="91">
        <v>2400</v>
      </c>
    </row>
    <row r="548" spans="1:5">
      <c r="A548" s="21">
        <f t="shared" si="10"/>
        <v>545</v>
      </c>
      <c r="B548" s="85" t="str">
        <f ca="1">IFERROR(__xludf.DUMMYFUNCTION("GOOGLETRANSLATE(B2840:B2855,""RU"",""UK"")"),"Анемометр ручний крильчатий АСО-3")</f>
        <v>Анемометр ручний крильчатий АСО-3</v>
      </c>
      <c r="C548" s="59" t="s">
        <v>6</v>
      </c>
      <c r="D548" s="59">
        <v>1</v>
      </c>
      <c r="E548" s="91">
        <v>2400</v>
      </c>
    </row>
    <row r="549" spans="1:5">
      <c r="A549" s="21">
        <f t="shared" si="10"/>
        <v>546</v>
      </c>
      <c r="B549" s="164" t="s">
        <v>6227</v>
      </c>
      <c r="C549" s="59" t="s">
        <v>6</v>
      </c>
      <c r="D549" s="59"/>
      <c r="E549" s="91">
        <v>2250</v>
      </c>
    </row>
    <row r="550" spans="1:5">
      <c r="A550" s="21">
        <f t="shared" si="10"/>
        <v>547</v>
      </c>
      <c r="B550" s="85" t="str">
        <f ca="1">IFERROR(__xludf.DUMMYFUNCTION("GOOGLETRANSLATE(B2842:B2857,""RU"",""UK"")"),"Мікроскоп відліковий МПБ-2 (24-х кратн. (0,05))")</f>
        <v>Мікроскоп відліковий МПБ-2 (24-х кратн. (0,05))</v>
      </c>
      <c r="C550" s="59" t="s">
        <v>6</v>
      </c>
      <c r="D550" s="59">
        <v>6</v>
      </c>
      <c r="E550" s="91" t="s">
        <v>3600</v>
      </c>
    </row>
    <row r="551" spans="1:5">
      <c r="A551" s="21">
        <f t="shared" si="10"/>
        <v>548</v>
      </c>
      <c r="B551" s="85" t="str">
        <f ca="1">IFERROR(__xludf.DUMMYFUNCTION("GOOGLETRANSLATE(B2843:B2858,""RU"",""UK"")"),"Мікроскоп відліковий МПБ-2 (24-х кратн. (0,05)) мало вжив.")</f>
        <v>Мікроскоп відліковий МПБ-2 (24-х кратн. (0,05)) мало вжив.</v>
      </c>
      <c r="C551" s="59" t="s">
        <v>6</v>
      </c>
      <c r="D551" s="59">
        <v>2</v>
      </c>
      <c r="E551" s="91">
        <v>1400</v>
      </c>
    </row>
    <row r="552" spans="1:5">
      <c r="A552" s="21">
        <f t="shared" si="10"/>
        <v>549</v>
      </c>
      <c r="B552" s="85" t="str">
        <f ca="1">IFERROR(__xludf.DUMMYFUNCTION("GOOGLETRANSLATE(B2842:B2857,""RU"",""UK"")"),"Мікроскоп відліковий МПБ-3 (24-х кратн. (0,02))")</f>
        <v>Мікроскоп відліковий МПБ-3 (24-х кратн. (0,02))</v>
      </c>
      <c r="C552" s="59" t="s">
        <v>6</v>
      </c>
      <c r="D552" s="59">
        <v>1</v>
      </c>
      <c r="E552" s="91">
        <v>2700</v>
      </c>
    </row>
    <row r="553" spans="1:5">
      <c r="A553" s="21">
        <f t="shared" si="10"/>
        <v>550</v>
      </c>
      <c r="B553" s="200" t="str">
        <f ca="1">IFERROR(__xludf.DUMMYFUNCTION("GOOGLETRANSLATE(B2844:B2859,""RU"",""UK"")"),"Мікроскоп МИР-3")</f>
        <v>Мікроскоп МИР-3</v>
      </c>
      <c r="C553" s="59" t="s">
        <v>6</v>
      </c>
      <c r="D553" s="59">
        <v>0</v>
      </c>
      <c r="E553" s="91">
        <v>1800</v>
      </c>
    </row>
    <row r="554" spans="1:5">
      <c r="A554" s="21">
        <f t="shared" si="10"/>
        <v>551</v>
      </c>
      <c r="B554" s="200" t="s">
        <v>6219</v>
      </c>
      <c r="C554" s="59" t="s">
        <v>1031</v>
      </c>
      <c r="D554" s="59">
        <v>0</v>
      </c>
      <c r="E554" s="91">
        <v>1800</v>
      </c>
    </row>
    <row r="555" spans="1:5">
      <c r="A555" s="21">
        <f t="shared" si="10"/>
        <v>552</v>
      </c>
      <c r="B555" s="85" t="str">
        <f ca="1">IFERROR(__xludf.DUMMYFUNCTION("GOOGLETRANSLATE(B2845:B2860,""RU"",""UK"")"),"Лінза очна 5-крат. 25мм // 10 крат. 50мм")</f>
        <v>Лінза очна 5-крат. 25мм // 10 крат. 50мм</v>
      </c>
      <c r="C555" s="59" t="s">
        <v>6</v>
      </c>
      <c r="D555" s="59" t="s">
        <v>1005</v>
      </c>
      <c r="E555" s="91" t="s">
        <v>596</v>
      </c>
    </row>
    <row r="556" spans="1:5">
      <c r="A556" s="21">
        <f t="shared" si="10"/>
        <v>553</v>
      </c>
      <c r="B556" s="85" t="s">
        <v>6387</v>
      </c>
      <c r="C556" s="59" t="s">
        <v>6</v>
      </c>
      <c r="D556" s="59">
        <v>3</v>
      </c>
      <c r="E556" s="91">
        <v>370</v>
      </c>
    </row>
    <row r="557" spans="1:5">
      <c r="A557" s="21">
        <f t="shared" si="10"/>
        <v>554</v>
      </c>
      <c r="B557" s="85" t="s">
        <v>6386</v>
      </c>
      <c r="C557" s="59" t="s">
        <v>6</v>
      </c>
      <c r="D557" s="59">
        <v>1</v>
      </c>
      <c r="E557" s="91">
        <v>500</v>
      </c>
    </row>
    <row r="558" spans="1:5">
      <c r="A558" s="21">
        <f t="shared" si="10"/>
        <v>555</v>
      </c>
      <c r="B558" s="85" t="s">
        <v>6385</v>
      </c>
      <c r="C558" s="59" t="s">
        <v>6</v>
      </c>
      <c r="D558" s="59">
        <v>1</v>
      </c>
      <c r="E558" s="91">
        <v>500</v>
      </c>
    </row>
    <row r="559" spans="1:5">
      <c r="A559" s="21">
        <f t="shared" si="10"/>
        <v>556</v>
      </c>
      <c r="B559" s="85" t="str">
        <f ca="1">IFERROR(__xludf.DUMMYFUNCTION("GOOGLETRANSLATE(B2846:B2861,""RU"",""UK"")"),"Лупа ЛІ-3 (10-кратна)")</f>
        <v>Лупа ЛІ-3 (10-кратна)</v>
      </c>
      <c r="C559" s="59" t="s">
        <v>6</v>
      </c>
      <c r="D559" s="59">
        <v>1</v>
      </c>
      <c r="E559" s="91">
        <v>2500</v>
      </c>
    </row>
    <row r="560" spans="1:5">
      <c r="A560" s="21">
        <f t="shared" si="10"/>
        <v>557</v>
      </c>
      <c r="B560" s="164" t="str">
        <f ca="1">IFERROR(__xludf.DUMMYFUNCTION("GOOGLETRANSLATE(B2847:B2862,""RU"",""UK"")"),"Плоскопаралельні скляні пластини ПМ15")</f>
        <v>Плоскопаралельні скляні пластини ПМ15</v>
      </c>
      <c r="C560" s="59" t="s">
        <v>1031</v>
      </c>
      <c r="D560" s="59">
        <v>0</v>
      </c>
      <c r="E560" s="91">
        <v>300</v>
      </c>
    </row>
    <row r="561" spans="1:5">
      <c r="A561" s="21">
        <f t="shared" si="10"/>
        <v>558</v>
      </c>
      <c r="B561" s="164" t="str">
        <f ca="1">IFERROR(__xludf.DUMMYFUNCTION("GOOGLETRANSLATE(B2847:B2862,""RU"",""UK"")"),"Плоскопаралельні скляні пластини ПМ65")</f>
        <v>Плоскопаралельні скляні пластини ПМ65</v>
      </c>
      <c r="C561" s="59" t="s">
        <v>1031</v>
      </c>
      <c r="D561" s="59">
        <v>0</v>
      </c>
      <c r="E561" s="91">
        <v>390</v>
      </c>
    </row>
    <row r="562" spans="1:5">
      <c r="A562" s="21">
        <f t="shared" si="10"/>
        <v>559</v>
      </c>
      <c r="B562" s="200" t="str">
        <f ca="1">IFERROR(__xludf.DUMMYFUNCTION("GOOGLETRANSLATE(B2848:B2863,""RU"",""UK"")"),"Плоскопаралельні скляні пластини ПМ90")</f>
        <v>Плоскопаралельні скляні пластини ПМ90</v>
      </c>
      <c r="C562" s="59" t="s">
        <v>1031</v>
      </c>
      <c r="D562" s="59">
        <v>0</v>
      </c>
      <c r="E562" s="91" t="s">
        <v>272</v>
      </c>
    </row>
    <row r="563" spans="1:5">
      <c r="A563" s="21">
        <f t="shared" si="10"/>
        <v>560</v>
      </c>
      <c r="B563" s="85" t="str">
        <f ca="1">IFERROR(__xludf.DUMMYFUNCTION("GOOGLETRANSLATE(B2849:B2864,""RU"",""UK"")"),"Пластина плоска скляна ПІ 60 нижня, без паспорту")</f>
        <v>Пластина плоска скляна ПІ 60 нижня, без паспорту</v>
      </c>
      <c r="C563" s="59" t="s">
        <v>6</v>
      </c>
      <c r="D563" s="59">
        <v>1</v>
      </c>
      <c r="E563" s="91">
        <v>900</v>
      </c>
    </row>
    <row r="564" spans="1:5">
      <c r="A564" s="21">
        <f t="shared" si="10"/>
        <v>561</v>
      </c>
      <c r="B564" s="85" t="str">
        <f ca="1">IFERROR(__xludf.DUMMYFUNCTION("GOOGLETRANSLATE(B2849:B2864,""RU"",""UK"")"),"Пластина плоска скляна ПІ 60 нижня, з паспортом")</f>
        <v>Пластина плоска скляна ПІ 60 нижня, з паспортом</v>
      </c>
      <c r="C564" s="59" t="s">
        <v>6</v>
      </c>
      <c r="D564" s="59">
        <v>3</v>
      </c>
      <c r="E564" s="91">
        <v>1400</v>
      </c>
    </row>
    <row r="565" spans="1:5">
      <c r="A565" s="21">
        <f t="shared" si="10"/>
        <v>562</v>
      </c>
      <c r="B565" s="164" t="str">
        <f ca="1">IFERROR(__xludf.DUMMYFUNCTION("GOOGLETRANSLATE(B2849:B2864,""RU"",""UK"")"),"Пластина плоска скляна ПІ 80 нижня, з паспортом")</f>
        <v>Пластина плоска скляна ПІ 80 нижня, з паспортом</v>
      </c>
      <c r="C565" s="59" t="s">
        <v>6</v>
      </c>
      <c r="D565" s="59">
        <v>0</v>
      </c>
      <c r="E565" s="91">
        <v>480</v>
      </c>
    </row>
    <row r="566" spans="1:5">
      <c r="A566" s="21">
        <f t="shared" si="10"/>
        <v>563</v>
      </c>
      <c r="B566" s="169" t="str">
        <f ca="1">IFERROR(__xludf.DUMMYFUNCTION("GOOGLETRANSLATE(B2849:B2864,""RU"",""UK"")"),"Пластина плоска скляна ПІ 100 нижня, з атестатом і тех описанням")</f>
        <v>Пластина плоска скляна ПІ 100 нижня, з атестатом і тех описанням</v>
      </c>
      <c r="C566" s="59" t="s">
        <v>6</v>
      </c>
      <c r="D566" s="59">
        <v>1</v>
      </c>
      <c r="E566" s="91">
        <v>580</v>
      </c>
    </row>
    <row r="567" spans="1:5">
      <c r="A567" s="21">
        <f t="shared" si="10"/>
        <v>564</v>
      </c>
      <c r="B567" s="212" t="s">
        <v>6176</v>
      </c>
      <c r="C567" s="59" t="s">
        <v>6</v>
      </c>
      <c r="D567" s="59">
        <v>1</v>
      </c>
      <c r="E567" s="91">
        <v>220</v>
      </c>
    </row>
    <row r="568" spans="1:5">
      <c r="A568" s="21">
        <f t="shared" si="10"/>
        <v>565</v>
      </c>
      <c r="B568" s="199" t="str">
        <f ca="1">IFERROR(__xludf.DUMMYFUNCTION("GOOGLETRANSLATE(B2850:B2865,""RU"",""UK"")"),"Пневматична головка для перевірки валів. Калібр.")</f>
        <v>Пневматична головка для перевірки валів. Калібр.</v>
      </c>
      <c r="C568" s="59" t="s">
        <v>6</v>
      </c>
      <c r="D568" s="59">
        <v>1</v>
      </c>
      <c r="E568" s="91" t="s">
        <v>413</v>
      </c>
    </row>
    <row r="569" spans="1:5">
      <c r="A569" s="21"/>
    </row>
    <row r="570" spans="1:5">
      <c r="A570" s="21"/>
    </row>
    <row r="571" spans="1:5">
      <c r="A571" s="21"/>
    </row>
    <row r="572" spans="1:5">
      <c r="A572" s="21"/>
    </row>
    <row r="573" spans="1:5">
      <c r="A573" s="21"/>
    </row>
    <row r="574" spans="1:5">
      <c r="A574" s="21"/>
    </row>
    <row r="575" spans="1:5">
      <c r="A575" s="21"/>
    </row>
    <row r="576" spans="1:5">
      <c r="A576" s="21"/>
    </row>
    <row r="577" spans="1:1">
      <c r="A577" s="21"/>
    </row>
    <row r="578" spans="1:1">
      <c r="A578" s="21"/>
    </row>
    <row r="579" spans="1:1">
      <c r="A579" s="21"/>
    </row>
    <row r="580" spans="1:1">
      <c r="A580" s="21"/>
    </row>
    <row r="581" spans="1:1">
      <c r="A581" s="21"/>
    </row>
    <row r="582" spans="1:1">
      <c r="A582" s="21"/>
    </row>
    <row r="583" spans="1:1">
      <c r="A583" s="21"/>
    </row>
    <row r="584" spans="1:1">
      <c r="A584" s="21"/>
    </row>
    <row r="585" spans="1:1">
      <c r="A585" s="21"/>
    </row>
    <row r="586" spans="1:1">
      <c r="A586" s="21"/>
    </row>
    <row r="587" spans="1:1">
      <c r="A587" s="21"/>
    </row>
    <row r="588" spans="1:1">
      <c r="A588" s="21"/>
    </row>
    <row r="589" spans="1:1">
      <c r="A589" s="21"/>
    </row>
    <row r="590" spans="1:1">
      <c r="A590" s="21"/>
    </row>
    <row r="591" spans="1:1">
      <c r="A591" s="21"/>
    </row>
    <row r="592" spans="1:1">
      <c r="A592" s="21"/>
    </row>
    <row r="593" spans="1:1">
      <c r="A593" s="21"/>
    </row>
    <row r="594" spans="1:1">
      <c r="A594" s="21"/>
    </row>
    <row r="595" spans="1:1">
      <c r="A595" s="21"/>
    </row>
    <row r="596" spans="1:1">
      <c r="A596" s="21"/>
    </row>
    <row r="597" spans="1:1">
      <c r="A597" s="21"/>
    </row>
    <row r="598" spans="1:1">
      <c r="A598" s="21"/>
    </row>
    <row r="599" spans="1:1">
      <c r="A599" s="21"/>
    </row>
    <row r="600" spans="1:1">
      <c r="A600" s="21"/>
    </row>
    <row r="601" spans="1:1">
      <c r="A601" s="21"/>
    </row>
    <row r="602" spans="1:1">
      <c r="A602" s="21"/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opLeftCell="A10" zoomScale="250" zoomScaleNormal="250" workbookViewId="0">
      <selection activeCell="D21" sqref="D21"/>
    </sheetView>
  </sheetViews>
  <sheetFormatPr defaultRowHeight="12.75"/>
  <cols>
    <col min="2" max="2" width="53.42578125" customWidth="1"/>
  </cols>
  <sheetData>
    <row r="1" spans="1:5">
      <c r="A1" s="21"/>
      <c r="B1" s="110" t="s">
        <v>6100</v>
      </c>
      <c r="C1" s="28"/>
      <c r="D1" s="28"/>
      <c r="E1" s="94"/>
    </row>
    <row r="2" spans="1:5">
      <c r="A2" s="21">
        <f t="shared" ref="A2:A30" si="0">A1+1</f>
        <v>1</v>
      </c>
      <c r="B2" s="85" t="str">
        <f ca="1">IFERROR(__xludf.DUMMYFUNCTION("GOOGLETRANSLATE(B3761:B3776,""RU"",""UK"")"),"Плашкотримач М1.2-2мм")</f>
        <v>Плашкотримач М1.2-2мм</v>
      </c>
      <c r="C2" s="59" t="s">
        <v>6</v>
      </c>
      <c r="D2" s="59">
        <v>20</v>
      </c>
      <c r="E2" s="91" t="s">
        <v>598</v>
      </c>
    </row>
    <row r="3" spans="1:5">
      <c r="A3" s="21">
        <f t="shared" si="0"/>
        <v>2</v>
      </c>
      <c r="B3" s="85" t="str">
        <f ca="1">IFERROR(__xludf.DUMMYFUNCTION("GOOGLETRANSLATE(B3762:B3777,""RU"",""UK"")"),"Плашкотримач М2.5мм")</f>
        <v>Плашкотримач М2.5мм</v>
      </c>
      <c r="C3" s="59" t="s">
        <v>6</v>
      </c>
      <c r="D3" s="59">
        <v>19</v>
      </c>
      <c r="E3" s="91" t="s">
        <v>1553</v>
      </c>
    </row>
    <row r="4" spans="1:5">
      <c r="A4" s="21">
        <f t="shared" si="0"/>
        <v>3</v>
      </c>
      <c r="B4" s="85" t="str">
        <f ca="1">IFERROR(__xludf.DUMMYFUNCTION("GOOGLETRANSLATE(B3763:B3778,""RU"",""UK"")"),"Плашкотримач М3-4мм")</f>
        <v>Плашкотримач М3-4мм</v>
      </c>
      <c r="C4" s="59" t="s">
        <v>6</v>
      </c>
      <c r="D4" s="59">
        <v>33</v>
      </c>
      <c r="E4" s="91" t="s">
        <v>1518</v>
      </c>
    </row>
    <row r="5" spans="1:5">
      <c r="A5" s="21">
        <f t="shared" si="0"/>
        <v>4</v>
      </c>
      <c r="B5" s="85" t="str">
        <f ca="1">IFERROR(__xludf.DUMMYFUNCTION("GOOGLETRANSLATE(B3764:B3779,""RU"",""UK"")"),"Плашкотримач М5-6мм")</f>
        <v>Плашкотримач М5-6мм</v>
      </c>
      <c r="C5" s="59" t="s">
        <v>6</v>
      </c>
      <c r="D5" s="59">
        <v>10</v>
      </c>
      <c r="E5" s="91" t="s">
        <v>317</v>
      </c>
    </row>
    <row r="6" spans="1:5">
      <c r="A6" s="21">
        <f t="shared" si="0"/>
        <v>5</v>
      </c>
      <c r="B6" s="85" t="str">
        <f ca="1">IFERROR(__xludf.DUMMYFUNCTION("GOOGLETRANSLATE(B3765:B3780,""RU"",""UK"")"),"Плашкотримач М3-10мм")</f>
        <v>Плашкотримач М3-10мм</v>
      </c>
      <c r="C6" s="59" t="s">
        <v>6</v>
      </c>
      <c r="D6" s="59">
        <v>2</v>
      </c>
      <c r="E6" s="91" t="s">
        <v>218</v>
      </c>
    </row>
    <row r="7" spans="1:5">
      <c r="A7" s="21">
        <f t="shared" si="0"/>
        <v>6</v>
      </c>
      <c r="B7" s="85" t="str">
        <f ca="1">IFERROR(__xludf.DUMMYFUNCTION("GOOGLETRANSLATE(B3766:B3781,""RU"",""UK"")"),"Плашкотримач М3-14мм")</f>
        <v>Плашкотримач М3-14мм</v>
      </c>
      <c r="C7" s="59" t="s">
        <v>6</v>
      </c>
      <c r="D7" s="59">
        <v>2</v>
      </c>
      <c r="E7" s="91" t="s">
        <v>461</v>
      </c>
    </row>
    <row r="8" spans="1:5">
      <c r="A8" s="21">
        <f t="shared" si="0"/>
        <v>7</v>
      </c>
      <c r="B8" s="85" t="s">
        <v>6298</v>
      </c>
      <c r="C8" s="59" t="s">
        <v>6</v>
      </c>
      <c r="D8" s="59">
        <v>1</v>
      </c>
      <c r="E8" s="91">
        <v>450</v>
      </c>
    </row>
    <row r="9" spans="1:5">
      <c r="A9" s="21">
        <f t="shared" si="0"/>
        <v>8</v>
      </c>
      <c r="B9" s="85" t="str">
        <f ca="1">IFERROR(__xludf.DUMMYFUNCTION("GOOGLETRANSLATE(B3768:B3783,""RU"",""UK"")"),"Плашкотримач №1")</f>
        <v>Плашкотримач №1</v>
      </c>
      <c r="C9" s="59" t="s">
        <v>6</v>
      </c>
      <c r="D9" s="59">
        <v>144</v>
      </c>
      <c r="E9" s="91">
        <v>150</v>
      </c>
    </row>
    <row r="10" spans="1:5">
      <c r="A10" s="21">
        <f t="shared" si="0"/>
        <v>9</v>
      </c>
      <c r="B10" s="85" t="str">
        <f ca="1">IFERROR(__xludf.DUMMYFUNCTION("GOOGLETRANSLATE(B3769:B3784,""RU"",""UK"")"),"Плашкотримач №2")</f>
        <v>Плашкотримач №2</v>
      </c>
      <c r="C10" s="59" t="s">
        <v>6</v>
      </c>
      <c r="D10" s="59">
        <v>25</v>
      </c>
      <c r="E10" s="91">
        <v>189</v>
      </c>
    </row>
    <row r="11" spans="1:5">
      <c r="A11" s="21">
        <f t="shared" si="0"/>
        <v>10</v>
      </c>
      <c r="B11" s="85" t="str">
        <f ca="1">IFERROR(__xludf.DUMMYFUNCTION("GOOGLETRANSLATE(B3770:B3785,""RU"",""UK"")"),"Плашкотримач №3")</f>
        <v>Плашкотримач №3</v>
      </c>
      <c r="C11" s="59" t="s">
        <v>6</v>
      </c>
      <c r="D11" s="59">
        <v>36</v>
      </c>
      <c r="E11" s="91">
        <v>210</v>
      </c>
    </row>
    <row r="12" spans="1:5">
      <c r="A12" s="21">
        <f t="shared" si="0"/>
        <v>11</v>
      </c>
      <c r="B12" s="85" t="str">
        <f ca="1">IFERROR(__xludf.DUMMYFUNCTION("GOOGLETRANSLATE(B3771:B3786,""RU"",""UK"")"),"Плашкотримач №4")</f>
        <v>Плашкотримач №4</v>
      </c>
      <c r="C12" s="59" t="s">
        <v>6</v>
      </c>
      <c r="D12" s="59">
        <v>68</v>
      </c>
      <c r="E12" s="91">
        <v>240</v>
      </c>
    </row>
    <row r="13" spans="1:5">
      <c r="A13" s="21">
        <f t="shared" si="0"/>
        <v>12</v>
      </c>
      <c r="B13" s="85" t="str">
        <f ca="1">IFERROR(__xludf.DUMMYFUNCTION("GOOGLETRANSLATE(B3772:B3787,""RU"",""UK"")"),"Плашкотримач №5")</f>
        <v>Плашкотримач №5</v>
      </c>
      <c r="C13" s="59" t="s">
        <v>6</v>
      </c>
      <c r="D13" s="59">
        <v>48</v>
      </c>
      <c r="E13" s="91">
        <v>300</v>
      </c>
    </row>
    <row r="14" spans="1:5">
      <c r="A14" s="21">
        <f t="shared" si="0"/>
        <v>13</v>
      </c>
      <c r="B14" s="85" t="str">
        <f ca="1">IFERROR(__xludf.DUMMYFUNCTION("GOOGLETRANSLATE(B3773:B3788,""RU"",""UK"")"),"Плашкотримач №6")</f>
        <v>Плашкотримач №6</v>
      </c>
      <c r="C14" s="59" t="s">
        <v>6</v>
      </c>
      <c r="D14" s="59">
        <v>12</v>
      </c>
      <c r="E14" s="91">
        <v>360</v>
      </c>
    </row>
    <row r="15" spans="1:5">
      <c r="A15" s="21">
        <f t="shared" si="0"/>
        <v>14</v>
      </c>
      <c r="B15" s="85" t="str">
        <f ca="1">IFERROR(__xludf.DUMMYFUNCTION("GOOGLETRANSLATE(B3774:B3789,""RU"",""UK"")"),"Плашкотримач №7")</f>
        <v>Плашкотримач №7</v>
      </c>
      <c r="C15" s="59" t="s">
        <v>6</v>
      </c>
      <c r="D15" s="59">
        <v>8</v>
      </c>
      <c r="E15" s="91">
        <v>420</v>
      </c>
    </row>
    <row r="16" spans="1:5">
      <c r="A16" s="21">
        <f t="shared" si="0"/>
        <v>15</v>
      </c>
      <c r="B16" s="85" t="str">
        <f ca="1">IFERROR(__xludf.DUMMYFUNCTION("GOOGLETRANSLATE(B3775:B3790,""RU"",""UK"")"),"Плашкотримач №8")</f>
        <v>Плашкотримач №8</v>
      </c>
      <c r="C16" s="59" t="s">
        <v>6</v>
      </c>
      <c r="D16" s="59">
        <v>14</v>
      </c>
      <c r="E16" s="91">
        <v>450</v>
      </c>
    </row>
    <row r="17" spans="1:5">
      <c r="A17" s="21">
        <f t="shared" si="0"/>
        <v>16</v>
      </c>
      <c r="B17" s="85" t="str">
        <f ca="1">IFERROR(__xludf.DUMMYFUNCTION("GOOGLETRANSLATE(B3776:B3791,""RU"",""UK"")"),"Плашкотримач №9")</f>
        <v>Плашкотримач №9</v>
      </c>
      <c r="C17" s="59" t="s">
        <v>6</v>
      </c>
      <c r="D17" s="59">
        <v>16</v>
      </c>
      <c r="E17" s="91">
        <v>510</v>
      </c>
    </row>
    <row r="18" spans="1:5">
      <c r="A18" s="21">
        <f t="shared" si="0"/>
        <v>17</v>
      </c>
      <c r="B18" s="85" t="str">
        <f ca="1">IFERROR(__xludf.DUMMYFUNCTION("GOOGLETRANSLATE(B3777:B3792,""RU"",""UK"")"),"Плашкотримач d45мм")</f>
        <v>Плашкотримач d45мм</v>
      </c>
      <c r="C18" s="59" t="s">
        <v>6</v>
      </c>
      <c r="D18" s="59">
        <v>9</v>
      </c>
      <c r="E18" s="91" t="s">
        <v>220</v>
      </c>
    </row>
    <row r="19" spans="1:5">
      <c r="A19" s="21">
        <f t="shared" si="0"/>
        <v>18</v>
      </c>
      <c r="B19" s="85" t="str">
        <f ca="1">IFERROR(__xludf.DUMMYFUNCTION("GOOGLETRANSLATE(B3778:B3793,""RU"",""UK"")"),"Плашкотримач d55мм")</f>
        <v>Плашкотримач d55мм</v>
      </c>
      <c r="C19" s="59" t="s">
        <v>6</v>
      </c>
      <c r="D19" s="59">
        <v>1</v>
      </c>
      <c r="E19" s="91" t="s">
        <v>327</v>
      </c>
    </row>
    <row r="20" spans="1:5">
      <c r="A20" s="21">
        <f t="shared" si="0"/>
        <v>19</v>
      </c>
      <c r="B20" s="85" t="str">
        <f ca="1">IFERROR(__xludf.DUMMYFUNCTION("GOOGLETRANSLATE(B3779:B3794,""RU"",""UK"")"),"Плашкотримач d90мм")</f>
        <v>Плашкотримач d90мм</v>
      </c>
      <c r="C20" s="59" t="s">
        <v>6</v>
      </c>
      <c r="D20" s="59">
        <v>1</v>
      </c>
      <c r="E20" s="91" t="s">
        <v>16</v>
      </c>
    </row>
    <row r="21" spans="1:5">
      <c r="A21" s="21">
        <f t="shared" si="0"/>
        <v>20</v>
      </c>
      <c r="B21" s="85" t="str">
        <f ca="1">IFERROR(__xludf.DUMMYFUNCTION("GOOGLETRANSLATE(B3780:B3795,""RU"",""UK"")"),"Вороток (Мітчикоутримувач) 3-8мм / 3-10мм")</f>
        <v>Вороток (Мітчикоутримувач) 3-8мм / 3-10мм</v>
      </c>
      <c r="C21" s="59" t="s">
        <v>6</v>
      </c>
      <c r="D21" s="59" t="s">
        <v>6456</v>
      </c>
      <c r="E21" s="91" t="s">
        <v>338</v>
      </c>
    </row>
    <row r="22" spans="1:5">
      <c r="A22" s="21">
        <f t="shared" si="0"/>
        <v>21</v>
      </c>
      <c r="B22" s="85" t="str">
        <f ca="1">IFERROR(__xludf.DUMMYFUNCTION("GOOGLETRANSLATE(B3781:B3796,""RU"",""UK"")"),"Вороток (Мітчикоутримувач) 3-14мм / 5-14мм")</f>
        <v>Вороток (Мітчикоутримувач) 3-14мм / 5-14мм</v>
      </c>
      <c r="C22" s="59" t="s">
        <v>6</v>
      </c>
      <c r="D22" s="59" t="s">
        <v>3137</v>
      </c>
      <c r="E22" s="91" t="s">
        <v>319</v>
      </c>
    </row>
    <row r="23" spans="1:5">
      <c r="A23" s="21">
        <f t="shared" si="0"/>
        <v>22</v>
      </c>
      <c r="B23" s="85" t="str">
        <f ca="1">IFERROR(__xludf.DUMMYFUNCTION("GOOGLETRANSLATE(B3782:B3797,""RU"",""UK"")"),"Вороток (Мітчикоутримувач) 5-16мм")</f>
        <v>Вороток (Мітчикоутримувач) 5-16мм</v>
      </c>
      <c r="C23" s="59" t="s">
        <v>6</v>
      </c>
      <c r="D23" s="59">
        <v>1</v>
      </c>
      <c r="E23" s="91" t="s">
        <v>119</v>
      </c>
    </row>
    <row r="24" spans="1:5">
      <c r="A24" s="21">
        <f t="shared" si="0"/>
        <v>23</v>
      </c>
      <c r="B24" s="85" t="str">
        <f ca="1">IFERROR(__xludf.DUMMYFUNCTION("GOOGLETRANSLATE(B3783:B3798,""RU"",""UK"")"),"Вороток (Мітчикоутримувач) 8-20мм")</f>
        <v>Вороток (Мітчикоутримувач) 8-20мм</v>
      </c>
      <c r="C24" s="59" t="s">
        <v>6</v>
      </c>
      <c r="D24" s="59">
        <v>1</v>
      </c>
      <c r="E24" s="91" t="s">
        <v>222</v>
      </c>
    </row>
    <row r="25" spans="1:5">
      <c r="A25" s="21">
        <f t="shared" si="0"/>
        <v>24</v>
      </c>
      <c r="B25" s="85" t="str">
        <f ca="1">IFERROR(__xludf.DUMMYFUNCTION("GOOGLETRANSLATE(B3784:B3799,""RU"",""UK"")"),"Вороток (Мітчикоутримувач) 10-27мм")</f>
        <v>Вороток (Мітчикоутримувач) 10-27мм</v>
      </c>
      <c r="C25" s="59" t="s">
        <v>6</v>
      </c>
      <c r="D25" s="59">
        <v>0</v>
      </c>
      <c r="E25" s="91" t="s">
        <v>140</v>
      </c>
    </row>
    <row r="26" spans="1:5">
      <c r="A26" s="21">
        <f t="shared" si="0"/>
        <v>25</v>
      </c>
      <c r="B26" s="85" t="str">
        <f ca="1">IFERROR(__xludf.DUMMYFUNCTION("GOOGLETRANSLATE(B3785:B3800,""RU"",""UK"")"),"Вороток (Мітчикоутримувач) 12-36мм")</f>
        <v>Вороток (Мітчикоутримувач) 12-36мм</v>
      </c>
      <c r="C26" s="59" t="s">
        <v>6</v>
      </c>
      <c r="D26" s="59">
        <v>1</v>
      </c>
      <c r="E26" s="91" t="s">
        <v>159</v>
      </c>
    </row>
    <row r="27" spans="1:5">
      <c r="A27" s="21">
        <f t="shared" si="0"/>
        <v>26</v>
      </c>
      <c r="B27" s="85" t="str">
        <f ca="1">IFERROR(__xludf.DUMMYFUNCTION("GOOGLETRANSLATE(B3786:B3801,""RU"",""UK"")"),"Мітчикоутримувач №3")</f>
        <v>Мітчикоутримувач №3</v>
      </c>
      <c r="C27" s="59" t="s">
        <v>6</v>
      </c>
      <c r="D27" s="59">
        <v>7</v>
      </c>
      <c r="E27" s="91">
        <v>240</v>
      </c>
    </row>
    <row r="28" spans="1:5">
      <c r="A28" s="21">
        <f t="shared" si="0"/>
        <v>27</v>
      </c>
      <c r="B28" s="85" t="str">
        <f ca="1">IFERROR(__xludf.DUMMYFUNCTION("GOOGLETRANSLATE(B3787:B3802,""RU"",""UK"")"),"Мітчикоутримувач №4")</f>
        <v>Мітчикоутримувач №4</v>
      </c>
      <c r="C28" s="59" t="s">
        <v>6</v>
      </c>
      <c r="D28" s="59">
        <v>9</v>
      </c>
      <c r="E28" s="91">
        <v>360</v>
      </c>
    </row>
    <row r="29" spans="1:5">
      <c r="A29" s="21">
        <f t="shared" si="0"/>
        <v>28</v>
      </c>
      <c r="B29" s="85" t="str">
        <f ca="1">IFERROR(__xludf.DUMMYFUNCTION("GOOGLETRANSLATE(B3788:B3803,""RU"",""UK"")"),"Мітчикоутримувач універсальний регул. №5")</f>
        <v>Мітчикоутримувач універсальний регул. №5</v>
      </c>
      <c r="C29" s="59" t="s">
        <v>6</v>
      </c>
      <c r="D29" s="59">
        <v>1</v>
      </c>
      <c r="E29" s="91" t="s">
        <v>16</v>
      </c>
    </row>
    <row r="30" spans="1:5">
      <c r="A30" s="21">
        <f t="shared" si="0"/>
        <v>29</v>
      </c>
      <c r="B30" s="85" t="str">
        <f ca="1">IFERROR(__xludf.DUMMYFUNCTION("GOOGLETRANSLATE(B3789:B3804,""RU"",""UK"")"),"Мітчикоутримувач №5")</f>
        <v>Мітчикоутримувач №5</v>
      </c>
      <c r="C30" s="59" t="s">
        <v>6</v>
      </c>
      <c r="D30" s="59">
        <v>1</v>
      </c>
      <c r="E30" s="91">
        <v>410</v>
      </c>
    </row>
    <row r="31" spans="1:5">
      <c r="A31" s="21"/>
    </row>
    <row r="32" spans="1:5">
      <c r="A32" s="21"/>
    </row>
    <row r="33" spans="1:1">
      <c r="A33" s="2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opLeftCell="A10" zoomScale="240" zoomScaleNormal="240" workbookViewId="0">
      <selection activeCell="B10" sqref="B10"/>
    </sheetView>
  </sheetViews>
  <sheetFormatPr defaultRowHeight="12.75"/>
  <cols>
    <col min="2" max="2" width="50.85546875" customWidth="1"/>
  </cols>
  <sheetData>
    <row r="1" spans="1:5">
      <c r="A1" s="43"/>
      <c r="B1" s="110" t="str">
        <f ca="1">IFERROR(__xludf.DUMMYFUNCTION("GOOGLETRANSLATE(B774:B789,""RU"",""UK"")"),"7. В І Д Р І З Н І  К Р У Г И")</f>
        <v>7. В І Д Р І З Н І  К Р У Г И</v>
      </c>
      <c r="C1" s="33"/>
      <c r="D1" s="33"/>
      <c r="E1" s="95"/>
    </row>
    <row r="2" spans="1:5">
      <c r="A2" s="21">
        <v>1</v>
      </c>
      <c r="B2" s="85" t="str">
        <f ca="1">IFERROR(__xludf.DUMMYFUNCTION("GOOGLETRANSLATE(B775:B790,""RU"",""UK"")"),"Круг відрізний армований 125х22х1,0 (метал) BOSCH")</f>
        <v>Круг відрізний армований 125х22х1,0 (метал) BOSCH</v>
      </c>
      <c r="C2" s="59" t="s">
        <v>6</v>
      </c>
      <c r="D2" s="59">
        <v>0</v>
      </c>
      <c r="E2" s="91" t="s">
        <v>1073</v>
      </c>
    </row>
    <row r="3" spans="1:5">
      <c r="A3" s="21">
        <v>2</v>
      </c>
      <c r="B3" s="85" t="str">
        <f ca="1">IFERROR(__xludf.DUMMYFUNCTION("GOOGLETRANSLATE(B776:B791,""RU"",""UK"")"),"Круг відрізний армований 125x22x1,2 (метал) Кronenflex")</f>
        <v>Круг відрізний армований 125x22x1,2 (метал) Кronenflex</v>
      </c>
      <c r="C3" s="59" t="s">
        <v>6</v>
      </c>
      <c r="D3" s="59">
        <v>0</v>
      </c>
      <c r="E3" s="91" t="s">
        <v>1075</v>
      </c>
    </row>
    <row r="4" spans="1:5">
      <c r="A4" s="21">
        <v>3</v>
      </c>
      <c r="B4" s="85" t="str">
        <f ca="1">IFERROR(__xludf.DUMMYFUNCTION("GOOGLETRANSLATE(B777:B792,""RU"",""UK"")"),"Круг відрізний армований 125x22x1,6 (метал) Кronenflex")</f>
        <v>Круг відрізний армований 125x22x1,6 (метал) Кronenflex</v>
      </c>
      <c r="C4" s="59" t="s">
        <v>6</v>
      </c>
      <c r="D4" s="59">
        <v>0</v>
      </c>
      <c r="E4" s="91" t="s">
        <v>1077</v>
      </c>
    </row>
    <row r="5" spans="1:5">
      <c r="A5" s="21">
        <v>4</v>
      </c>
      <c r="B5" s="85" t="str">
        <f ca="1">IFERROR(__xludf.DUMMYFUNCTION("GOOGLETRANSLATE(B778:B793,""RU"",""UK"")"),"Круг відрізний армований 125х22х2,0 (метал)")</f>
        <v>Круг відрізний армований 125х22х2,0 (метал)</v>
      </c>
      <c r="C5" s="59" t="s">
        <v>6</v>
      </c>
      <c r="D5" s="59">
        <v>0</v>
      </c>
      <c r="E5" s="91" t="s">
        <v>201</v>
      </c>
    </row>
    <row r="6" spans="1:5">
      <c r="A6" s="21">
        <v>6</v>
      </c>
      <c r="B6" s="85" t="str">
        <f ca="1">IFERROR(__xludf.DUMMYFUNCTION("GOOGLETRANSLATE(B779:B794,""RU"",""UK"")"),"Круг відрізний армований 230x22x2,0 (метал) Vulcan NORTON")</f>
        <v>Круг відрізний армований 230x22x2,0 (метал) Vulcan NORTON</v>
      </c>
      <c r="C6" s="59" t="s">
        <v>6</v>
      </c>
      <c r="D6" s="37">
        <v>0</v>
      </c>
      <c r="E6" s="91" t="s">
        <v>1080</v>
      </c>
    </row>
    <row r="7" spans="1:5">
      <c r="A7" s="21">
        <v>7</v>
      </c>
      <c r="B7" s="85" t="s">
        <v>6294</v>
      </c>
      <c r="C7" s="59" t="s">
        <v>6</v>
      </c>
      <c r="D7" s="37">
        <v>36</v>
      </c>
      <c r="E7" s="91">
        <v>75</v>
      </c>
    </row>
    <row r="8" spans="1:5">
      <c r="A8" s="21">
        <v>8</v>
      </c>
      <c r="B8" s="85" t="s">
        <v>6293</v>
      </c>
      <c r="C8" s="59" t="s">
        <v>6</v>
      </c>
      <c r="D8" s="37">
        <v>10</v>
      </c>
      <c r="E8" s="91">
        <v>60</v>
      </c>
    </row>
    <row r="9" spans="1:5">
      <c r="A9" s="21">
        <v>9</v>
      </c>
      <c r="B9" s="85" t="s">
        <v>6292</v>
      </c>
      <c r="C9" s="59" t="s">
        <v>6</v>
      </c>
      <c r="D9" s="37">
        <v>7</v>
      </c>
      <c r="E9" s="91">
        <v>80</v>
      </c>
    </row>
    <row r="10" spans="1:5">
      <c r="A10" s="21">
        <v>10</v>
      </c>
      <c r="B10" s="85" t="str">
        <f ca="1">IFERROR(__xludf.DUMMYFUNCTION("GOOGLETRANSLATE(B780:B795,""RU"",""UK"")"),"Круг відрізний армований 400x4х32 (метал) ЗАК")</f>
        <v>Круг відрізний армований 400x4х32 (метал) ЗАК</v>
      </c>
      <c r="C10" s="59" t="s">
        <v>6</v>
      </c>
      <c r="D10" s="59">
        <v>20</v>
      </c>
      <c r="E10" s="91">
        <v>145</v>
      </c>
    </row>
    <row r="11" spans="1:5">
      <c r="A11" s="43"/>
      <c r="B11" s="111" t="str">
        <f ca="1">IFERROR(__xludf.DUMMYFUNCTION("GOOGLETRANSLATE(B756:B771,""RU"",""UK"")"),"6. К Р У Г И  З А Ч І С Т Н І , П Е Л Ю С Т К О В І , П Р О В О Л О Ч Н І")</f>
        <v>6. К Р У Г И  З А Ч І С Т Н І , П Е Л Ю С Т К О В І , П Р О В О Л О Ч Н І</v>
      </c>
      <c r="C11" s="29"/>
      <c r="D11" s="29"/>
      <c r="E11" s="100"/>
    </row>
    <row r="12" spans="1:5">
      <c r="A12" s="21">
        <v>1</v>
      </c>
      <c r="B12" s="85" t="str">
        <f ca="1">IFERROR(__xludf.DUMMYFUNCTION("GOOGLETRANSLATE(B757:B772,""RU"",""UK"")"),"Круг обдиральний армований 125Х6,0Х22 BOSCH")</f>
        <v>Круг обдиральний армований 125Х6,0Х22 BOSCH</v>
      </c>
      <c r="C12" s="59" t="s">
        <v>6</v>
      </c>
      <c r="D12" s="59">
        <v>7</v>
      </c>
      <c r="E12" s="91" t="s">
        <v>1050</v>
      </c>
    </row>
    <row r="13" spans="1:5">
      <c r="A13" s="21">
        <f>A12+1</f>
        <v>2</v>
      </c>
      <c r="B13" s="85" t="str">
        <f ca="1">IFERROR(__xludf.DUMMYFUNCTION("GOOGLETRANSLATE(B758:B773,""RU"",""UK"")"),"Круг обдиральний армований 125Х6,0Х22 NORTON")</f>
        <v>Круг обдиральний армований 125Х6,0Х22 NORTON</v>
      </c>
      <c r="C13" s="59" t="s">
        <v>6</v>
      </c>
      <c r="D13" s="59">
        <v>0</v>
      </c>
      <c r="E13" s="91" t="s">
        <v>1050</v>
      </c>
    </row>
    <row r="14" spans="1:5">
      <c r="A14" s="21">
        <f t="shared" ref="A14:A30" si="0">A13+1</f>
        <v>3</v>
      </c>
      <c r="B14" s="85" t="str">
        <f ca="1">IFERROR(__xludf.DUMMYFUNCTION("GOOGLETRANSLATE(B759:B774,""RU"",""UK"")"),"Круг обдиральний армований 14АБ 80Н СТ 150х20х32")</f>
        <v>Круг обдиральний армований 14АБ 80Н СТ 150х20х32</v>
      </c>
      <c r="C14" s="59" t="s">
        <v>6</v>
      </c>
      <c r="D14" s="59">
        <v>48</v>
      </c>
      <c r="E14" s="91" t="s">
        <v>1053</v>
      </c>
    </row>
    <row r="15" spans="1:5">
      <c r="A15" s="21">
        <f t="shared" si="0"/>
        <v>4</v>
      </c>
      <c r="B15" s="85" t="str">
        <f ca="1">IFERROR(__xludf.DUMMYFUNCTION("GOOGLETRANSLATE(B760:B775,""RU"",""UK"")"),"Круг обдиральний армований 14АБ 80Н СТ 150х25х32")</f>
        <v>Круг обдиральний армований 14АБ 80Н СТ 150х25х32</v>
      </c>
      <c r="C15" s="59" t="s">
        <v>6</v>
      </c>
      <c r="D15" s="59">
        <v>39</v>
      </c>
      <c r="E15" s="91" t="s">
        <v>119</v>
      </c>
    </row>
    <row r="16" spans="1:5">
      <c r="A16" s="21">
        <f t="shared" si="0"/>
        <v>5</v>
      </c>
      <c r="B16" s="85" t="str">
        <f ca="1">IFERROR(__xludf.DUMMYFUNCTION("GOOGLETRANSLATE(B761:B776,""RU"",""UK"")"),"Круг обдиральний армований 230Х6,0Х22 14АF24F24 ИАЗ")</f>
        <v>Круг обдиральний армований 230Х6,0Х22 14АF24F24 ИАЗ</v>
      </c>
      <c r="C16" s="59" t="s">
        <v>6</v>
      </c>
      <c r="D16" s="59">
        <v>43</v>
      </c>
      <c r="E16" s="91">
        <v>66</v>
      </c>
    </row>
    <row r="17" spans="1:5">
      <c r="A17" s="21">
        <f t="shared" si="0"/>
        <v>6</v>
      </c>
      <c r="B17" s="169" t="str">
        <f ca="1">IFERROR(__xludf.DUMMYFUNCTION("GOOGLETRANSLATE(B762:B777,""RU"",""UK"")"),"Круг пелюстковий КЛ 150х30х32, 14АР80")</f>
        <v>Круг пелюстковий КЛ 150х30х32, 14АР80</v>
      </c>
      <c r="C17" s="59" t="s">
        <v>6</v>
      </c>
      <c r="D17" s="59">
        <v>5</v>
      </c>
      <c r="E17" s="91">
        <v>395</v>
      </c>
    </row>
    <row r="18" spans="1:5">
      <c r="A18" s="21">
        <f t="shared" si="0"/>
        <v>7</v>
      </c>
      <c r="B18" s="169" t="s">
        <v>6295</v>
      </c>
      <c r="C18" s="59" t="s">
        <v>6</v>
      </c>
      <c r="D18" s="59">
        <v>4</v>
      </c>
      <c r="E18" s="91">
        <v>1500</v>
      </c>
    </row>
    <row r="19" spans="1:5">
      <c r="A19" s="21">
        <f t="shared" si="0"/>
        <v>8</v>
      </c>
      <c r="B19" s="85" t="str">
        <f ca="1">IFERROR(__xludf.DUMMYFUNCTION("GOOGLETRANSLATE(B764:B779,""RU"",""UK"")"),"Круг пелюстковий торцевий КЛТ 125х22 - Р80 Metflax")</f>
        <v>Круг пелюстковий торцевий КЛТ 125х22 - Р80 Metflax</v>
      </c>
      <c r="C19" s="59" t="s">
        <v>6</v>
      </c>
      <c r="D19" s="59">
        <v>10</v>
      </c>
      <c r="E19" s="91" t="s">
        <v>1058</v>
      </c>
    </row>
    <row r="20" spans="1:5">
      <c r="A20" s="21">
        <f t="shared" si="0"/>
        <v>9</v>
      </c>
      <c r="B20" s="169" t="str">
        <f ca="1">IFERROR(__xludf.DUMMYFUNCTION("GOOGLETRANSLATE(B763:B778,""RU"",""UK"")"),"Круг пелюстковий торцевий КЛТ 125х22 - Р60 Metflax ")</f>
        <v xml:space="preserve">Круг пелюстковий торцевий КЛТ 125х22 - Р60 Metflax </v>
      </c>
      <c r="C20" s="59" t="s">
        <v>6</v>
      </c>
      <c r="D20" s="59">
        <v>57</v>
      </c>
      <c r="E20" s="91" t="s">
        <v>1058</v>
      </c>
    </row>
    <row r="21" spans="1:5">
      <c r="A21" s="21">
        <f t="shared" si="0"/>
        <v>10</v>
      </c>
      <c r="B21" s="169" t="str">
        <f ca="1">IFERROR(__xludf.DUMMYFUNCTION("GOOGLETRANSLATE(B764:B779,""RU"",""UK"")"),"Круг пелюстковий торцевий КЛТ 125х22 - Р40 Metflax")</f>
        <v>Круг пелюстковий торцевий КЛТ 125х22 - Р40 Metflax</v>
      </c>
      <c r="C21" s="59" t="s">
        <v>6</v>
      </c>
      <c r="D21" s="59">
        <v>30</v>
      </c>
      <c r="E21" s="91" t="s">
        <v>1058</v>
      </c>
    </row>
    <row r="22" spans="1:5">
      <c r="A22" s="21">
        <f t="shared" si="0"/>
        <v>11</v>
      </c>
      <c r="B22" s="85" t="str">
        <f ca="1">IFERROR(__xludf.DUMMYFUNCTION("GOOGLETRANSLATE(B765:B780,""RU"",""UK"")"),"Круг пелюстковий торцевий КЛТ 125х22 - Р40 ЗАЗ")</f>
        <v>Круг пелюстковий торцевий КЛТ 125х22 - Р40 ЗАЗ</v>
      </c>
      <c r="C22" s="59" t="s">
        <v>6</v>
      </c>
      <c r="D22" s="59">
        <v>5</v>
      </c>
      <c r="E22" s="91" t="s">
        <v>1061</v>
      </c>
    </row>
    <row r="23" spans="1:5">
      <c r="A23" s="21">
        <f t="shared" si="0"/>
        <v>12</v>
      </c>
      <c r="B23" s="85" t="str">
        <f ca="1">IFERROR(__xludf.DUMMYFUNCTION("GOOGLETRANSLATE(B766:B781,""RU"",""UK"")"),"Головка шліфувальний. пелюсткова 30х15х6 Р60 Кlingspor")</f>
        <v>Головка шліфувальний. пелюсткова 30х15х6 Р60 Кlingspor</v>
      </c>
      <c r="C23" s="59" t="s">
        <v>6</v>
      </c>
      <c r="D23" s="59">
        <v>0</v>
      </c>
      <c r="E23" s="91" t="s">
        <v>292</v>
      </c>
    </row>
    <row r="24" spans="1:5">
      <c r="A24" s="21">
        <f t="shared" si="0"/>
        <v>13</v>
      </c>
      <c r="B24" s="85" t="str">
        <f ca="1">IFERROR(__xludf.DUMMYFUNCTION("GOOGLETRANSLATE(B767:B782,""RU"",""UK"")"),"Головка шліфувальний. пелюсткова 30х30х6 Р60 Кlingspor")</f>
        <v>Головка шліфувальний. пелюсткова 30х30х6 Р60 Кlingspor</v>
      </c>
      <c r="C24" s="59" t="s">
        <v>6</v>
      </c>
      <c r="D24" s="59">
        <v>0</v>
      </c>
      <c r="E24" s="91" t="s">
        <v>366</v>
      </c>
    </row>
    <row r="25" spans="1:5">
      <c r="A25" s="21">
        <f t="shared" si="0"/>
        <v>14</v>
      </c>
      <c r="B25" s="85" t="str">
        <f ca="1">IFERROR(__xludf.DUMMYFUNCTION("GOOGLETRANSLATE(B768:B783,""RU"",""UK"")"),"Головка шліфувальний. пелюсткова 40х25х6 Р40 Кlingspor")</f>
        <v>Головка шліфувальний. пелюсткова 40х25х6 Р40 Кlingspor</v>
      </c>
      <c r="C25" s="59" t="s">
        <v>6</v>
      </c>
      <c r="D25" s="59">
        <v>0</v>
      </c>
      <c r="E25" s="91" t="s">
        <v>124</v>
      </c>
    </row>
    <row r="26" spans="1:5">
      <c r="A26" s="21">
        <f t="shared" si="0"/>
        <v>15</v>
      </c>
      <c r="B26" s="85" t="str">
        <f ca="1">IFERROR(__xludf.DUMMYFUNCTION("GOOGLETRANSLATE(B769:B784,""RU"",""UK"")"),"Головка шліфувальний. пелюсткова 50х25х6 Р60 Кlingspor")</f>
        <v>Головка шліфувальний. пелюсткова 50х25х6 Р60 Кlingspor</v>
      </c>
      <c r="C26" s="59" t="s">
        <v>6</v>
      </c>
      <c r="D26" s="59">
        <v>0</v>
      </c>
      <c r="E26" s="91" t="s">
        <v>167</v>
      </c>
    </row>
    <row r="27" spans="1:5">
      <c r="A27" s="21">
        <f t="shared" si="0"/>
        <v>16</v>
      </c>
      <c r="B27" s="85" t="str">
        <f ca="1">IFERROR(__xludf.DUMMYFUNCTION("GOOGLETRANSLATE(B770:B785,""RU"",""UK"")"),"Головка шліфувальний. пелюсткова 60х30х6 Р40 Кlingspor")</f>
        <v>Головка шліфувальний. пелюсткова 60х30х6 Р40 Кlingspor</v>
      </c>
      <c r="C27" s="59" t="s">
        <v>6</v>
      </c>
      <c r="D27" s="59">
        <v>0</v>
      </c>
      <c r="E27" s="91" t="s">
        <v>304</v>
      </c>
    </row>
    <row r="28" spans="1:5">
      <c r="A28" s="21">
        <f t="shared" si="0"/>
        <v>17</v>
      </c>
      <c r="B28" s="85" t="str">
        <f ca="1">IFERROR(__xludf.DUMMYFUNCTION("GOOGLETRANSLATE(B771:B786,""RU"",""UK"")"),"Щітка крацювання ""Чашка"" латунна 65мм")</f>
        <v>Щітка крацювання "Чашка" латунна 65мм</v>
      </c>
      <c r="C28" s="59" t="s">
        <v>6</v>
      </c>
      <c r="D28" s="59">
        <v>0</v>
      </c>
      <c r="E28" s="99" t="s">
        <v>346</v>
      </c>
    </row>
    <row r="29" spans="1:5">
      <c r="A29" s="21">
        <f t="shared" si="0"/>
        <v>18</v>
      </c>
      <c r="B29" s="85" t="str">
        <f ca="1">IFERROR(__xludf.DUMMYFUNCTION("GOOGLETRANSLATE(B772:B787,""RU"",""UK"")"),"Щітка крацювальна батіг. 100мм")</f>
        <v>Щітка крацювальна батіг. 100мм</v>
      </c>
      <c r="C29" s="59" t="s">
        <v>6</v>
      </c>
      <c r="D29" s="59">
        <v>1</v>
      </c>
      <c r="E29" s="99" t="s">
        <v>428</v>
      </c>
    </row>
    <row r="30" spans="1:5">
      <c r="A30" s="21">
        <f t="shared" si="0"/>
        <v>19</v>
      </c>
      <c r="B30" s="85" t="str">
        <f ca="1">IFERROR(__xludf.DUMMYFUNCTION("GOOGLETRANSLATE(B773:B788,""RU"",""UK"")"),"Щітка крацювальна 150х40/250х56")</f>
        <v>Щітка крацювальна 150х40/250х56</v>
      </c>
      <c r="C30" s="59" t="s">
        <v>6</v>
      </c>
      <c r="D30" s="59" t="s">
        <v>1005</v>
      </c>
      <c r="E30" s="99" t="s">
        <v>1070</v>
      </c>
    </row>
    <row r="31" spans="1:5">
      <c r="A31" s="22"/>
      <c r="B31" s="131" t="str">
        <f ca="1">IFERROR(__xludf.DUMMYFUNCTION("GOOGLETRANSLATE(B899:B914,""RU"",""UK"")"),"9. Ш Л І Ф У В А Л Ь Н А   Ш К У Р К А")</f>
        <v>9. Ш Л І Ф У В А Л Ь Н А   Ш К У Р К А</v>
      </c>
      <c r="C31" s="48"/>
      <c r="D31" s="33"/>
      <c r="E31" s="95"/>
    </row>
    <row r="32" spans="1:5">
      <c r="A32" s="21">
        <v>1</v>
      </c>
      <c r="B32" s="164" t="str">
        <f ca="1">IFERROR(__xludf.DUMMYFUNCTION("GOOGLETRANSLATE(B901:B916,""RU"",""UK"")"),"Шкірка шліф. (папір) Р-80 (16Н) шир. 1,4 м")</f>
        <v>Шкірка шліф. (папір) Р-80 (16Н) шир. 1,4 м</v>
      </c>
      <c r="C32" s="59" t="s">
        <v>1225</v>
      </c>
      <c r="D32" s="59">
        <v>7</v>
      </c>
      <c r="E32" s="99">
        <v>155</v>
      </c>
    </row>
    <row r="33" spans="1:5">
      <c r="A33" s="21">
        <v>2</v>
      </c>
      <c r="B33" s="164" t="str">
        <f ca="1">IFERROR(__xludf.DUMMYFUNCTION("GOOGLETRANSLATE(B902:B917,""RU"",""UK"")"),"Шкірка шліф. водостійка(тканина) Р-80 (20Н)")</f>
        <v>Шкірка шліф. водостійка(тканина) Р-80 (20Н)</v>
      </c>
      <c r="C33" s="59" t="s">
        <v>1225</v>
      </c>
      <c r="D33" s="59">
        <v>0</v>
      </c>
      <c r="E33" s="99" t="s">
        <v>631</v>
      </c>
    </row>
    <row r="34" spans="1:5">
      <c r="A34" s="21">
        <v>3</v>
      </c>
      <c r="B34" s="85" t="s">
        <v>6380</v>
      </c>
      <c r="C34" s="59" t="s">
        <v>1225</v>
      </c>
      <c r="D34" s="59">
        <v>5.3</v>
      </c>
      <c r="E34" s="91">
        <v>220</v>
      </c>
    </row>
    <row r="35" spans="1:5">
      <c r="A35" s="21">
        <v>4</v>
      </c>
      <c r="B35" s="164" t="str">
        <f ca="1">IFERROR(__xludf.DUMMYFUNCTION("GOOGLETRANSLATE(B904:B919,""RU"",""UK"")"),"Шкірка шліфувальний водос. (тканина) Р-40 (40Н) шир. 1,4 м")</f>
        <v>Шкірка шліфувальний водос. (тканина) Р-40 (40Н) шир. 1,4 м</v>
      </c>
      <c r="C35" s="59" t="s">
        <v>1225</v>
      </c>
      <c r="D35" s="59">
        <v>1.1000000000000001</v>
      </c>
      <c r="E35" s="91" t="s">
        <v>162</v>
      </c>
    </row>
    <row r="36" spans="1:5">
      <c r="A36" s="21">
        <v>5</v>
      </c>
      <c r="B36" s="85" t="s">
        <v>6381</v>
      </c>
      <c r="C36" s="59" t="s">
        <v>6379</v>
      </c>
      <c r="D36" s="59">
        <v>1.4</v>
      </c>
      <c r="E36" s="91">
        <v>220</v>
      </c>
    </row>
    <row r="37" spans="1:5">
      <c r="A37" s="21">
        <v>6</v>
      </c>
      <c r="B37" s="164" t="str">
        <f ca="1">IFERROR(__xludf.DUMMYFUNCTION("GOOGLETRANSLATE(B905:B920,""RU"",""UK"")"),"Шкірка шліфувальна водостійка (тканина) Р-36 №50 (0,3+3,9+22,7)")</f>
        <v>Шкірка шліфувальна водостійка (тканина) Р-36 №50 (0,3+3,9+22,7)</v>
      </c>
      <c r="C37" s="59" t="s">
        <v>1225</v>
      </c>
      <c r="D37" s="59" t="s">
        <v>1232</v>
      </c>
      <c r="E37" s="91" t="s">
        <v>162</v>
      </c>
    </row>
  </sheetData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zoomScale="200" zoomScaleNormal="200" workbookViewId="0">
      <selection sqref="A1:E5"/>
    </sheetView>
  </sheetViews>
  <sheetFormatPr defaultRowHeight="12.75"/>
  <cols>
    <col min="2" max="2" width="56.28515625" customWidth="1"/>
  </cols>
  <sheetData>
    <row r="1" spans="1:5">
      <c r="A1" s="22"/>
      <c r="B1" s="110" t="str">
        <f ca="1">IFERROR(__xludf.DUMMYFUNCTION("GOOGLETRANSLATE(B455:B470,""RU"",""UK"")"),"4. Д Е Р Е В О О Б Р О Б Н И Й  І Н С Т Р У М Е Н Т")</f>
        <v>4. Д Е Р Е В О О Б Р О Б Н И Й  І Н С Т Р У М Е Н Т</v>
      </c>
      <c r="C1" s="29"/>
      <c r="D1" s="30"/>
      <c r="E1" s="95"/>
    </row>
    <row r="2" spans="1:5">
      <c r="A2" s="21">
        <v>1</v>
      </c>
      <c r="B2" s="85" t="str">
        <f ca="1">IFERROR(__xludf.DUMMYFUNCTION("GOOGLETRANSLATE(B456:B471,""RU"",""UK"")"),"Пила дискова т/с ВК-8 d 200х32х3мм Z48")</f>
        <v>Пила дискова т/с ВК-8 d 200х32х3мм Z48</v>
      </c>
      <c r="C2" s="59" t="s">
        <v>6</v>
      </c>
      <c r="D2" s="12">
        <v>1</v>
      </c>
      <c r="E2" s="91" t="s">
        <v>413</v>
      </c>
    </row>
    <row r="3" spans="1:5">
      <c r="A3" s="21">
        <v>2</v>
      </c>
      <c r="B3" s="85" t="str">
        <f ca="1">IFERROR(__xludf.DUMMYFUNCTION("GOOGLETRANSLATE(B457:B472,""RU"",""UK"")"),"Пила дискова т/с ВК-8 d 355х50х3,2мм Z36")</f>
        <v>Пила дискова т/с ВК-8 d 355х50х3,2мм Z36</v>
      </c>
      <c r="C3" s="59" t="s">
        <v>6</v>
      </c>
      <c r="D3" s="59">
        <v>2</v>
      </c>
      <c r="E3" s="91" t="s">
        <v>71</v>
      </c>
    </row>
    <row r="4" spans="1:5">
      <c r="A4" s="21">
        <v>4</v>
      </c>
      <c r="B4" s="85" t="str">
        <f ca="1">IFERROR(__xludf.DUMMYFUNCTION("GOOGLETRANSLATE(B458:B473,""RU"",""UK"")"),"Пила стрічкова 40х0,8 крок зуба 3 мм")</f>
        <v>Пила стрічкова 40х0,8 крок зуба 3 мм</v>
      </c>
      <c r="C4" s="59" t="s">
        <v>634</v>
      </c>
      <c r="D4" s="59">
        <v>39</v>
      </c>
      <c r="E4" s="91" t="s">
        <v>136</v>
      </c>
    </row>
    <row r="5" spans="1:5">
      <c r="A5" s="21">
        <v>5</v>
      </c>
      <c r="B5" s="85" t="str">
        <f ca="1">IFERROR(__xludf.DUMMYFUNCTION("GOOGLETRANSLATE(B459:B474,""RU"",""UK"")"),"Пила стрічкова 40х0,8 крок зуба 10 мм (26+120м)")</f>
        <v>Пила стрічкова 40х0,8 крок зуба 10 мм (26+120м)</v>
      </c>
      <c r="C5" s="59" t="s">
        <v>634</v>
      </c>
      <c r="D5" s="59">
        <v>146</v>
      </c>
      <c r="E5" s="91" t="s">
        <v>136</v>
      </c>
    </row>
    <row r="6" spans="1:5">
      <c r="A6" s="21">
        <v>6</v>
      </c>
      <c r="B6" s="169" t="s">
        <v>6240</v>
      </c>
      <c r="C6" s="59" t="s">
        <v>6</v>
      </c>
      <c r="D6" s="59">
        <v>2</v>
      </c>
      <c r="E6" s="91">
        <v>1650</v>
      </c>
    </row>
    <row r="7" spans="1:5">
      <c r="A7" s="21">
        <v>7</v>
      </c>
      <c r="B7" s="85" t="str">
        <f ca="1">IFERROR(__xludf.DUMMYFUNCTION("GOOGLETRANSLATE(B461:B476,""RU"",""UK"")"),"Ножівка по дереву (Пилка по дереву, гартовані зубці, ""Stоrm"", 450мм)")</f>
        <v>Ножівка по дереву (Пилка по дереву, гартовані зубці, "Stоrm", 450мм)</v>
      </c>
      <c r="C7" s="37" t="s">
        <v>6</v>
      </c>
      <c r="D7" s="37">
        <v>0</v>
      </c>
      <c r="E7" s="92" t="s">
        <v>276</v>
      </c>
    </row>
    <row r="8" spans="1:5">
      <c r="A8" s="21">
        <v>8</v>
      </c>
      <c r="B8" s="85" t="str">
        <f ca="1">IFERROR(__xludf.DUMMYFUNCTION("GOOGLETRANSLATE(B462:B477,""RU"",""UK"")"),"Коловорот")</f>
        <v>Коловорот</v>
      </c>
      <c r="C8" s="59" t="s">
        <v>6</v>
      </c>
      <c r="D8" s="59">
        <v>0</v>
      </c>
      <c r="E8" s="91" t="s">
        <v>272</v>
      </c>
    </row>
    <row r="9" spans="1:5">
      <c r="A9" s="21">
        <v>9</v>
      </c>
      <c r="B9" s="85" t="str">
        <f ca="1">IFERROR(__xludf.DUMMYFUNCTION("GOOGLETRANSLATE(B463:B478,""RU"",""UK"")"),"Рубанок метал.")</f>
        <v>Рубанок метал.</v>
      </c>
      <c r="C9" s="59" t="s">
        <v>6</v>
      </c>
      <c r="D9" s="59">
        <v>1</v>
      </c>
      <c r="E9" s="91" t="s">
        <v>162</v>
      </c>
    </row>
    <row r="10" spans="1:5">
      <c r="A10" s="21">
        <v>10</v>
      </c>
      <c r="B10" s="85" t="str">
        <f ca="1">IFERROR(__xludf.DUMMYFUNCTION("GOOGLETRANSLATE(B464:B479,""RU"",""UK"")"),"Напівфуганок чистовий мет. 350х80мм")</f>
        <v>Напівфуганок чистовий мет. 350х80мм</v>
      </c>
      <c r="C10" s="59" t="s">
        <v>6</v>
      </c>
      <c r="D10" s="59">
        <v>1</v>
      </c>
      <c r="E10" s="91">
        <v>900</v>
      </c>
    </row>
    <row r="11" spans="1:5">
      <c r="A11" s="21">
        <v>11</v>
      </c>
      <c r="B11" s="85" t="str">
        <f ca="1">IFERROR(__xludf.DUMMYFUNCTION("GOOGLETRANSLATE(B465:B480,""RU"",""UK"")"),"Фуганок металевий 550мм")</f>
        <v>Фуганок металевий 550мм</v>
      </c>
      <c r="C11" s="59" t="s">
        <v>6</v>
      </c>
      <c r="D11" s="59">
        <v>1</v>
      </c>
      <c r="E11" s="91">
        <v>840</v>
      </c>
    </row>
    <row r="12" spans="1:5">
      <c r="A12" s="21">
        <v>12</v>
      </c>
      <c r="B12" s="85" t="str">
        <f ca="1">IFERROR(__xludf.DUMMYFUNCTION("GOOGLETRANSLATE(B466:B481,""RU"",""UK"")"),"Ніж для рейсмусу 410х40х3")</f>
        <v>Ніж для рейсмусу 410х40х3</v>
      </c>
      <c r="C12" s="59" t="s">
        <v>6</v>
      </c>
      <c r="D12" s="59">
        <v>1</v>
      </c>
      <c r="E12" s="91" t="s">
        <v>140</v>
      </c>
    </row>
    <row r="13" spans="1:5">
      <c r="A13" s="21">
        <v>13</v>
      </c>
      <c r="B13" s="85" t="str">
        <f ca="1">IFERROR(__xludf.DUMMYFUNCTION("GOOGLETRANSLATE(B467:B482,""RU"",""UK"")"),"Фреза дискова 125х30")</f>
        <v>Фреза дискова 125х30</v>
      </c>
      <c r="C13" s="59" t="s">
        <v>6</v>
      </c>
      <c r="D13" s="59">
        <v>1</v>
      </c>
      <c r="E13" s="91" t="s">
        <v>16</v>
      </c>
    </row>
    <row r="14" spans="1:5">
      <c r="A14" s="21">
        <v>14</v>
      </c>
      <c r="B14" s="85" t="str">
        <f ca="1">IFERROR(__xludf.DUMMYFUNCTION("GOOGLETRANSLATE(B468:B483,""RU"",""UK"")"),"Фреза дискова 125х40х32")</f>
        <v>Фреза дискова 125х40х32</v>
      </c>
      <c r="C14" s="59" t="s">
        <v>6</v>
      </c>
      <c r="D14" s="59">
        <v>1</v>
      </c>
      <c r="E14" s="91" t="s">
        <v>16</v>
      </c>
    </row>
    <row r="15" spans="1:5">
      <c r="A15" s="21">
        <v>15</v>
      </c>
      <c r="B15" s="85" t="str">
        <f ca="1">IFERROR(__xludf.DUMMYFUNCTION("GOOGLETRANSLATE(B469:B484,""RU"",""UK"")"),"Фреза дискова 180х50")</f>
        <v>Фреза дискова 180х50</v>
      </c>
      <c r="C15" s="59" t="s">
        <v>6</v>
      </c>
      <c r="D15" s="59">
        <v>1</v>
      </c>
      <c r="E15" s="91" t="s">
        <v>272</v>
      </c>
    </row>
    <row r="16" spans="1:5">
      <c r="A16" s="21">
        <v>16</v>
      </c>
      <c r="B16" s="85" t="str">
        <f ca="1">IFERROR(__xludf.DUMMYFUNCTION("GOOGLETRANSLATE(B470:B485,""RU"",""UK"")"),"Бур по дер. 19мм L 550мм до/хв")</f>
        <v>Бур по дер. 19мм L 550мм до/хв</v>
      </c>
      <c r="C16" s="59" t="s">
        <v>6</v>
      </c>
      <c r="D16" s="59">
        <v>1</v>
      </c>
      <c r="E16" s="91" t="s">
        <v>136</v>
      </c>
    </row>
    <row r="17" spans="1:5">
      <c r="A17" s="21">
        <v>17</v>
      </c>
      <c r="B17" s="85" t="str">
        <f ca="1">IFERROR(__xludf.DUMMYFUNCTION("GOOGLETRANSLATE(B471:B486,""RU"",""UK"")"),"Бур по дер. 25мм L 400мм")</f>
        <v>Бур по дер. 25мм L 400мм</v>
      </c>
      <c r="C17" s="59" t="s">
        <v>6</v>
      </c>
      <c r="D17" s="59">
        <v>1</v>
      </c>
      <c r="E17" s="91" t="s">
        <v>136</v>
      </c>
    </row>
    <row r="18" spans="1:5">
      <c r="A18" s="21">
        <v>18</v>
      </c>
      <c r="B18" s="85" t="str">
        <f ca="1">IFERROR(__xludf.DUMMYFUNCTION("GOOGLETRANSLATE(B472:B487,""RU"",""UK"")"),"Бур по дер. 26мм L 550мм до/хв")</f>
        <v>Бур по дер. 26мм L 550мм до/хв</v>
      </c>
      <c r="C18" s="59" t="s">
        <v>6</v>
      </c>
      <c r="D18" s="59">
        <v>1</v>
      </c>
      <c r="E18" s="91" t="s">
        <v>136</v>
      </c>
    </row>
    <row r="19" spans="1:5">
      <c r="A19" s="21">
        <v>19</v>
      </c>
      <c r="B19" s="85" t="str">
        <f ca="1">IFERROR(__xludf.DUMMYFUNCTION("GOOGLETRANSLATE(B473:B488,""RU"",""UK"")"),"Стамеска 9мм")</f>
        <v>Стамеска 9мм</v>
      </c>
      <c r="C19" s="37" t="s">
        <v>6</v>
      </c>
      <c r="D19" s="37">
        <v>4</v>
      </c>
      <c r="E19" s="91">
        <v>99</v>
      </c>
    </row>
    <row r="20" spans="1:5">
      <c r="A20" s="21">
        <v>20</v>
      </c>
      <c r="B20" s="85" t="str">
        <f ca="1">IFERROR(__xludf.DUMMYFUNCTION("GOOGLETRANSLATE(B473:B488,""RU"",""UK"")"),"Стамеска 10мм")</f>
        <v>Стамеска 10мм</v>
      </c>
      <c r="C20" s="37" t="s">
        <v>6</v>
      </c>
      <c r="D20" s="37">
        <v>4</v>
      </c>
      <c r="E20" s="91">
        <v>102</v>
      </c>
    </row>
    <row r="21" spans="1:5">
      <c r="A21" s="21">
        <v>21</v>
      </c>
      <c r="B21" s="85" t="str">
        <f ca="1">IFERROR(__xludf.DUMMYFUNCTION("GOOGLETRANSLATE(B474:B489,""RU"",""UK"")"),"Стамеска 13мм")</f>
        <v>Стамеска 13мм</v>
      </c>
      <c r="C21" s="37" t="s">
        <v>6</v>
      </c>
      <c r="D21" s="37">
        <v>5</v>
      </c>
      <c r="E21" s="91">
        <v>105</v>
      </c>
    </row>
    <row r="22" spans="1:5">
      <c r="A22" s="21">
        <v>22</v>
      </c>
      <c r="B22" s="85" t="str">
        <f ca="1">IFERROR(__xludf.DUMMYFUNCTION("GOOGLETRANSLATE(B475:B490,""RU"",""UK"")"),"Стамеска 18мм")</f>
        <v>Стамеска 18мм</v>
      </c>
      <c r="C22" s="37" t="s">
        <v>6</v>
      </c>
      <c r="D22" s="37">
        <v>1</v>
      </c>
      <c r="E22" s="91">
        <v>105</v>
      </c>
    </row>
    <row r="23" spans="1:5">
      <c r="A23" s="21">
        <v>23</v>
      </c>
      <c r="B23" s="85" t="str">
        <f ca="1">IFERROR(__xludf.DUMMYFUNCTION("GOOGLETRANSLATE(B476:B491,""RU"",""UK"")"),"Долото 18х80")</f>
        <v>Долото 18х80</v>
      </c>
      <c r="C23" s="37" t="s">
        <v>6</v>
      </c>
      <c r="D23" s="37">
        <v>1</v>
      </c>
      <c r="E23" s="91" t="s">
        <v>209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zoomScale="220" zoomScaleNormal="220" workbookViewId="0">
      <selection activeCell="D8" sqref="D8"/>
    </sheetView>
  </sheetViews>
  <sheetFormatPr defaultRowHeight="12.75"/>
  <cols>
    <col min="2" max="2" width="39.85546875" customWidth="1"/>
  </cols>
  <sheetData>
    <row r="1" spans="1:5">
      <c r="A1" s="22"/>
      <c r="B1" s="110" t="str">
        <f ca="1">IFERROR(__xludf.DUMMYFUNCTION("GOOGLETRANSLATE(B455:B470,""RU"",""UK"")"),"ДОВБЯКИ")</f>
        <v>ДОВБЯКИ</v>
      </c>
      <c r="C1" s="29"/>
      <c r="D1" s="30"/>
      <c r="E1" s="95"/>
    </row>
    <row r="2" spans="1:5">
      <c r="A2" s="21">
        <v>1</v>
      </c>
      <c r="B2" s="224" t="s">
        <v>6451</v>
      </c>
      <c r="C2" s="59" t="s">
        <v>6</v>
      </c>
      <c r="D2" s="59">
        <v>2</v>
      </c>
      <c r="E2" s="99">
        <v>700</v>
      </c>
    </row>
    <row r="3" spans="1:5">
      <c r="A3" s="21">
        <v>2</v>
      </c>
      <c r="B3" s="224" t="s">
        <v>6450</v>
      </c>
      <c r="C3" s="59" t="s">
        <v>6</v>
      </c>
      <c r="D3" s="12">
        <v>3</v>
      </c>
      <c r="E3" s="99">
        <v>1700</v>
      </c>
    </row>
    <row r="4" spans="1:5">
      <c r="A4" s="21">
        <v>3</v>
      </c>
      <c r="B4" s="246" t="s">
        <v>6448</v>
      </c>
      <c r="C4" s="226" t="s">
        <v>6</v>
      </c>
      <c r="D4" s="226">
        <v>1</v>
      </c>
      <c r="E4" s="245">
        <v>675</v>
      </c>
    </row>
    <row r="5" spans="1:5">
      <c r="A5" s="21">
        <v>4</v>
      </c>
      <c r="B5" s="246" t="s">
        <v>6455</v>
      </c>
      <c r="C5" s="226" t="s">
        <v>6</v>
      </c>
      <c r="D5" s="226">
        <v>1</v>
      </c>
      <c r="E5" s="245">
        <v>755</v>
      </c>
    </row>
    <row r="6" spans="1:5">
      <c r="A6" s="21">
        <v>5</v>
      </c>
      <c r="B6" s="246" t="s">
        <v>6453</v>
      </c>
      <c r="C6" s="226" t="s">
        <v>6</v>
      </c>
      <c r="D6" s="226">
        <v>1</v>
      </c>
      <c r="E6" s="245">
        <v>750</v>
      </c>
    </row>
    <row r="7" spans="1:5">
      <c r="A7" s="21">
        <v>6</v>
      </c>
      <c r="B7" s="247" t="s">
        <v>6447</v>
      </c>
      <c r="C7" s="162" t="s">
        <v>6</v>
      </c>
      <c r="D7" s="162">
        <v>2</v>
      </c>
      <c r="E7" s="244">
        <v>750</v>
      </c>
    </row>
    <row r="8" spans="1:5">
      <c r="A8" s="21">
        <v>7</v>
      </c>
      <c r="B8" s="247" t="s">
        <v>6454</v>
      </c>
      <c r="C8" s="162" t="s">
        <v>6</v>
      </c>
      <c r="D8" s="162">
        <v>1</v>
      </c>
      <c r="E8" s="244">
        <v>850</v>
      </c>
    </row>
    <row r="9" spans="1:5">
      <c r="A9" s="21">
        <v>8</v>
      </c>
      <c r="B9" s="247" t="s">
        <v>6452</v>
      </c>
      <c r="C9" s="162" t="s">
        <v>6</v>
      </c>
      <c r="D9" s="162">
        <v>1</v>
      </c>
      <c r="E9" s="244">
        <v>985</v>
      </c>
    </row>
    <row r="10" spans="1:5">
      <c r="A10" s="21">
        <v>9</v>
      </c>
      <c r="B10" s="247" t="s">
        <v>6449</v>
      </c>
      <c r="C10" s="162" t="s">
        <v>6</v>
      </c>
      <c r="D10" s="162">
        <v>1</v>
      </c>
      <c r="E10" s="244">
        <v>985</v>
      </c>
    </row>
    <row r="11" spans="1:5">
      <c r="A11" s="21">
        <v>10</v>
      </c>
      <c r="B11" s="85"/>
    </row>
  </sheetData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0"/>
  <sheetViews>
    <sheetView topLeftCell="A85" zoomScale="200" zoomScaleNormal="200" workbookViewId="0">
      <selection activeCell="B94" sqref="B94"/>
    </sheetView>
  </sheetViews>
  <sheetFormatPr defaultRowHeight="12.75"/>
  <cols>
    <col min="2" max="2" width="69.5703125" customWidth="1"/>
  </cols>
  <sheetData>
    <row r="1" spans="1:5">
      <c r="A1" s="68"/>
      <c r="B1" s="119" t="s">
        <v>6103</v>
      </c>
      <c r="C1" s="69"/>
      <c r="D1" s="69"/>
      <c r="E1" s="106"/>
    </row>
    <row r="2" spans="1:5">
      <c r="A2" s="21">
        <v>1</v>
      </c>
      <c r="B2" s="133" t="str">
        <f ca="1">IFERROR(__xludf.DUMMYFUNCTION("GOOGLETRANSLATE(B4389:B4404,""RU"",""UK"")"),"Автоматичний вик-ль 1 фаз. Аско 32А")</f>
        <v>Автоматичний вик-ль 1 фаз. Аско 32А</v>
      </c>
      <c r="C2" s="59" t="s">
        <v>6</v>
      </c>
      <c r="D2" s="59">
        <v>2</v>
      </c>
      <c r="E2" s="91" t="s">
        <v>598</v>
      </c>
    </row>
    <row r="3" spans="1:5">
      <c r="A3" s="21">
        <f>A2+1</f>
        <v>2</v>
      </c>
      <c r="B3" s="85" t="str">
        <f ca="1">IFERROR(__xludf.DUMMYFUNCTION("GOOGLETRANSLATE(B4390:B4405,""RU"",""UK"")"),"Автоматичний вик-ль 3 фаз. АЕ-2056 1,25А")</f>
        <v>Автоматичний вик-ль 3 фаз. АЕ-2056 1,25А</v>
      </c>
      <c r="C3" s="59" t="s">
        <v>6</v>
      </c>
      <c r="D3" s="59">
        <v>1</v>
      </c>
      <c r="E3" s="91" t="s">
        <v>136</v>
      </c>
    </row>
    <row r="4" spans="1:5">
      <c r="A4" s="21">
        <f t="shared" ref="A4:A7" si="0">A3+1</f>
        <v>3</v>
      </c>
      <c r="B4" s="85" t="str">
        <f ca="1">IFERROR(__xludf.DUMMYFUNCTION("GOOGLETRANSLATE(B4392:B4407,""RU"",""UK"")"),"Автоматичний вик-ль 3 фаз. АЕ-2046 16А")</f>
        <v>Автоматичний вик-ль 3 фаз. АЕ-2046 16А</v>
      </c>
      <c r="C4" s="59" t="s">
        <v>6</v>
      </c>
      <c r="D4" s="59">
        <v>11</v>
      </c>
      <c r="E4" s="91">
        <v>390</v>
      </c>
    </row>
    <row r="5" spans="1:5">
      <c r="A5" s="21">
        <f t="shared" si="0"/>
        <v>4</v>
      </c>
      <c r="B5" s="85" t="str">
        <f ca="1">IFERROR(__xludf.DUMMYFUNCTION("GOOGLETRANSLATE(B4393:B4408,""RU"",""UK"")"),"Автоматичний вик-ль 3 фаз. АЕ-2066 16А")</f>
        <v>Автоматичний вик-ль 3 фаз. АЕ-2066 16А</v>
      </c>
      <c r="C5" s="59" t="s">
        <v>6</v>
      </c>
      <c r="D5" s="59">
        <v>1</v>
      </c>
      <c r="E5" s="91">
        <v>390</v>
      </c>
    </row>
    <row r="6" spans="1:5">
      <c r="A6" s="21">
        <f t="shared" si="0"/>
        <v>5</v>
      </c>
      <c r="B6" s="85" t="s">
        <v>6393</v>
      </c>
      <c r="C6" s="59" t="s">
        <v>6</v>
      </c>
      <c r="D6" s="59">
        <v>1</v>
      </c>
      <c r="E6" s="91">
        <v>450</v>
      </c>
    </row>
    <row r="7" spans="1:5">
      <c r="A7" s="21">
        <f t="shared" si="0"/>
        <v>6</v>
      </c>
      <c r="B7" s="85" t="str">
        <f ca="1">IFERROR(__xludf.DUMMYFUNCTION("GOOGLETRANSLATE(B4394:B4409,""RU"",""UK"")"),"Автоматичний вик-ль 3 фаз. АЕ-2046 20А")</f>
        <v>Автоматичний вик-ль 3 фаз. АЕ-2046 20А</v>
      </c>
      <c r="C7" s="59" t="s">
        <v>6</v>
      </c>
      <c r="D7" s="59">
        <v>4</v>
      </c>
      <c r="E7" s="91">
        <v>510</v>
      </c>
    </row>
    <row r="8" spans="1:5">
      <c r="A8" s="21">
        <f t="shared" ref="A8:A77" si="1">A7+1</f>
        <v>7</v>
      </c>
      <c r="B8" s="85" t="str">
        <f ca="1">IFERROR(__xludf.DUMMYFUNCTION("GOOGLETRANSLATE(B4395:B4410,""RU"",""UK"")"),"Автоматичний вик-ль 3 фаз. АЕ-2056 63А")</f>
        <v>Автоматичний вик-ль 3 фаз. АЕ-2056 63А</v>
      </c>
      <c r="C8" s="59" t="s">
        <v>6</v>
      </c>
      <c r="D8" s="59">
        <v>6</v>
      </c>
      <c r="E8" s="91">
        <v>720</v>
      </c>
    </row>
    <row r="9" spans="1:5">
      <c r="A9" s="21">
        <f t="shared" si="1"/>
        <v>8</v>
      </c>
      <c r="B9" s="85" t="str">
        <f ca="1">IFERROR(__xludf.DUMMYFUNCTION("GOOGLETRANSLATE(B4396:B4411,""RU"",""UK"")"),"Автоматичний вик-ль 3 фаз. А-3716 63А")</f>
        <v>Автоматичний вик-ль 3 фаз. А-3716 63А</v>
      </c>
      <c r="C9" s="59" t="s">
        <v>6</v>
      </c>
      <c r="D9" s="59">
        <v>2</v>
      </c>
      <c r="E9" s="91" t="s">
        <v>5843</v>
      </c>
    </row>
    <row r="10" spans="1:5">
      <c r="A10" s="21">
        <f t="shared" si="1"/>
        <v>9</v>
      </c>
      <c r="B10" s="85" t="str">
        <f ca="1">IFERROR(__xludf.DUMMYFUNCTION("GOOGLETRANSLATE(B4397:B4412,""RU"",""UK"")"),"Автоматичний вик-ль 3 фаз. А-3716 80А")</f>
        <v>Автоматичний вик-ль 3 фаз. А-3716 80А</v>
      </c>
      <c r="C10" s="59" t="s">
        <v>6</v>
      </c>
      <c r="D10" s="59">
        <v>2</v>
      </c>
      <c r="E10" s="91" t="s">
        <v>88</v>
      </c>
    </row>
    <row r="11" spans="1:5">
      <c r="A11" s="21">
        <f t="shared" si="1"/>
        <v>10</v>
      </c>
      <c r="B11" s="164" t="str">
        <f ca="1">IFERROR(__xludf.DUMMYFUNCTION("GOOGLETRANSLATE(B4398:B4413,""RU"",""UK"")"),"Автоматичний вик-ль 3 фаз. АЕ-2056 100А")</f>
        <v>Автоматичний вик-ль 3 фаз. АЕ-2056 100А</v>
      </c>
      <c r="C11" s="59" t="s">
        <v>6</v>
      </c>
      <c r="D11" s="59">
        <v>0</v>
      </c>
      <c r="E11" s="91" t="s">
        <v>80</v>
      </c>
    </row>
    <row r="12" spans="1:5">
      <c r="A12" s="21">
        <f t="shared" si="1"/>
        <v>11</v>
      </c>
      <c r="B12" s="164" t="str">
        <f ca="1">IFERROR(__xludf.DUMMYFUNCTION("GOOGLETRANSLATE(B4399:B4414,""RU"",""UK"")"),"Автоматичний вик-ль 3 фаз. А-3716 125А")</f>
        <v>Автоматичний вик-ль 3 фаз. А-3716 125А</v>
      </c>
      <c r="C12" s="59" t="s">
        <v>6</v>
      </c>
      <c r="D12" s="59">
        <v>0</v>
      </c>
      <c r="E12" s="91" t="s">
        <v>1088</v>
      </c>
    </row>
    <row r="13" spans="1:5">
      <c r="A13" s="21">
        <f t="shared" si="1"/>
        <v>12</v>
      </c>
      <c r="B13" s="85" t="str">
        <f ca="1">IFERROR(__xludf.DUMMYFUNCTION("GOOGLETRANSLATE(B4400:B4415,""RU"",""UK"")"),"Автоматичний вик-ль 3 фаз. ВА-51-33 125А")</f>
        <v>Автоматичний вик-ль 3 фаз. ВА-51-33 125А</v>
      </c>
      <c r="C13" s="59" t="s">
        <v>6</v>
      </c>
      <c r="D13" s="59">
        <v>2</v>
      </c>
      <c r="E13" s="91" t="s">
        <v>102</v>
      </c>
    </row>
    <row r="14" spans="1:5">
      <c r="A14" s="21">
        <f t="shared" si="1"/>
        <v>13</v>
      </c>
      <c r="B14" s="85" t="str">
        <f ca="1">IFERROR(__xludf.DUMMYFUNCTION("GOOGLETRANSLATE(B4401:B4416,""RU"",""UK"")"),"Автоматичний вик-ль 3 фаз. АВ-3003-200А")</f>
        <v>Автоматичний вик-ль 3 фаз. АВ-3003-200А</v>
      </c>
      <c r="C14" s="59" t="s">
        <v>6</v>
      </c>
      <c r="D14" s="59">
        <v>1</v>
      </c>
      <c r="E14" s="91" t="s">
        <v>80</v>
      </c>
    </row>
    <row r="15" spans="1:5">
      <c r="A15" s="21">
        <f t="shared" si="1"/>
        <v>14</v>
      </c>
      <c r="B15" s="85" t="str">
        <f ca="1">IFERROR(__xludf.DUMMYFUNCTION("GOOGLETRANSLATE(B4402:B4417,""RU"",""UK"")"),"Пускач магнітний ПМЕ - 071 (кат.220В)")</f>
        <v>Пускач магнітний ПМЕ - 071 (кат.220В)</v>
      </c>
      <c r="C15" s="59" t="s">
        <v>6</v>
      </c>
      <c r="D15" s="59">
        <v>8</v>
      </c>
      <c r="E15" s="91" t="s">
        <v>760</v>
      </c>
    </row>
    <row r="16" spans="1:5">
      <c r="A16" s="21">
        <f t="shared" si="1"/>
        <v>15</v>
      </c>
      <c r="B16" s="85" t="str">
        <f ca="1">IFERROR(__xludf.DUMMYFUNCTION("GOOGLETRANSLATE(B4404:B4419,""RU"",""UK"")"),"Пускач магнітний ПМЛ - 1100 (кат.110В)")</f>
        <v>Пускач магнітний ПМЛ - 1100 (кат.110В)</v>
      </c>
      <c r="C16" s="59" t="s">
        <v>6</v>
      </c>
      <c r="D16" s="160">
        <v>2</v>
      </c>
      <c r="E16" s="91">
        <v>390</v>
      </c>
    </row>
    <row r="17" spans="1:5">
      <c r="A17" s="21">
        <f t="shared" si="1"/>
        <v>16</v>
      </c>
      <c r="B17" s="85" t="str">
        <f ca="1">IFERROR(__xludf.DUMMYFUNCTION("GOOGLETRANSLATE(B4405:B4420,""RU"",""UK"")"),"Пускач магнітний ПМЛ – 1100 (кат.220В) ")</f>
        <v xml:space="preserve">Пускач магнітний ПМЛ – 1100 (кат.220В) </v>
      </c>
      <c r="C17" s="59" t="s">
        <v>6</v>
      </c>
      <c r="D17" s="59">
        <v>2</v>
      </c>
      <c r="E17" s="91">
        <v>390</v>
      </c>
    </row>
    <row r="18" spans="1:5">
      <c r="A18" s="21">
        <f t="shared" si="1"/>
        <v>17</v>
      </c>
      <c r="B18" s="85" t="str">
        <f ca="1">IFERROR(__xludf.DUMMYFUNCTION("GOOGLETRANSLATE(B4405:B4420,""RU"",""UK"")"),"Пускач магнітний ПМЛ – 1100 (кат.380В) ")</f>
        <v xml:space="preserve">Пускач магнітний ПМЛ – 1100 (кат.380В) </v>
      </c>
      <c r="C18" s="59" t="s">
        <v>6</v>
      </c>
      <c r="D18" s="59">
        <v>1</v>
      </c>
      <c r="E18" s="91">
        <v>390</v>
      </c>
    </row>
    <row r="19" spans="1:5">
      <c r="A19" s="21">
        <f t="shared" si="1"/>
        <v>18</v>
      </c>
      <c r="B19" s="85" t="str">
        <f ca="1">IFERROR(__xludf.DUMMYFUNCTION("GOOGLETRANSLATE(B4406:B4421,""RU"",""UK"")"),"Пускач магнітний ПМЕ - 111-10А (кат. 380В)")</f>
        <v>Пускач магнітний ПМЕ - 111-10А (кат. 380В)</v>
      </c>
      <c r="C19" s="59" t="s">
        <v>6</v>
      </c>
      <c r="D19" s="59">
        <v>1</v>
      </c>
      <c r="E19" s="91" t="s">
        <v>106</v>
      </c>
    </row>
    <row r="20" spans="1:5">
      <c r="A20" s="21">
        <f t="shared" si="1"/>
        <v>19</v>
      </c>
      <c r="B20" s="85" t="str">
        <f ca="1">IFERROR(__xludf.DUMMYFUNCTION("GOOGLETRANSLATE(B4407:B4422,""RU"",""UK"")"),"Пускач магнітний П 6-111-10А (кат.220В)")</f>
        <v>Пускач магнітний П 6-111-10А (кат.220В)</v>
      </c>
      <c r="C20" s="59" t="s">
        <v>6</v>
      </c>
      <c r="D20" s="59">
        <v>8</v>
      </c>
      <c r="E20" s="91" t="s">
        <v>106</v>
      </c>
    </row>
    <row r="21" spans="1:5">
      <c r="A21" s="21">
        <f t="shared" si="1"/>
        <v>20</v>
      </c>
      <c r="B21" s="85" t="str">
        <f ca="1">IFERROR(__xludf.DUMMYFUNCTION("GOOGLETRANSLATE(B4408:B4423,""RU"",""UK"")"),"Пускач магнітний із захисним пристроєм ПМЛ-1631")</f>
        <v>Пускач магнітний із захисним пристроєм ПМЛ-1631</v>
      </c>
      <c r="C21" s="59" t="s">
        <v>6</v>
      </c>
      <c r="D21" s="59">
        <v>1</v>
      </c>
      <c r="E21" s="91" t="s">
        <v>413</v>
      </c>
    </row>
    <row r="22" spans="1:5">
      <c r="A22" s="21">
        <f t="shared" si="1"/>
        <v>21</v>
      </c>
      <c r="B22" s="85" t="str">
        <f ca="1">IFERROR(__xludf.DUMMYFUNCTION("GOOGLETRANSLATE(B4409:B4424,""RU"",""UK"")"),"Пускач магнітний П6 - 121-10А (закритий) (кат.220В/кат.380В)")</f>
        <v>Пускач магнітний П6 - 121-10А (закритий) (кат.220В/кат.380В)</v>
      </c>
      <c r="C22" s="59" t="s">
        <v>6</v>
      </c>
      <c r="D22" s="59" t="s">
        <v>5857</v>
      </c>
      <c r="E22" s="91" t="s">
        <v>16</v>
      </c>
    </row>
    <row r="23" spans="1:5">
      <c r="A23" s="21">
        <f t="shared" si="1"/>
        <v>22</v>
      </c>
      <c r="B23" s="85" t="str">
        <f ca="1">IFERROR(__xludf.DUMMYFUNCTION("GOOGLETRANSLATE(B4410:B4425,""RU"",""UK"")"),"Пускач магнітний ПМЕ-122-10А в мет. Корпусі (кат.220В/кат.380В)")</f>
        <v>Пускач магнітний ПМЕ-122-10А в мет. Корпусі (кат.220В/кат.380В)</v>
      </c>
      <c r="C23" s="59" t="s">
        <v>6</v>
      </c>
      <c r="D23" s="59" t="s">
        <v>1005</v>
      </c>
      <c r="E23" s="91" t="s">
        <v>16</v>
      </c>
    </row>
    <row r="24" spans="1:5">
      <c r="A24" s="21">
        <f t="shared" si="1"/>
        <v>23</v>
      </c>
      <c r="B24" s="85" t="str">
        <f ca="1">IFERROR(__xludf.DUMMYFUNCTION("GOOGLETRANSLATE(B4411:B4426,""RU"",""UK"")"),"Пускач магнітний ПМЕ-112-10А з тепл. реле. (кат. 36В)")</f>
        <v>Пускач магнітний ПМЕ-112-10А з тепл. реле. (кат. 36В)</v>
      </c>
      <c r="C24" s="59" t="s">
        <v>6</v>
      </c>
      <c r="D24" s="59">
        <v>4</v>
      </c>
      <c r="E24" s="91" t="s">
        <v>16</v>
      </c>
    </row>
    <row r="25" spans="1:5">
      <c r="A25" s="21">
        <f t="shared" si="1"/>
        <v>24</v>
      </c>
      <c r="B25" s="85" t="str">
        <f ca="1">IFERROR(__xludf.DUMMYFUNCTION("GOOGLETRANSLATE(B4412:B4427,""RU"",""UK"")"),"Пускач магнітний ПМЕ -132 у мет. Корпусі (кат.380В)")</f>
        <v>Пускач магнітний ПМЕ -132 у мет. Корпусі (кат.380В)</v>
      </c>
      <c r="C25" s="59" t="s">
        <v>6</v>
      </c>
      <c r="D25" s="59">
        <v>2</v>
      </c>
      <c r="E25" s="91" t="s">
        <v>16</v>
      </c>
    </row>
    <row r="26" spans="1:5">
      <c r="A26" s="21">
        <f t="shared" si="1"/>
        <v>25</v>
      </c>
      <c r="B26" s="164" t="str">
        <f ca="1">IFERROR(__xludf.DUMMYFUNCTION("GOOGLETRANSLATE(B4413:B4428,""RU"",""UK"")"),"Пускач магнітний ПМЕ - 211-25А (кат. 380В)")</f>
        <v>Пускач магнітний ПМЕ - 211-25А (кат. 380В)</v>
      </c>
      <c r="C26" s="37" t="s">
        <v>6</v>
      </c>
      <c r="D26" s="37">
        <v>0</v>
      </c>
      <c r="E26" s="92" t="s">
        <v>272</v>
      </c>
    </row>
    <row r="27" spans="1:5">
      <c r="A27" s="21">
        <f t="shared" si="1"/>
        <v>26</v>
      </c>
      <c r="B27" s="85" t="str">
        <f ca="1">IFERROR(__xludf.DUMMYFUNCTION("GOOGLETRANSLATE(B4414:B4429,""RU"",""UK"")"),"Пускач магнітний ПАЛ - 2100")</f>
        <v>Пускач магнітний ПАЛ - 2100</v>
      </c>
      <c r="C27" s="59" t="s">
        <v>6</v>
      </c>
      <c r="D27" s="59">
        <v>2</v>
      </c>
      <c r="E27" s="91" t="s">
        <v>272</v>
      </c>
    </row>
    <row r="28" spans="1:5">
      <c r="A28" s="21">
        <f t="shared" si="1"/>
        <v>27</v>
      </c>
      <c r="B28" s="164" t="str">
        <f ca="1">IFERROR(__xludf.DUMMYFUNCTION("GOOGLETRANSLATE(B4415:B4430,""RU"",""UK"")"),"Пускач магнітний ПМЛ - 2100-25А (220В)")</f>
        <v>Пускач магнітний ПМЛ - 2100-25А (220В)</v>
      </c>
      <c r="C28" s="59" t="s">
        <v>6</v>
      </c>
      <c r="D28" s="59">
        <v>0</v>
      </c>
      <c r="E28" s="91" t="s">
        <v>413</v>
      </c>
    </row>
    <row r="29" spans="1:5">
      <c r="A29" s="21">
        <f t="shared" si="1"/>
        <v>28</v>
      </c>
      <c r="B29" s="85" t="str">
        <f ca="1">IFERROR(__xludf.DUMMYFUNCTION("GOOGLETRANSLATE(B4416:B4431,""RU"",""UK"")"),"Пускач магнітний ПМА - 310-40А (кат. 380В)")</f>
        <v>Пускач магнітний ПМА - 310-40А (кат. 380В)</v>
      </c>
      <c r="C29" s="59" t="s">
        <v>6</v>
      </c>
      <c r="D29" s="59">
        <v>3</v>
      </c>
      <c r="E29" s="91" t="s">
        <v>138</v>
      </c>
    </row>
    <row r="30" spans="1:5">
      <c r="A30" s="21">
        <f t="shared" si="1"/>
        <v>29</v>
      </c>
      <c r="B30" s="85" t="str">
        <f ca="1">IFERROR(__xludf.DUMMYFUNCTION("GOOGLETRANSLATE(B4417:B4432,""RU"",""UK"")"),"Пускач магнітний ПАЕ - 312-40А (кат. 220В)")</f>
        <v>Пускач магнітний ПАЕ - 312-40А (кат. 220В)</v>
      </c>
      <c r="C30" s="59" t="s">
        <v>6</v>
      </c>
      <c r="D30" s="59">
        <v>1</v>
      </c>
      <c r="E30" s="91" t="s">
        <v>842</v>
      </c>
    </row>
    <row r="31" spans="1:5">
      <c r="A31" s="21">
        <f t="shared" si="1"/>
        <v>30</v>
      </c>
      <c r="B31" s="85" t="str">
        <f ca="1">IFERROR(__xludf.DUMMYFUNCTION("GOOGLETRANSLATE(B4418:B4433,""RU"",""UK"")"),"Пускач магнітний ПАЕ - 311 (кат. 220В)")</f>
        <v>Пускач магнітний ПАЕ - 311 (кат. 220В)</v>
      </c>
      <c r="C31" s="59" t="s">
        <v>6</v>
      </c>
      <c r="D31" s="59">
        <v>3</v>
      </c>
      <c r="E31" s="91" t="s">
        <v>842</v>
      </c>
    </row>
    <row r="32" spans="1:5">
      <c r="A32" s="21">
        <f t="shared" si="1"/>
        <v>31</v>
      </c>
      <c r="B32" s="85" t="str">
        <f ca="1">IFERROR(__xludf.DUMMYFUNCTION("GOOGLETRANSLATE(B4419:B4434,""RU"",""UK"")"),"Пускач магнітний ПАЕ - 300 (кат. 380В)")</f>
        <v>Пускач магнітний ПАЕ - 300 (кат. 380В)</v>
      </c>
      <c r="C32" s="59" t="s">
        <v>6</v>
      </c>
      <c r="D32" s="59">
        <v>1</v>
      </c>
      <c r="E32" s="91" t="s">
        <v>138</v>
      </c>
    </row>
    <row r="33" spans="1:5">
      <c r="A33" s="21">
        <f t="shared" si="1"/>
        <v>32</v>
      </c>
      <c r="B33" s="85" t="str">
        <f ca="1">IFERROR(__xludf.DUMMYFUNCTION("GOOGLETRANSLATE(B4420:B4435,""RU"",""UK"")"),"Пускач магнітний ПМЛ – 4100 – 63А (кат. 220В)")</f>
        <v>Пускач магнітний ПМЛ – 4100 – 63А (кат. 220В)</v>
      </c>
      <c r="C33" s="59" t="s">
        <v>6</v>
      </c>
      <c r="D33" s="59">
        <v>1</v>
      </c>
      <c r="E33" s="91" t="s">
        <v>71</v>
      </c>
    </row>
    <row r="34" spans="1:5">
      <c r="A34" s="21">
        <f t="shared" si="1"/>
        <v>33</v>
      </c>
      <c r="B34" s="85" t="str">
        <f ca="1">IFERROR(__xludf.DUMMYFUNCTION("GOOGLETRANSLATE(B4421:B4436,""RU"",""UK"")"),"Пускач магнітний КМІ - 48512 - 63А (кат. 220В)")</f>
        <v>Пускач магнітний КМІ - 48512 - 63А (кат. 220В)</v>
      </c>
      <c r="C34" s="59" t="s">
        <v>6</v>
      </c>
      <c r="D34" s="59">
        <v>2</v>
      </c>
      <c r="E34" s="91" t="s">
        <v>71</v>
      </c>
    </row>
    <row r="35" spans="1:5">
      <c r="A35" s="21">
        <f t="shared" si="1"/>
        <v>34</v>
      </c>
      <c r="B35" s="85" t="str">
        <f ca="1">IFERROR(__xludf.DUMMYFUNCTION("GOOGLETRANSLATE(B4422:B4437,""RU"",""UK"")"),"Пускач магнітний ПМ4 - 65А (кат. 220В)")</f>
        <v>Пускач магнітний ПМ4 - 65А (кат. 220В)</v>
      </c>
      <c r="C35" s="59" t="s">
        <v>6</v>
      </c>
      <c r="D35" s="59">
        <v>2</v>
      </c>
      <c r="E35" s="91" t="s">
        <v>71</v>
      </c>
    </row>
    <row r="36" spans="1:5">
      <c r="A36" s="21">
        <f t="shared" si="1"/>
        <v>35</v>
      </c>
      <c r="B36" s="85" t="str">
        <f ca="1">IFERROR(__xludf.DUMMYFUNCTION("GOOGLETRANSLATE(B4423:B4438,""RU"",""UK"")"),"Пускач магнітний ПМА - 4100 - 63А (кат. 220В/кат. 380В)")</f>
        <v>Пускач магнітний ПМА - 4100 - 63А (кат. 220В/кат. 380В)</v>
      </c>
      <c r="C36" s="59" t="s">
        <v>6</v>
      </c>
      <c r="D36" s="59" t="s">
        <v>749</v>
      </c>
      <c r="E36" s="91" t="s">
        <v>80</v>
      </c>
    </row>
    <row r="37" spans="1:5">
      <c r="A37" s="21">
        <f t="shared" si="1"/>
        <v>36</v>
      </c>
      <c r="B37" s="85" t="str">
        <f ca="1">IFERROR(__xludf.DUMMYFUNCTION("GOOGLETRANSLATE(B4424:B4439,""RU"",""UK"")"),"Пускач магнітний BST - 5LS -80A -5велич. (кат. 380В) у мет. корпусі")</f>
        <v>Пускач магнітний BST - 5LS -80A -5велич. (кат. 380В) у мет. корпусі</v>
      </c>
      <c r="C37" s="59" t="s">
        <v>6</v>
      </c>
      <c r="D37" s="59">
        <v>3</v>
      </c>
      <c r="E37" s="91" t="s">
        <v>3476</v>
      </c>
    </row>
    <row r="38" spans="1:5">
      <c r="A38" s="21">
        <f t="shared" si="1"/>
        <v>37</v>
      </c>
      <c r="B38" s="85" t="s">
        <v>6388</v>
      </c>
      <c r="C38" s="59" t="s">
        <v>6</v>
      </c>
      <c r="D38" s="59">
        <v>1</v>
      </c>
      <c r="E38" s="91">
        <v>710</v>
      </c>
    </row>
    <row r="39" spans="1:5">
      <c r="A39" s="21">
        <f t="shared" si="1"/>
        <v>38</v>
      </c>
      <c r="B39" s="85" t="str">
        <f ca="1">IFERROR(__xludf.DUMMYFUNCTION("GOOGLETRANSLATE(B4425:B4440,""RU"",""UK"")"),"Рубильник розривний ВР 32-31 (100А) 220В")</f>
        <v>Рубильник розривний ВР 32-31 (100А) 220В</v>
      </c>
      <c r="C39" s="59" t="s">
        <v>6</v>
      </c>
      <c r="D39" s="59">
        <v>1</v>
      </c>
      <c r="E39" s="91" t="s">
        <v>1874</v>
      </c>
    </row>
    <row r="40" spans="1:5">
      <c r="A40" s="21">
        <f t="shared" si="1"/>
        <v>39</v>
      </c>
      <c r="B40" s="85" t="str">
        <f ca="1">IFERROR(__xludf.DUMMYFUNCTION("GOOGLETRANSLATE(B4426:B4441,""RU"",""UK"")"),"Реле теплове ТРН - 10 (0,32А / 0.5А / 1.5А / 2.5А / 4А)")</f>
        <v>Реле теплове ТРН - 10 (0,32А / 0.5А / 1.5А / 2.5А / 4А)</v>
      </c>
      <c r="C40" s="59" t="s">
        <v>6</v>
      </c>
      <c r="D40" s="59" t="s">
        <v>5875</v>
      </c>
      <c r="E40" s="91" t="s">
        <v>136</v>
      </c>
    </row>
    <row r="41" spans="1:5">
      <c r="A41" s="21">
        <f t="shared" si="1"/>
        <v>40</v>
      </c>
      <c r="B41" s="85" t="str">
        <f ca="1">IFERROR(__xludf.DUMMYFUNCTION("GOOGLETRANSLATE(B4427:B4442,""RU"",""UK"")"),"Реле теплове РТЛ - 1004/1005")</f>
        <v>Реле теплове РТЛ - 1004/1005</v>
      </c>
      <c r="C41" s="59" t="s">
        <v>6</v>
      </c>
      <c r="D41" s="59" t="s">
        <v>1863</v>
      </c>
      <c r="E41" s="91" t="s">
        <v>140</v>
      </c>
    </row>
    <row r="42" spans="1:5">
      <c r="A42" s="21">
        <f t="shared" si="1"/>
        <v>41</v>
      </c>
      <c r="B42" s="85" t="str">
        <f ca="1">IFERROR(__xludf.DUMMYFUNCTION("GOOGLETRANSLATE(B4428:B4443,""RU"",""UK"")"),"Реле теплове РТЛ-2053")</f>
        <v>Реле теплове РТЛ-2053</v>
      </c>
      <c r="C42" s="59" t="s">
        <v>6</v>
      </c>
      <c r="D42" s="59">
        <v>1</v>
      </c>
      <c r="E42" s="91" t="s">
        <v>53</v>
      </c>
    </row>
    <row r="43" spans="1:5">
      <c r="A43" s="21">
        <f t="shared" si="1"/>
        <v>42</v>
      </c>
      <c r="B43" s="85" t="s">
        <v>6137</v>
      </c>
      <c r="C43" s="59" t="s">
        <v>6</v>
      </c>
      <c r="D43" s="59">
        <v>1</v>
      </c>
      <c r="E43" s="91">
        <v>400</v>
      </c>
    </row>
    <row r="44" spans="1:5">
      <c r="A44" s="21">
        <f t="shared" si="1"/>
        <v>43</v>
      </c>
      <c r="B44" s="198" t="s">
        <v>6208</v>
      </c>
      <c r="C44" s="59" t="s">
        <v>6</v>
      </c>
      <c r="D44" s="59">
        <v>2</v>
      </c>
      <c r="E44" s="91">
        <v>240</v>
      </c>
    </row>
    <row r="45" spans="1:5">
      <c r="A45" s="21">
        <f t="shared" si="1"/>
        <v>44</v>
      </c>
      <c r="B45" s="198" t="s">
        <v>6206</v>
      </c>
      <c r="C45" s="59" t="s">
        <v>6</v>
      </c>
      <c r="D45" s="59">
        <v>1</v>
      </c>
      <c r="E45" s="91">
        <v>280</v>
      </c>
    </row>
    <row r="46" spans="1:5">
      <c r="A46" s="21">
        <f t="shared" si="1"/>
        <v>45</v>
      </c>
      <c r="B46" s="164" t="s">
        <v>6205</v>
      </c>
      <c r="C46" s="59" t="s">
        <v>6</v>
      </c>
      <c r="D46" s="59">
        <v>0</v>
      </c>
      <c r="E46" s="91">
        <v>330</v>
      </c>
    </row>
    <row r="47" spans="1:5">
      <c r="A47" s="21">
        <f t="shared" si="1"/>
        <v>46</v>
      </c>
      <c r="B47" s="198" t="s">
        <v>6207</v>
      </c>
      <c r="C47" s="59" t="s">
        <v>6</v>
      </c>
      <c r="D47" s="59">
        <v>1</v>
      </c>
      <c r="E47" s="91">
        <v>260</v>
      </c>
    </row>
    <row r="48" spans="1:5">
      <c r="A48" s="21">
        <f t="shared" si="1"/>
        <v>47</v>
      </c>
      <c r="B48" s="85" t="str">
        <f ca="1">IFERROR(__xludf.DUMMYFUNCTION("GOOGLETRANSLATE(B4429:B4444,""RU"",""UK"")"),"Катушка ПМЕ 200 - 110В")</f>
        <v>Катушка ПМЕ 200 - 110В</v>
      </c>
      <c r="C48" s="59" t="s">
        <v>6</v>
      </c>
      <c r="D48" s="59">
        <v>3</v>
      </c>
      <c r="E48" s="91" t="s">
        <v>255</v>
      </c>
    </row>
    <row r="49" spans="1:5">
      <c r="A49" s="21">
        <f t="shared" si="1"/>
        <v>48</v>
      </c>
      <c r="B49" s="198" t="str">
        <f ca="1">IFERROR(__xludf.DUMMYFUNCTION("GOOGLETRANSLATE(B4430:B4445,""RU"",""UK"")"),"Реле поплавкове РМ-51")</f>
        <v>Реле поплавкове РМ-51</v>
      </c>
      <c r="C49" s="59" t="s">
        <v>6</v>
      </c>
      <c r="D49" s="59">
        <v>1</v>
      </c>
      <c r="E49" s="91">
        <v>550</v>
      </c>
    </row>
    <row r="50" spans="1:5">
      <c r="A50" s="21">
        <f t="shared" si="1"/>
        <v>49</v>
      </c>
      <c r="B50" s="198" t="s">
        <v>6211</v>
      </c>
      <c r="C50" s="59" t="s">
        <v>6</v>
      </c>
      <c r="D50" s="59">
        <v>8</v>
      </c>
      <c r="E50" s="91">
        <v>150</v>
      </c>
    </row>
    <row r="51" spans="1:5">
      <c r="A51" s="21">
        <f t="shared" si="1"/>
        <v>50</v>
      </c>
      <c r="B51" s="85" t="str">
        <f ca="1">IFERROR(__xludf.DUMMYFUNCTION("GOOGLETRANSLATE(B4431:B4446,""RU"",""UK"")"),"Реле проміжне РП 23-25")</f>
        <v>Реле проміжне РП 23-25</v>
      </c>
      <c r="C51" s="59" t="s">
        <v>6</v>
      </c>
      <c r="D51" s="59">
        <v>1</v>
      </c>
      <c r="E51" s="91" t="s">
        <v>136</v>
      </c>
    </row>
    <row r="52" spans="1:5">
      <c r="A52" s="21">
        <f t="shared" si="1"/>
        <v>51</v>
      </c>
      <c r="B52" s="198" t="s">
        <v>6210</v>
      </c>
      <c r="C52" s="59" t="s">
        <v>6</v>
      </c>
      <c r="D52" s="59">
        <v>1</v>
      </c>
      <c r="E52" s="91">
        <v>200</v>
      </c>
    </row>
    <row r="53" spans="1:5">
      <c r="A53" s="21">
        <f t="shared" si="1"/>
        <v>52</v>
      </c>
      <c r="B53" s="198" t="s">
        <v>6212</v>
      </c>
      <c r="C53" s="59" t="s">
        <v>6</v>
      </c>
      <c r="D53" s="59">
        <v>1</v>
      </c>
      <c r="E53" s="91">
        <v>480</v>
      </c>
    </row>
    <row r="54" spans="1:5">
      <c r="A54" s="21">
        <f t="shared" si="1"/>
        <v>53</v>
      </c>
      <c r="B54" s="198" t="str">
        <f ca="1">IFERROR(__xludf.DUMMYFUNCTION("GOOGLETRANSLATE(B4433:B4448,""RU"",""UK"")"),"Реле вказівне у роз'ємі РУ-21-УХЛЗ 24В/36В 0,025А")</f>
        <v>Реле вказівне у роз'ємі РУ-21-УХЛЗ 24В/36В 0,025А</v>
      </c>
      <c r="C54" s="59" t="s">
        <v>6</v>
      </c>
      <c r="D54" s="59">
        <v>13</v>
      </c>
      <c r="E54" s="91">
        <v>250</v>
      </c>
    </row>
    <row r="55" spans="1:5">
      <c r="A55" s="21">
        <f t="shared" si="1"/>
        <v>54</v>
      </c>
      <c r="B55" s="198" t="s">
        <v>6282</v>
      </c>
      <c r="C55" s="59" t="s">
        <v>6</v>
      </c>
      <c r="D55" s="59">
        <v>1</v>
      </c>
      <c r="E55" s="91">
        <v>390</v>
      </c>
    </row>
    <row r="56" spans="1:5">
      <c r="A56" s="21">
        <f t="shared" si="1"/>
        <v>55</v>
      </c>
      <c r="B56" s="198" t="s">
        <v>6138</v>
      </c>
      <c r="C56" s="59" t="s">
        <v>6</v>
      </c>
      <c r="D56" s="59">
        <v>1</v>
      </c>
      <c r="E56" s="91">
        <v>1700</v>
      </c>
    </row>
    <row r="57" spans="1:5">
      <c r="A57" s="21">
        <f t="shared" si="1"/>
        <v>56</v>
      </c>
      <c r="B57" s="198" t="s">
        <v>6153</v>
      </c>
      <c r="C57" s="59" t="s">
        <v>6</v>
      </c>
      <c r="D57" s="59">
        <v>1</v>
      </c>
      <c r="E57" s="91">
        <v>1700</v>
      </c>
    </row>
    <row r="58" spans="1:5">
      <c r="A58" s="21">
        <f t="shared" si="1"/>
        <v>57</v>
      </c>
      <c r="B58" s="85" t="str">
        <f ca="1">IFERROR(__xludf.DUMMYFUNCTION("GOOGLETRANSLATE(B4434:B4449,""RU"",""UK"")"),"Пристрій пусковий захисно-вимикаючий 380В 4.5кВт 25А (30ПУ-25)")</f>
        <v>Пристрій пусковий захисно-вимикаючий 380В 4.5кВт 25А (30ПУ-25)</v>
      </c>
      <c r="C58" s="59" t="s">
        <v>6</v>
      </c>
      <c r="D58" s="59">
        <v>9</v>
      </c>
      <c r="E58" s="91" t="s">
        <v>3248</v>
      </c>
    </row>
    <row r="59" spans="1:5">
      <c r="A59" s="21">
        <f t="shared" si="1"/>
        <v>58</v>
      </c>
      <c r="B59" s="205" t="str">
        <f ca="1">IFERROR(__xludf.DUMMYFUNCTION("GOOGLETRANSLATE(B4435:B4450,""RU"",""UK"")"),"Кінцевий вимикач ВПК2110БУ2 (10А)")</f>
        <v>Кінцевий вимикач ВПК2110БУ2 (10А)</v>
      </c>
      <c r="C59" s="59" t="s">
        <v>6</v>
      </c>
      <c r="D59" s="59">
        <v>44</v>
      </c>
      <c r="E59" s="91">
        <v>210</v>
      </c>
    </row>
    <row r="60" spans="1:5">
      <c r="A60" s="21">
        <f t="shared" si="1"/>
        <v>59</v>
      </c>
      <c r="B60" s="205" t="str">
        <f ca="1">IFERROR(__xludf.DUMMYFUNCTION("GOOGLETRANSLATE(B4436:B4451,""RU"",""UK"")"),"Кінцевий вимикач ВП15Д21 Б24-54У2 (10А)")</f>
        <v>Кінцевий вимикач ВП15Д21 Б24-54У2 (10А)</v>
      </c>
      <c r="C60" s="59" t="s">
        <v>6</v>
      </c>
      <c r="D60" s="59">
        <v>66</v>
      </c>
      <c r="E60" s="91">
        <v>210</v>
      </c>
    </row>
    <row r="61" spans="1:5">
      <c r="A61" s="21">
        <f t="shared" si="1"/>
        <v>60</v>
      </c>
      <c r="B61" s="205" t="s">
        <v>6155</v>
      </c>
      <c r="C61" s="59" t="s">
        <v>6</v>
      </c>
      <c r="D61" s="59">
        <v>15</v>
      </c>
      <c r="E61" s="91">
        <v>210</v>
      </c>
    </row>
    <row r="62" spans="1:5">
      <c r="A62" s="21">
        <f t="shared" si="1"/>
        <v>61</v>
      </c>
      <c r="B62" s="205" t="s">
        <v>6157</v>
      </c>
      <c r="C62" s="59" t="s">
        <v>6</v>
      </c>
      <c r="D62" s="59">
        <v>6</v>
      </c>
      <c r="E62" s="91">
        <v>210</v>
      </c>
    </row>
    <row r="63" spans="1:5">
      <c r="A63" s="21">
        <f t="shared" si="1"/>
        <v>62</v>
      </c>
      <c r="B63" s="205" t="str">
        <f ca="1">IFERROR(__xludf.DUMMYFUNCTION("GOOGLETRANSLATE(B4438:B4453,""RU"",""UK"")"),"Кінцевий вимикач ВП19-21-Б41-1-67У2 (10А)")</f>
        <v>Кінцевий вимикач ВП19-21-Б41-1-67У2 (10А)</v>
      </c>
      <c r="C63" s="59" t="s">
        <v>6</v>
      </c>
      <c r="D63" s="59">
        <v>10</v>
      </c>
      <c r="E63" s="91">
        <v>210</v>
      </c>
    </row>
    <row r="64" spans="1:5">
      <c r="A64" s="21">
        <f t="shared" si="1"/>
        <v>63</v>
      </c>
      <c r="B64" s="205" t="str">
        <f ca="1">IFERROR(__xludf.DUMMYFUNCTION("GOOGLETRANSLATE(B4440:B4455,""RU"",""UK"")"),"Кінцевий вимикач ВК 200 АУ2, исп2, 6А")</f>
        <v>Кінцевий вимикач ВК 200 АУ2, исп2, 6А</v>
      </c>
      <c r="C64" s="59" t="s">
        <v>6</v>
      </c>
      <c r="D64" s="59">
        <v>3</v>
      </c>
      <c r="E64" s="91">
        <v>270</v>
      </c>
    </row>
    <row r="65" spans="1:5">
      <c r="A65" s="21">
        <f t="shared" si="1"/>
        <v>64</v>
      </c>
      <c r="B65" s="205" t="str">
        <f ca="1">IFERROR(__xludf.DUMMYFUNCTION("GOOGLETRANSLATE(B4441:B4456,""RU"",""UK"")"),"Кінцевий вимикач ВК300 А2 исп.1, ступ.2, (16А)")</f>
        <v>Кінцевий вимикач ВК300 А2 исп.1, ступ.2, (16А)</v>
      </c>
      <c r="C65" s="59" t="s">
        <v>6</v>
      </c>
      <c r="D65" s="59">
        <v>6</v>
      </c>
      <c r="E65" s="91">
        <v>300</v>
      </c>
    </row>
    <row r="66" spans="1:5">
      <c r="A66" s="21">
        <f t="shared" si="1"/>
        <v>65</v>
      </c>
      <c r="B66" s="205" t="s">
        <v>6156</v>
      </c>
      <c r="C66" s="59" t="s">
        <v>6</v>
      </c>
      <c r="D66" s="59">
        <v>37</v>
      </c>
      <c r="E66" s="91">
        <v>210</v>
      </c>
    </row>
    <row r="67" spans="1:5">
      <c r="A67" s="21">
        <f t="shared" si="1"/>
        <v>66</v>
      </c>
      <c r="B67" s="205" t="s">
        <v>6159</v>
      </c>
      <c r="C67" s="59" t="s">
        <v>6</v>
      </c>
      <c r="D67" s="59">
        <v>3</v>
      </c>
      <c r="E67" s="91">
        <v>150</v>
      </c>
    </row>
    <row r="68" spans="1:5">
      <c r="A68" s="21">
        <f t="shared" si="1"/>
        <v>67</v>
      </c>
      <c r="B68" s="205" t="str">
        <f ca="1">IFERROR(__xludf.DUMMYFUNCTION("GOOGLETRANSLATE(B4443:B4458,""RU"",""UK"")"),"Кінцевий вимикач МП 2102 (10А) ")</f>
        <v xml:space="preserve">Кінцевий вимикач МП 2102 (10А) </v>
      </c>
      <c r="C68" s="59" t="s">
        <v>6</v>
      </c>
      <c r="D68" s="59">
        <v>1</v>
      </c>
      <c r="E68" s="91">
        <v>75</v>
      </c>
    </row>
    <row r="69" spans="1:5">
      <c r="A69" s="21">
        <f t="shared" si="1"/>
        <v>68</v>
      </c>
      <c r="B69" s="205" t="s">
        <v>6160</v>
      </c>
      <c r="C69" s="59" t="s">
        <v>6</v>
      </c>
      <c r="D69" s="59">
        <v>5</v>
      </c>
      <c r="E69" s="91">
        <v>125</v>
      </c>
    </row>
    <row r="70" spans="1:5">
      <c r="A70" s="21">
        <f t="shared" si="1"/>
        <v>69</v>
      </c>
      <c r="B70" s="205" t="str">
        <f ca="1">IFERROR(__xludf.DUMMYFUNCTION("GOOGLETRANSLATE(B4442:B4457,""RU"",""UK"")"),"Кінцевий вимикач МП 1306-ЛУ2, исп.1, 10А")</f>
        <v>Кінцевий вимикач МП 1306-ЛУ2, исп.1, 10А</v>
      </c>
      <c r="C70" s="59" t="s">
        <v>6</v>
      </c>
      <c r="D70" s="59">
        <v>3</v>
      </c>
      <c r="E70" s="91">
        <v>120</v>
      </c>
    </row>
    <row r="71" spans="1:5">
      <c r="A71" s="21">
        <f t="shared" si="1"/>
        <v>70</v>
      </c>
      <c r="B71" s="205" t="str">
        <f ca="1">IFERROR(__xludf.DUMMYFUNCTION("GOOGLETRANSLATE(B4443:B4458,""RU"",""UK"")"),"Кінцевий вимикач МП 1101 (10А) ")</f>
        <v xml:space="preserve">Кінцевий вимикач МП 1101 (10А) </v>
      </c>
      <c r="C71" s="59" t="s">
        <v>6</v>
      </c>
      <c r="D71" s="59">
        <v>3</v>
      </c>
      <c r="E71" s="91">
        <v>75</v>
      </c>
    </row>
    <row r="72" spans="1:5">
      <c r="A72" s="21">
        <f t="shared" si="1"/>
        <v>71</v>
      </c>
      <c r="B72" s="205" t="str">
        <f ca="1">IFERROR(__xludf.DUMMYFUNCTION("GOOGLETRANSLATE(B4443:B4458,""RU"",""UK"")"),"Кінцевий вимикач МП 1105 (10А) ")</f>
        <v xml:space="preserve">Кінцевий вимикач МП 1105 (10А) </v>
      </c>
      <c r="C72" s="59" t="s">
        <v>6</v>
      </c>
      <c r="D72" s="59">
        <v>1</v>
      </c>
      <c r="E72" s="91">
        <v>75</v>
      </c>
    </row>
    <row r="73" spans="1:5">
      <c r="A73" s="21">
        <f t="shared" si="1"/>
        <v>72</v>
      </c>
      <c r="B73" s="205" t="str">
        <f ca="1">IFERROR(__xludf.DUMMYFUNCTION("GOOGLETRANSLATE(B4443:B4458,""RU"",""UK"")"),"Кінцевий вимикач МП 1105 (10А) ")</f>
        <v xml:space="preserve">Кінцевий вимикач МП 1105 (10А) </v>
      </c>
      <c r="C73" s="59" t="s">
        <v>6</v>
      </c>
      <c r="D73" s="59">
        <v>2</v>
      </c>
      <c r="E73" s="91">
        <v>75</v>
      </c>
    </row>
    <row r="74" spans="1:5">
      <c r="A74" s="21">
        <f t="shared" si="1"/>
        <v>73</v>
      </c>
      <c r="B74" s="205" t="str">
        <f ca="1">IFERROR(__xludf.DUMMYFUNCTION("GOOGLETRANSLATE(B4448:B4463,""RU"",""UK"")"),"Кінцевий вимикач МП 1107 ПУХЛ3-10А")</f>
        <v>Кінцевий вимикач МП 1107 ПУХЛ3-10А</v>
      </c>
      <c r="C74" s="59" t="s">
        <v>6</v>
      </c>
      <c r="D74" s="59">
        <v>26</v>
      </c>
      <c r="E74" s="91">
        <v>55</v>
      </c>
    </row>
    <row r="75" spans="1:5">
      <c r="A75" s="21">
        <f t="shared" si="1"/>
        <v>74</v>
      </c>
      <c r="B75" s="205" t="str">
        <f ca="1">IFERROR(__xludf.DUMMYFUNCTION("GOOGLETRANSLATE(B4444:B4459,""RU"",""UK"")"),"Кінцевий вимикач МП3 -3А")</f>
        <v>Кінцевий вимикач МП3 -3А</v>
      </c>
      <c r="C75" s="59" t="s">
        <v>6</v>
      </c>
      <c r="D75" s="59">
        <v>2</v>
      </c>
      <c r="E75" s="91">
        <v>75</v>
      </c>
    </row>
    <row r="76" spans="1:5">
      <c r="A76" s="21">
        <f t="shared" si="1"/>
        <v>75</v>
      </c>
      <c r="B76" s="205" t="str">
        <f ca="1">IFERROR(__xludf.DUMMYFUNCTION("GOOGLETRANSLATE(B4453:B4468,""RU"",""UK"")"),"Кнопка КЕ 021 УЗ 10А (червона/ чорна) грибок")</f>
        <v>Кнопка КЕ 021 УЗ 10А (червона/ чорна) грибок</v>
      </c>
      <c r="C76" s="59" t="s">
        <v>6</v>
      </c>
      <c r="D76" s="59" t="s">
        <v>6392</v>
      </c>
      <c r="E76" s="91" t="s">
        <v>257</v>
      </c>
    </row>
    <row r="77" spans="1:5">
      <c r="A77" s="21">
        <f t="shared" si="1"/>
        <v>76</v>
      </c>
      <c r="B77" s="205" t="s">
        <v>6169</v>
      </c>
      <c r="C77" s="59" t="s">
        <v>6</v>
      </c>
      <c r="D77" s="59">
        <v>7</v>
      </c>
      <c r="E77" s="91">
        <v>45</v>
      </c>
    </row>
    <row r="78" spans="1:5">
      <c r="A78" s="21">
        <f t="shared" ref="A78" si="2">A77+1</f>
        <v>77</v>
      </c>
      <c r="B78" s="205" t="s">
        <v>6170</v>
      </c>
      <c r="C78" s="59" t="s">
        <v>6</v>
      </c>
      <c r="D78" s="59">
        <v>6</v>
      </c>
      <c r="E78" s="91">
        <v>45</v>
      </c>
    </row>
    <row r="79" spans="1:5">
      <c r="A79" s="21">
        <f t="shared" ref="A79:A83" si="3">A78+1</f>
        <v>78</v>
      </c>
      <c r="B79" s="205" t="s">
        <v>6172</v>
      </c>
      <c r="C79" s="59" t="s">
        <v>6</v>
      </c>
      <c r="D79" s="59">
        <v>3</v>
      </c>
      <c r="E79" s="91">
        <v>45</v>
      </c>
    </row>
    <row r="80" spans="1:5">
      <c r="A80" s="21">
        <f t="shared" si="3"/>
        <v>79</v>
      </c>
      <c r="B80" s="205" t="s">
        <v>6171</v>
      </c>
      <c r="C80" s="59" t="s">
        <v>6</v>
      </c>
      <c r="D80" s="59">
        <v>3</v>
      </c>
      <c r="E80" s="91">
        <v>45</v>
      </c>
    </row>
    <row r="81" spans="1:5">
      <c r="A81" s="21">
        <f t="shared" si="3"/>
        <v>80</v>
      </c>
      <c r="B81" s="205" t="s">
        <v>6173</v>
      </c>
      <c r="C81" s="59" t="s">
        <v>6</v>
      </c>
      <c r="D81" s="59">
        <v>5</v>
      </c>
      <c r="E81" s="91">
        <v>45</v>
      </c>
    </row>
    <row r="82" spans="1:5">
      <c r="A82" s="21">
        <f t="shared" si="3"/>
        <v>81</v>
      </c>
      <c r="B82" s="205" t="s">
        <v>6174</v>
      </c>
      <c r="C82" s="59" t="s">
        <v>6</v>
      </c>
      <c r="D82" s="59">
        <v>2</v>
      </c>
      <c r="E82" s="91">
        <v>80</v>
      </c>
    </row>
    <row r="83" spans="1:5">
      <c r="A83" s="21">
        <f t="shared" si="3"/>
        <v>82</v>
      </c>
      <c r="B83" s="205" t="str">
        <f ca="1">IFERROR(__xludf.DUMMYFUNCTION("GOOGLETRANSLATE(B4458:B4473,""RU"",""UK"")"),"Пульт кнопочний ПКЕ 112-1У3 внутр.")</f>
        <v>Пульт кнопочний ПКЕ 112-1У3 внутр.</v>
      </c>
      <c r="C83" s="59" t="s">
        <v>6</v>
      </c>
      <c r="D83" s="59">
        <v>15</v>
      </c>
      <c r="E83" s="91">
        <v>80</v>
      </c>
    </row>
    <row r="84" spans="1:5">
      <c r="A84" s="21">
        <f t="shared" ref="A84:A141" si="4">A83+1</f>
        <v>83</v>
      </c>
      <c r="B84" s="224" t="str">
        <f ca="1">IFERROR(__xludf.DUMMYFUNCTION("GOOGLETRANSLATE(B4458:B4473,""RU"",""UK"")"),"Пульт кнопочний ПКЕ 112-2У3 (пуск-стоп) внутр.")</f>
        <v>Пульт кнопочний ПКЕ 112-2У3 (пуск-стоп) внутр.</v>
      </c>
      <c r="C84" s="59" t="s">
        <v>6</v>
      </c>
      <c r="D84" s="59">
        <v>10</v>
      </c>
      <c r="E84" s="91">
        <v>120</v>
      </c>
    </row>
    <row r="85" spans="1:5">
      <c r="A85" s="21">
        <f t="shared" si="4"/>
        <v>84</v>
      </c>
      <c r="B85" s="224" t="str">
        <f ca="1">IFERROR(__xludf.DUMMYFUNCTION("GOOGLETRANSLATE(B4458:B4473,""RU"",""UK"")"),"Пульт кнопочний ПКЕ 112-3У3 внутр.")</f>
        <v>Пульт кнопочний ПКЕ 112-3У3 внутр.</v>
      </c>
      <c r="C85" s="59" t="s">
        <v>6</v>
      </c>
      <c r="D85" s="59">
        <v>0</v>
      </c>
      <c r="E85" s="91">
        <v>150</v>
      </c>
    </row>
    <row r="86" spans="1:5">
      <c r="A86" s="21">
        <f t="shared" si="4"/>
        <v>85</v>
      </c>
      <c r="B86" s="205" t="str">
        <f ca="1">IFERROR(__xludf.DUMMYFUNCTION("GOOGLETRANSLATE(B4459:B4474,""RU"",""UK"")"),"Пульт кнопочний ПКЕ 122-2У2 (пуск-стоп) внутр.")</f>
        <v>Пульт кнопочний ПКЕ 122-2У2 (пуск-стоп) внутр.</v>
      </c>
      <c r="C86" s="59" t="s">
        <v>6</v>
      </c>
      <c r="D86" s="59">
        <v>4</v>
      </c>
      <c r="E86" s="91">
        <v>120</v>
      </c>
    </row>
    <row r="87" spans="1:5">
      <c r="A87" s="21">
        <f t="shared" si="4"/>
        <v>86</v>
      </c>
      <c r="B87" s="205" t="str">
        <f ca="1">IFERROR(__xludf.DUMMYFUNCTION("GOOGLETRANSLATE(B4462:B4477,""RU"",""UK"")"),"Пульт кнопочний ПКЕ 222-1У2 зовн. (чорна)")</f>
        <v>Пульт кнопочний ПКЕ 222-1У2 зовн. (чорна)</v>
      </c>
      <c r="C87" s="59" t="s">
        <v>6</v>
      </c>
      <c r="D87" s="160">
        <v>11</v>
      </c>
      <c r="E87" s="91">
        <v>100</v>
      </c>
    </row>
    <row r="88" spans="1:5">
      <c r="A88" s="21">
        <f t="shared" si="4"/>
        <v>87</v>
      </c>
      <c r="B88" s="205" t="str">
        <f ca="1">IFERROR(__xludf.DUMMYFUNCTION("GOOGLETRANSLATE(B4462:B4477,""RU"",""UK"")"),"Пульт кнопочний ПКЕ 222-1У2 зовн. (червона)")</f>
        <v>Пульт кнопочний ПКЕ 222-1У2 зовн. (червона)</v>
      </c>
      <c r="C88" s="59" t="s">
        <v>6</v>
      </c>
      <c r="D88" s="160">
        <v>9</v>
      </c>
      <c r="E88" s="91">
        <v>100</v>
      </c>
    </row>
    <row r="89" spans="1:5">
      <c r="A89" s="21">
        <f t="shared" si="4"/>
        <v>88</v>
      </c>
      <c r="B89" s="205" t="str">
        <f ca="1">IFERROR(__xludf.DUMMYFUNCTION("GOOGLETRANSLATE(B4462:B4477,""RU"",""UK"")"),"Пульт кнопочний ПКЕ 222-3У2 внутр.")</f>
        <v>Пульт кнопочний ПКЕ 222-3У2 внутр.</v>
      </c>
      <c r="C89" s="59" t="s">
        <v>6</v>
      </c>
      <c r="D89" s="59">
        <v>6</v>
      </c>
      <c r="E89" s="91">
        <v>150</v>
      </c>
    </row>
    <row r="90" spans="1:5">
      <c r="A90" s="21">
        <f t="shared" si="4"/>
        <v>89</v>
      </c>
      <c r="B90" s="205" t="str">
        <f ca="1">IFERROR(__xludf.DUMMYFUNCTION("GOOGLETRANSLATE(B4463:B4478,""RU"",""UK"")"),"Пульт кнопочний ПКЕ 222-3У2 закр. наружн.")</f>
        <v>Пульт кнопочний ПКЕ 222-3У2 закр. наружн.</v>
      </c>
      <c r="C90" s="171" t="s">
        <v>6</v>
      </c>
      <c r="D90" s="171">
        <v>26</v>
      </c>
      <c r="E90" s="173">
        <v>180</v>
      </c>
    </row>
    <row r="91" spans="1:5">
      <c r="A91" s="21">
        <f t="shared" si="4"/>
        <v>90</v>
      </c>
      <c r="B91" s="205" t="str">
        <f ca="1">IFERROR(__xludf.DUMMYFUNCTION("GOOGLETRANSLATE(B4460:B4475,""RU"",""UK"")"),"Пульт кнопочний ПКЕ 612-2У3 (пуск-стоп) внут. ")</f>
        <v xml:space="preserve">Пульт кнопочний ПКЕ 612-2У3 (пуск-стоп) внут. </v>
      </c>
      <c r="C91" s="59" t="s">
        <v>6</v>
      </c>
      <c r="D91" s="59">
        <v>6</v>
      </c>
      <c r="E91" s="91">
        <v>120</v>
      </c>
    </row>
    <row r="92" spans="1:5">
      <c r="A92" s="21">
        <f t="shared" si="4"/>
        <v>91</v>
      </c>
      <c r="B92" s="164" t="str">
        <f ca="1">IFERROR(__xludf.DUMMYFUNCTION("GOOGLETRANSLATE(B4470:B4485,""RU"",""UK"")"),"Пульт кнопковий ПКТ 40-У2 (4 кнопки)")</f>
        <v>Пульт кнопковий ПКТ 40-У2 (4 кнопки)</v>
      </c>
      <c r="C92" s="59" t="s">
        <v>6</v>
      </c>
      <c r="D92" s="59">
        <v>0</v>
      </c>
      <c r="E92" s="91">
        <v>600</v>
      </c>
    </row>
    <row r="93" spans="1:5">
      <c r="A93" s="21">
        <f t="shared" si="4"/>
        <v>92</v>
      </c>
      <c r="B93" s="198" t="s">
        <v>6437</v>
      </c>
      <c r="C93" s="59" t="s">
        <v>6</v>
      </c>
      <c r="D93" s="59">
        <v>2</v>
      </c>
      <c r="E93" s="91">
        <v>650</v>
      </c>
    </row>
    <row r="94" spans="1:5">
      <c r="A94" s="21">
        <f t="shared" si="4"/>
        <v>93</v>
      </c>
      <c r="B94" s="85" t="str">
        <f ca="1">IFERROR(__xludf.DUMMYFUNCTION("GOOGLETRANSLATE(B4471:B4486,""RU"",""UK"")"),"Трансформатор ОСОВ-1 0.25кВт 380/36В")</f>
        <v>Трансформатор ОСОВ-1 0.25кВт 380/36В</v>
      </c>
      <c r="C94" s="59" t="s">
        <v>6</v>
      </c>
      <c r="D94" s="59">
        <v>1</v>
      </c>
      <c r="E94" s="91">
        <v>1800</v>
      </c>
    </row>
    <row r="95" spans="1:5">
      <c r="A95" s="21">
        <f t="shared" si="4"/>
        <v>94</v>
      </c>
      <c r="B95" s="85" t="str">
        <f ca="1">IFERROR(__xludf.DUMMYFUNCTION("GOOGLETRANSLATE(B4475:B4490,""RU"",""UK"")"),"Трансформатор ТБСЗ-1 0.063кВт 220/5/24В")</f>
        <v>Трансформатор ТБСЗ-1 0.063кВт 220/5/24В</v>
      </c>
      <c r="C95" s="59" t="s">
        <v>6</v>
      </c>
      <c r="D95" s="59">
        <v>2</v>
      </c>
      <c r="E95" s="91" t="s">
        <v>842</v>
      </c>
    </row>
    <row r="96" spans="1:5">
      <c r="A96" s="21">
        <f t="shared" si="4"/>
        <v>95</v>
      </c>
      <c r="B96" s="85" t="s">
        <v>6158</v>
      </c>
      <c r="C96" s="59" t="s">
        <v>6</v>
      </c>
      <c r="D96" s="59">
        <v>2</v>
      </c>
      <c r="E96" s="91">
        <v>990</v>
      </c>
    </row>
    <row r="97" spans="1:5">
      <c r="A97" s="21">
        <f t="shared" si="4"/>
        <v>96</v>
      </c>
      <c r="B97" s="85" t="str">
        <f ca="1">IFERROR(__xludf.DUMMYFUNCTION("GOOGLETRANSLATE(B4475:B4490,""RU"",""UK"")"),"Трансформатор обертальний ВТ-5")</f>
        <v>Трансформатор обертальний ВТ-5</v>
      </c>
      <c r="C97" s="59" t="s">
        <v>6</v>
      </c>
      <c r="D97" s="59">
        <v>1</v>
      </c>
      <c r="E97" s="91">
        <v>600</v>
      </c>
    </row>
    <row r="98" spans="1:5">
      <c r="A98" s="21">
        <f t="shared" si="4"/>
        <v>97</v>
      </c>
      <c r="B98" s="85" t="s">
        <v>6390</v>
      </c>
      <c r="C98" s="59" t="s">
        <v>6</v>
      </c>
      <c r="D98" s="59">
        <v>1</v>
      </c>
      <c r="E98" s="91">
        <v>600</v>
      </c>
    </row>
    <row r="99" spans="1:5">
      <c r="A99" s="21">
        <f t="shared" si="4"/>
        <v>98</v>
      </c>
      <c r="B99" s="85" t="s">
        <v>6154</v>
      </c>
      <c r="C99" s="59" t="s">
        <v>6</v>
      </c>
      <c r="D99" s="59">
        <v>1</v>
      </c>
      <c r="E99" s="91">
        <v>1600</v>
      </c>
    </row>
    <row r="100" spans="1:5">
      <c r="A100" s="21">
        <f t="shared" si="4"/>
        <v>99</v>
      </c>
      <c r="B100" s="85" t="s">
        <v>6119</v>
      </c>
      <c r="C100" s="59" t="s">
        <v>6</v>
      </c>
      <c r="D100" s="59">
        <v>1</v>
      </c>
      <c r="E100" s="91">
        <v>600</v>
      </c>
    </row>
    <row r="101" spans="1:5">
      <c r="A101" s="21">
        <f t="shared" si="4"/>
        <v>100</v>
      </c>
      <c r="B101" s="85" t="str">
        <f ca="1">IFERROR(__xludf.DUMMYFUNCTION("GOOGLETRANSLATE(B4476:B4491,""RU"",""UK"")"),"Дросель для ламп ДРЛ - 250 (закр.+відкр)")</f>
        <v>Дросель для ламп ДРЛ - 250 (закр.+відкр)</v>
      </c>
      <c r="C101" s="59" t="s">
        <v>6</v>
      </c>
      <c r="D101" s="59">
        <v>2</v>
      </c>
      <c r="E101" s="91" t="s">
        <v>1713</v>
      </c>
    </row>
    <row r="102" spans="1:5">
      <c r="A102" s="21">
        <f t="shared" si="4"/>
        <v>101</v>
      </c>
      <c r="B102" s="85" t="str">
        <f ca="1">IFERROR(__xludf.DUMMYFUNCTION("GOOGLETRANSLATE(B4477:B4492,""RU"",""UK"")"),"Дросель для ламп ДРЛ - 400 (закр)")</f>
        <v>Дросель для ламп ДРЛ - 400 (закр)</v>
      </c>
      <c r="C102" s="59" t="s">
        <v>6</v>
      </c>
      <c r="D102" s="59">
        <v>1</v>
      </c>
      <c r="E102" s="91" t="s">
        <v>4513</v>
      </c>
    </row>
    <row r="103" spans="1:5">
      <c r="A103" s="21">
        <f t="shared" si="4"/>
        <v>102</v>
      </c>
      <c r="B103" s="85" t="str">
        <f ca="1">IFERROR(__xludf.DUMMYFUNCTION("GOOGLETRANSLATE(B4478:B4493,""RU"",""UK"")"),"Світильник РСП-05-700")</f>
        <v>Світильник РСП-05-700</v>
      </c>
      <c r="C103" s="59" t="s">
        <v>6</v>
      </c>
      <c r="D103" s="59">
        <v>2</v>
      </c>
      <c r="E103" s="91" t="s">
        <v>272</v>
      </c>
    </row>
    <row r="104" spans="1:5">
      <c r="A104" s="21">
        <f t="shared" si="4"/>
        <v>103</v>
      </c>
      <c r="B104" s="85" t="str">
        <f ca="1">IFERROR(__xludf.DUMMYFUNCTION("GOOGLETRANSLATE(B4479:B4494,""RU"",""UK"")"),"Світильник Н4БН-150")</f>
        <v>Світильник Н4БН-150</v>
      </c>
      <c r="C104" s="59" t="s">
        <v>6</v>
      </c>
      <c r="D104" s="59">
        <v>6</v>
      </c>
      <c r="E104" s="91" t="s">
        <v>16</v>
      </c>
    </row>
    <row r="105" spans="1:5">
      <c r="A105" s="21">
        <f t="shared" si="4"/>
        <v>104</v>
      </c>
      <c r="B105" s="85" t="str">
        <f ca="1">IFERROR(__xludf.DUMMYFUNCTION("GOOGLETRANSLATE(B4480:B4495,""RU"",""UK"")"),"Світильник НББ-64-100")</f>
        <v>Світильник НББ-64-100</v>
      </c>
      <c r="C105" s="59" t="s">
        <v>6</v>
      </c>
      <c r="D105" s="59">
        <v>4</v>
      </c>
      <c r="E105" s="91" t="s">
        <v>162</v>
      </c>
    </row>
    <row r="106" spans="1:5">
      <c r="A106" s="21">
        <f t="shared" si="4"/>
        <v>105</v>
      </c>
      <c r="B106" s="85" t="str">
        <f ca="1">IFERROR(__xludf.DUMMYFUNCTION("GOOGLETRANSLATE(B4481:B4496,""RU"",""UK"")"),"Світильник Селена-32-100Вт")</f>
        <v>Світильник Селена-32-100Вт</v>
      </c>
      <c r="C106" s="59" t="s">
        <v>6</v>
      </c>
      <c r="D106" s="59">
        <v>2</v>
      </c>
      <c r="E106" s="91" t="s">
        <v>910</v>
      </c>
    </row>
    <row r="107" spans="1:5">
      <c r="A107" s="21">
        <f t="shared" si="4"/>
        <v>106</v>
      </c>
      <c r="B107" s="85" t="str">
        <f ca="1">IFERROR(__xludf.DUMMYFUNCTION("GOOGLETRANSLATE(B4482:B4497,""RU"",""UK"")"),"Світильник Ватра")</f>
        <v>Світильник Ватра</v>
      </c>
      <c r="C107" s="59" t="s">
        <v>6</v>
      </c>
      <c r="D107" s="59">
        <v>2</v>
      </c>
      <c r="E107" s="91" t="s">
        <v>24</v>
      </c>
    </row>
    <row r="108" spans="1:5">
      <c r="A108" s="21">
        <f t="shared" si="4"/>
        <v>107</v>
      </c>
      <c r="B108" s="85" t="str">
        <f ca="1">IFERROR(__xludf.DUMMYFUNCTION("GOOGLETRANSLATE(B4483:B4498,""RU"",""UK"")"),"Світильник верстатний вологозахищений НКПО4-60 (24В/ 60Вт)")</f>
        <v>Світильник верстатний вологозахищений НКПО4-60 (24В/ 60Вт)</v>
      </c>
      <c r="C108" s="59" t="s">
        <v>6</v>
      </c>
      <c r="D108" s="59">
        <v>2</v>
      </c>
      <c r="E108" s="91" t="s">
        <v>27</v>
      </c>
    </row>
    <row r="109" spans="1:5">
      <c r="A109" s="21">
        <f t="shared" si="4"/>
        <v>108</v>
      </c>
      <c r="B109" s="85" t="str">
        <f ca="1">IFERROR(__xludf.DUMMYFUNCTION("GOOGLETRANSLATE(B4484:B4499,""RU"",""UK"")"),"Світильник 4х36")</f>
        <v>Світильник 4х36</v>
      </c>
      <c r="C109" s="59" t="s">
        <v>6</v>
      </c>
      <c r="D109" s="59">
        <v>2</v>
      </c>
      <c r="E109" s="91" t="s">
        <v>1713</v>
      </c>
    </row>
    <row r="110" spans="1:5">
      <c r="A110" s="21">
        <f t="shared" si="4"/>
        <v>109</v>
      </c>
      <c r="B110" s="85" t="str">
        <f ca="1">IFERROR(__xludf.DUMMYFUNCTION("GOOGLETRANSLATE(B4485:B4500,""RU"",""UK"")"),"Електропаяльник 220В 65Вт / 80Вт")</f>
        <v>Електропаяльник 220В 65Вт / 80Вт</v>
      </c>
      <c r="C110" s="59" t="s">
        <v>6</v>
      </c>
      <c r="D110" s="59">
        <v>0</v>
      </c>
      <c r="E110" s="91" t="s">
        <v>140</v>
      </c>
    </row>
    <row r="111" spans="1:5">
      <c r="A111" s="21">
        <f t="shared" si="4"/>
        <v>110</v>
      </c>
      <c r="B111" s="85" t="str">
        <f ca="1">IFERROR(__xludf.DUMMYFUNCTION("GOOGLETRANSLATE(B4487:B4502,""RU"",""UK"")"),"Вмикач внутрішній")</f>
        <v>Вмикач внутрішній</v>
      </c>
      <c r="C111" s="59" t="s">
        <v>6</v>
      </c>
      <c r="D111" s="59">
        <v>50</v>
      </c>
      <c r="E111" s="91" t="s">
        <v>290</v>
      </c>
    </row>
    <row r="112" spans="1:5">
      <c r="A112" s="21">
        <f t="shared" si="4"/>
        <v>111</v>
      </c>
      <c r="B112" s="85" t="str">
        <f ca="1">IFERROR(__xludf.DUMMYFUNCTION("GOOGLETRANSLATE(B4488:B4503,""RU"",""UK"")"),"Вмикач внутрішній 2-х кл.")</f>
        <v>Вмикач внутрішній 2-х кл.</v>
      </c>
      <c r="C112" s="59" t="s">
        <v>6</v>
      </c>
      <c r="D112" s="59">
        <v>5</v>
      </c>
      <c r="E112" s="91" t="s">
        <v>290</v>
      </c>
    </row>
    <row r="113" spans="1:5">
      <c r="A113" s="21">
        <f t="shared" si="4"/>
        <v>112</v>
      </c>
      <c r="B113" s="85" t="str">
        <f ca="1">IFERROR(__xludf.DUMMYFUNCTION("GOOGLETRANSLATE(B4489:B4504,""RU"",""UK"")"),"Вимикач зовнішній 1 кл.")</f>
        <v>Вимикач зовнішній 1 кл.</v>
      </c>
      <c r="C113" s="59" t="s">
        <v>6</v>
      </c>
      <c r="D113" s="59">
        <v>3</v>
      </c>
      <c r="E113" s="91" t="s">
        <v>1427</v>
      </c>
    </row>
    <row r="114" spans="1:5">
      <c r="A114" s="21">
        <f t="shared" si="4"/>
        <v>113</v>
      </c>
      <c r="B114" s="85" t="str">
        <f ca="1">IFERROR(__xludf.DUMMYFUNCTION("GOOGLETRANSLATE(B4490:B4505,""RU"",""UK"")"),"Внутрішня доза")</f>
        <v>Внутрішня доза</v>
      </c>
      <c r="C114" s="59" t="s">
        <v>6</v>
      </c>
      <c r="D114" s="59">
        <v>50</v>
      </c>
      <c r="E114" s="91" t="s">
        <v>5946</v>
      </c>
    </row>
    <row r="115" spans="1:5">
      <c r="A115" s="21">
        <f t="shared" si="4"/>
        <v>114</v>
      </c>
      <c r="B115" s="85" t="s">
        <v>6360</v>
      </c>
      <c r="C115" s="59" t="s">
        <v>6</v>
      </c>
      <c r="D115" s="59">
        <v>14</v>
      </c>
      <c r="E115" s="91">
        <v>60</v>
      </c>
    </row>
    <row r="116" spans="1:5">
      <c r="A116" s="21">
        <f t="shared" si="4"/>
        <v>115</v>
      </c>
      <c r="B116" s="85" t="str">
        <f ca="1">IFERROR(__xludf.DUMMYFUNCTION("GOOGLETRANSLATE(B4491:B4506,""RU"",""UK"")"),"Патрон керамічний Е40")</f>
        <v>Патрон керамічний Е40</v>
      </c>
      <c r="C116" s="59" t="s">
        <v>6</v>
      </c>
      <c r="D116" s="59">
        <v>13</v>
      </c>
      <c r="E116" s="91" t="s">
        <v>290</v>
      </c>
    </row>
    <row r="117" spans="1:5">
      <c r="A117" s="21">
        <f t="shared" si="4"/>
        <v>116</v>
      </c>
      <c r="B117" s="85" t="str">
        <f ca="1">IFERROR(__xludf.DUMMYFUNCTION("GOOGLETRANSLATE(B4492:B4507,""RU"",""UK"")"),"Патрон керамічний Е27")</f>
        <v>Патрон керамічний Е27</v>
      </c>
      <c r="C117" s="59" t="s">
        <v>6</v>
      </c>
      <c r="D117" s="59">
        <v>3</v>
      </c>
      <c r="E117" s="91" t="s">
        <v>1351</v>
      </c>
    </row>
    <row r="118" spans="1:5">
      <c r="A118" s="21">
        <f t="shared" si="4"/>
        <v>117</v>
      </c>
      <c r="B118" s="85" t="str">
        <f ca="1">IFERROR(__xludf.DUMMYFUNCTION("GOOGLETRANSLATE(B4493:B4508,""RU"",""UK"")"),"Патрон підвісний Е27")</f>
        <v>Патрон підвісний Е27</v>
      </c>
      <c r="C118" s="59" t="s">
        <v>6</v>
      </c>
      <c r="D118" s="59">
        <v>7</v>
      </c>
      <c r="E118" s="91" t="s">
        <v>5458</v>
      </c>
    </row>
    <row r="119" spans="1:5">
      <c r="A119" s="21">
        <f t="shared" si="4"/>
        <v>118</v>
      </c>
      <c r="B119" s="164" t="str">
        <f ca="1">IFERROR(__xludf.DUMMYFUNCTION("GOOGLETRANSLATE(B4494:B4509,""RU"",""UK"")"),"Вилка 220В із заземленням")</f>
        <v>Вилка 220В із заземленням</v>
      </c>
      <c r="C119" s="59" t="s">
        <v>6</v>
      </c>
      <c r="D119" s="59">
        <v>0</v>
      </c>
      <c r="E119" s="91" t="s">
        <v>417</v>
      </c>
    </row>
    <row r="120" spans="1:5">
      <c r="A120" s="21">
        <f t="shared" si="4"/>
        <v>119</v>
      </c>
      <c r="B120" s="85" t="str">
        <f ca="1">IFERROR(__xludf.DUMMYFUNCTION("GOOGLETRANSLATE(B4495:B4510,""RU"",""UK"")"),"Розетка внутрішня із заземленням")</f>
        <v>Розетка внутрішня із заземленням</v>
      </c>
      <c r="C120" s="59" t="s">
        <v>6</v>
      </c>
      <c r="D120" s="59">
        <v>5</v>
      </c>
      <c r="E120" s="91" t="s">
        <v>1351</v>
      </c>
    </row>
    <row r="121" spans="1:5">
      <c r="A121" s="21">
        <f t="shared" si="4"/>
        <v>120</v>
      </c>
      <c r="B121" s="85" t="str">
        <f ca="1">IFERROR(__xludf.DUMMYFUNCTION("GOOGLETRANSLATE(B4496:B4511,""RU"",""UK"")"),"Розетка 220 в зовнішня із заз.")</f>
        <v>Розетка 220 в зовнішня із заз.</v>
      </c>
      <c r="C121" s="59" t="s">
        <v>6</v>
      </c>
      <c r="D121" s="59">
        <v>398</v>
      </c>
      <c r="E121" s="91">
        <v>25</v>
      </c>
    </row>
    <row r="122" spans="1:5">
      <c r="A122" s="21">
        <f t="shared" si="4"/>
        <v>121</v>
      </c>
      <c r="B122" s="85" t="str">
        <f ca="1">IFERROR(__xludf.DUMMYFUNCTION("GOOGLETRANSLATE(B4497:B4512,""RU"",""UK"")"),"Роз'єм кабельний ШГП 10А 250В")</f>
        <v>Роз'єм кабельний ШГП 10А 250В</v>
      </c>
      <c r="C122" s="59" t="s">
        <v>6</v>
      </c>
      <c r="D122" s="59">
        <v>7</v>
      </c>
      <c r="E122" s="91" t="s">
        <v>136</v>
      </c>
    </row>
    <row r="123" spans="1:5">
      <c r="A123" s="21">
        <f t="shared" si="4"/>
        <v>122</v>
      </c>
      <c r="B123" s="85" t="str">
        <f ca="1">IFERROR(__xludf.DUMMYFUNCTION("GOOGLETRANSLATE(B4498:B4513,""RU"",""UK"")"),"Роз'єм кабельний КАТЕК 16А 380В")</f>
        <v>Роз'єм кабельний КАТЕК 16А 380В</v>
      </c>
      <c r="C123" s="59" t="s">
        <v>6</v>
      </c>
      <c r="D123" s="59">
        <v>2</v>
      </c>
      <c r="E123" s="91" t="s">
        <v>106</v>
      </c>
    </row>
    <row r="124" spans="1:5">
      <c r="A124" s="21">
        <f t="shared" si="4"/>
        <v>123</v>
      </c>
      <c r="B124" s="85" t="str">
        <f ca="1">IFERROR(__xludf.DUMMYFUNCTION("GOOGLETRANSLATE(B4499:B4514,""RU"",""UK"")"),"Роз'єм кабельний із заземленням ШРЕ-16Б 250/380В 16А зовнішньої установки")</f>
        <v>Роз'єм кабельний із заземленням ШРЕ-16Б 250/380В 16А зовнішньої установки</v>
      </c>
      <c r="C124" s="59" t="s">
        <v>6</v>
      </c>
      <c r="D124" s="59">
        <v>17</v>
      </c>
      <c r="E124" s="91" t="s">
        <v>20</v>
      </c>
    </row>
    <row r="125" spans="1:5">
      <c r="A125" s="21">
        <f t="shared" si="4"/>
        <v>124</v>
      </c>
      <c r="B125" s="85" t="str">
        <f ca="1">IFERROR(__xludf.DUMMYFUNCTION("GOOGLETRANSLATE(B4500:B4515,""RU"",""UK"")"),"Роз'єм кабельний із заземленням ШРЕ-16 250/380В 16А внутрішньої устан.")</f>
        <v>Роз'єм кабельний із заземленням ШРЕ-16 250/380В 16А внутрішньої устан.</v>
      </c>
      <c r="C125" s="59" t="s">
        <v>6</v>
      </c>
      <c r="D125" s="59">
        <v>18</v>
      </c>
      <c r="E125" s="91" t="s">
        <v>140</v>
      </c>
    </row>
    <row r="126" spans="1:5">
      <c r="A126" s="21">
        <f t="shared" si="4"/>
        <v>125</v>
      </c>
      <c r="B126" s="85" t="str">
        <f ca="1">IFERROR(__xludf.DUMMYFUNCTION("GOOGLETRANSLATE(B4501:B4516,""RU"",""UK"")"),"Розетка з вилкою В40-40А 250 В")</f>
        <v>Розетка з вилкою В40-40А 250 В</v>
      </c>
      <c r="C126" s="59" t="s">
        <v>6</v>
      </c>
      <c r="D126" s="59">
        <v>1</v>
      </c>
      <c r="E126" s="91" t="s">
        <v>255</v>
      </c>
    </row>
    <row r="127" spans="1:5">
      <c r="A127" s="21">
        <f t="shared" si="4"/>
        <v>126</v>
      </c>
      <c r="B127" s="85" t="str">
        <f ca="1">IFERROR(__xludf.DUMMYFUNCTION("GOOGLETRANSLATE(B4502:B4517,""RU"",""UK"")"),"Перемикач ПЕ 011/ПК 13-2113")</f>
        <v>Перемикач ПЕ 011/ПК 13-2113</v>
      </c>
      <c r="C127" s="59" t="s">
        <v>6</v>
      </c>
      <c r="D127" s="59" t="s">
        <v>5959</v>
      </c>
      <c r="E127" s="91" t="s">
        <v>169</v>
      </c>
    </row>
    <row r="128" spans="1:5">
      <c r="A128" s="21">
        <f t="shared" si="4"/>
        <v>127</v>
      </c>
      <c r="B128" s="205" t="str">
        <f ca="1">IFERROR(__xludf.DUMMYFUNCTION("GOOGLETRANSLATE(B4503:B4518,""RU"",""UK"")"),"Перемикач пакетний ПВ 3-10-10А")</f>
        <v>Перемикач пакетний ПВ 3-10-10А</v>
      </c>
      <c r="C128" s="59" t="s">
        <v>6</v>
      </c>
      <c r="D128" s="59">
        <v>20</v>
      </c>
      <c r="E128" s="91">
        <v>120</v>
      </c>
    </row>
    <row r="129" spans="1:5">
      <c r="A129" s="21">
        <f t="shared" si="4"/>
        <v>128</v>
      </c>
      <c r="B129" s="205" t="str">
        <f ca="1">IFERROR(__xludf.DUMMYFUNCTION("GOOGLETRANSLATE(B4506:B4521,""RU"",""UK"")"),"Перемикач пакетний ПВП 14-27-380/25А або 220/40А")</f>
        <v>Перемикач пакетний ПВП 14-27-380/25А або 220/40А</v>
      </c>
      <c r="C129" s="59" t="s">
        <v>6</v>
      </c>
      <c r="D129" s="59">
        <v>26</v>
      </c>
      <c r="E129" s="91">
        <v>160</v>
      </c>
    </row>
    <row r="130" spans="1:5">
      <c r="A130" s="21">
        <f t="shared" si="4"/>
        <v>129</v>
      </c>
      <c r="B130" s="205" t="str">
        <f ca="1">IFERROR(__xludf.DUMMYFUNCTION("GOOGLETRANSLATE(B4507:B4522,""RU"",""UK"")"),"Перемикач пакетний ПВМ3-60-60А")</f>
        <v>Перемикач пакетний ПВМ3-60-60А</v>
      </c>
      <c r="C130" s="59" t="s">
        <v>6</v>
      </c>
      <c r="D130" s="59">
        <v>3</v>
      </c>
      <c r="E130" s="91">
        <v>210</v>
      </c>
    </row>
    <row r="131" spans="1:5">
      <c r="A131" s="21">
        <f t="shared" si="4"/>
        <v>130</v>
      </c>
      <c r="B131" s="205" t="str">
        <f ca="1">IFERROR(__xludf.DUMMYFUNCTION("GOOGLETRANSLATE(B4508:B4523,""RU"",""UK"")"),"Перемикач пакетний ПВ3-100-100А")</f>
        <v>Перемикач пакетний ПВ3-100-100А</v>
      </c>
      <c r="C131" s="59" t="s">
        <v>6</v>
      </c>
      <c r="D131" s="59">
        <v>2</v>
      </c>
      <c r="E131" s="91">
        <v>270</v>
      </c>
    </row>
    <row r="132" spans="1:5">
      <c r="A132" s="21">
        <f t="shared" si="4"/>
        <v>131</v>
      </c>
      <c r="B132" s="85" t="str">
        <f ca="1">IFERROR(__xludf.DUMMYFUNCTION("GOOGLETRANSLATE(B4509:B4524,""RU"",""UK"")"),"Тумблер 2ПН-20 20А 27В")</f>
        <v>Тумблер 2ПН-20 20А 27В</v>
      </c>
      <c r="C132" s="59" t="s">
        <v>6</v>
      </c>
      <c r="D132" s="59">
        <v>2</v>
      </c>
      <c r="E132" s="91" t="s">
        <v>314</v>
      </c>
    </row>
    <row r="133" spans="1:5">
      <c r="A133" s="21">
        <f t="shared" si="4"/>
        <v>132</v>
      </c>
      <c r="B133" s="85" t="str">
        <f ca="1">IFERROR(__xludf.DUMMYFUNCTION("GOOGLETRANSLATE(B4510:B4525,""RU"",""UK"")"),"Тумблер 2ПП-45 20А 27В")</f>
        <v>Тумблер 2ПП-45 20А 27В</v>
      </c>
      <c r="C133" s="59" t="s">
        <v>6</v>
      </c>
      <c r="D133" s="59">
        <v>1</v>
      </c>
      <c r="E133" s="91" t="s">
        <v>314</v>
      </c>
    </row>
    <row r="134" spans="1:5">
      <c r="A134" s="21">
        <f t="shared" si="4"/>
        <v>133</v>
      </c>
      <c r="B134" s="85" t="str">
        <f ca="1">IFERROR(__xludf.DUMMYFUNCTION("GOOGLETRANSLATE(B4511:B4526,""RU"",""UK"")"),"Тумблер АЗС-15 К21 15А 27В")</f>
        <v>Тумблер АЗС-15 К21 15А 27В</v>
      </c>
      <c r="C134" s="59" t="s">
        <v>6</v>
      </c>
      <c r="D134" s="59">
        <v>1</v>
      </c>
      <c r="E134" s="91" t="s">
        <v>314</v>
      </c>
    </row>
    <row r="135" spans="1:5">
      <c r="A135" s="21">
        <f t="shared" si="4"/>
        <v>134</v>
      </c>
      <c r="B135" s="85" t="str">
        <f ca="1">IFERROR(__xludf.DUMMYFUNCTION("GOOGLETRANSLATE(B4512:B4527,""RU"",""UK"")"),"Тумблер АЗС-30 30А 27В")</f>
        <v>Тумблер АЗС-30 30А 27В</v>
      </c>
      <c r="C135" s="59" t="s">
        <v>6</v>
      </c>
      <c r="D135" s="59">
        <v>14</v>
      </c>
      <c r="E135" s="91" t="s">
        <v>314</v>
      </c>
    </row>
    <row r="136" spans="1:5">
      <c r="A136" s="21">
        <f t="shared" si="4"/>
        <v>135</v>
      </c>
      <c r="B136" s="85" t="str">
        <f ca="1">IFERROR(__xludf.DUMMYFUNCTION("GOOGLETRANSLATE(B4513:B4528,""RU"",""UK"")"),"Тумблер")</f>
        <v>Тумблер</v>
      </c>
      <c r="C136" s="59" t="s">
        <v>6</v>
      </c>
      <c r="D136" s="59">
        <v>7</v>
      </c>
      <c r="E136" s="91" t="s">
        <v>314</v>
      </c>
    </row>
    <row r="137" spans="1:5">
      <c r="A137" s="21">
        <f t="shared" si="4"/>
        <v>136</v>
      </c>
      <c r="B137" s="85" t="str">
        <f ca="1">IFERROR(__xludf.DUMMYFUNCTION("GOOGLETRANSLATE(B4514:B4529,""RU"",""UK"")"),"Ваттметр Д360-100кВт/Ц301 - 12кВт")</f>
        <v>Ваттметр Д360-100кВт/Ц301 - 12кВт</v>
      </c>
      <c r="C137" s="59" t="s">
        <v>6</v>
      </c>
      <c r="D137" s="59" t="s">
        <v>749</v>
      </c>
      <c r="E137" s="91" t="s">
        <v>327</v>
      </c>
    </row>
    <row r="138" spans="1:5">
      <c r="A138" s="21">
        <f t="shared" si="4"/>
        <v>137</v>
      </c>
      <c r="B138" s="85" t="str">
        <f ca="1">IFERROR(__xludf.DUMMYFUNCTION("GOOGLETRANSLATE(B4515:B4530,""RU"",""UK"")"),"Вольтметр Е8032 500В/750В (80х80х50)")</f>
        <v>Вольтметр Е8032 500В/750В (80х80х50)</v>
      </c>
      <c r="C138" s="59" t="s">
        <v>6</v>
      </c>
      <c r="D138" s="59" t="s">
        <v>749</v>
      </c>
      <c r="E138" s="91" t="s">
        <v>119</v>
      </c>
    </row>
    <row r="139" spans="1:5">
      <c r="A139" s="21">
        <f t="shared" si="4"/>
        <v>138</v>
      </c>
      <c r="B139" s="85" t="str">
        <f ca="1">IFERROR(__xludf.DUMMYFUNCTION("GOOGLETRANSLATE(B4516:B4531,""RU"",""UK"")"),"Вольтметр М381ПЕР 500В / ПОСТ")</f>
        <v>Вольтметр М381ПЕР 500В / ПОСТ</v>
      </c>
      <c r="C139" s="59" t="s">
        <v>6</v>
      </c>
      <c r="D139" s="59" t="s">
        <v>749</v>
      </c>
      <c r="E139" s="91" t="s">
        <v>119</v>
      </c>
    </row>
    <row r="140" spans="1:5">
      <c r="A140" s="21">
        <f t="shared" si="4"/>
        <v>139</v>
      </c>
      <c r="B140" s="85" t="str">
        <f ca="1">IFERROR(__xludf.DUMMYFUNCTION("GOOGLETRANSLATE(B4517:B4532,""RU"",""UK"")"),"Амперметр Е 378 -40А пров.")</f>
        <v>Амперметр Е 378 -40А пров.</v>
      </c>
      <c r="C140" s="59" t="s">
        <v>6</v>
      </c>
      <c r="D140" s="59">
        <v>1</v>
      </c>
      <c r="E140" s="91" t="s">
        <v>140</v>
      </c>
    </row>
    <row r="141" spans="1:5">
      <c r="A141" s="21">
        <f t="shared" si="4"/>
        <v>140</v>
      </c>
      <c r="B141" s="85" t="str">
        <f ca="1">IFERROR(__xludf.DUMMYFUNCTION("GOOGLETRANSLATE(B4518:B4533,""RU"",""UK"")"),"Амперметр Е8032-М1 100А пост/пров")</f>
        <v>Амперметр Е8032-М1 100А пост/пров</v>
      </c>
      <c r="C141" s="59" t="s">
        <v>6</v>
      </c>
      <c r="D141" s="59" t="s">
        <v>899</v>
      </c>
      <c r="E141" s="91" t="s">
        <v>119</v>
      </c>
    </row>
    <row r="142" spans="1:5">
      <c r="A142" s="21">
        <f t="shared" ref="A142:A163" si="5">A141+1</f>
        <v>141</v>
      </c>
      <c r="B142" s="85" t="str">
        <f ca="1">IFERROR(__xludf.DUMMYFUNCTION("GOOGLETRANSLATE(B4519:B4534,""RU"",""UK"")"),"Амперметр М151 150А/300А")</f>
        <v>Амперметр М151 150А/300А</v>
      </c>
      <c r="C142" s="59" t="s">
        <v>6</v>
      </c>
      <c r="D142" s="59" t="s">
        <v>4168</v>
      </c>
      <c r="E142" s="91" t="s">
        <v>2809</v>
      </c>
    </row>
    <row r="143" spans="1:5">
      <c r="A143" s="21">
        <f t="shared" si="5"/>
        <v>142</v>
      </c>
      <c r="B143" s="85" t="str">
        <f ca="1">IFERROR(__xludf.DUMMYFUNCTION("GOOGLETRANSLATE(B4520:B4535,""RU"",""UK"")"),"Амперметр 600А")</f>
        <v>Амперметр 600А</v>
      </c>
      <c r="C143" s="59" t="s">
        <v>6</v>
      </c>
      <c r="D143" s="59">
        <v>1</v>
      </c>
      <c r="E143" s="91" t="s">
        <v>327</v>
      </c>
    </row>
    <row r="144" spans="1:5">
      <c r="A144" s="21">
        <f t="shared" si="5"/>
        <v>143</v>
      </c>
      <c r="B144" s="164" t="s">
        <v>6358</v>
      </c>
      <c r="C144" s="59" t="s">
        <v>6</v>
      </c>
      <c r="D144" s="59">
        <v>0</v>
      </c>
      <c r="E144" s="91">
        <v>800</v>
      </c>
    </row>
    <row r="145" spans="1:5">
      <c r="A145" s="21">
        <f t="shared" si="5"/>
        <v>144</v>
      </c>
      <c r="B145" s="85" t="str">
        <f ca="1">IFERROR(__xludf.DUMMYFUNCTION("GOOGLETRANSLATE(B4522:B4537,""RU"",""UK"")"),"Сирена вологозахищена ВСС-3 (220В)")</f>
        <v>Сирена вологозахищена ВСС-3 (220В)</v>
      </c>
      <c r="C145" s="59" t="s">
        <v>6</v>
      </c>
      <c r="D145" s="59">
        <v>3</v>
      </c>
      <c r="E145" s="91">
        <v>890</v>
      </c>
    </row>
    <row r="146" spans="1:5">
      <c r="A146" s="21">
        <f t="shared" si="5"/>
        <v>145</v>
      </c>
      <c r="B146" s="85" t="str">
        <f ca="1">IFERROR(__xludf.DUMMYFUNCTION("GOOGLETRANSLATE(B4523:B4538,""RU"",""UK"")"),"Ревун тип РВФ24-24В")</f>
        <v>Ревун тип РВФ24-24В</v>
      </c>
      <c r="C146" s="59" t="s">
        <v>6</v>
      </c>
      <c r="D146" s="59">
        <v>1</v>
      </c>
      <c r="E146" s="91" t="s">
        <v>283</v>
      </c>
    </row>
    <row r="147" spans="1:5">
      <c r="A147" s="21">
        <f t="shared" si="5"/>
        <v>146</v>
      </c>
      <c r="B147" s="85" t="s">
        <v>6389</v>
      </c>
      <c r="C147" s="59" t="s">
        <v>6</v>
      </c>
      <c r="D147" s="59">
        <v>1</v>
      </c>
      <c r="E147" s="91">
        <v>890</v>
      </c>
    </row>
    <row r="148" spans="1:5">
      <c r="A148" s="21">
        <f t="shared" si="5"/>
        <v>147</v>
      </c>
      <c r="B148" s="85" t="str">
        <f ca="1">IFERROR(__xludf.DUMMYFUNCTION("GOOGLETRANSLATE(B4524:B4539,""RU"",""UK"")"),"Щітки графітові")</f>
        <v>Щітки графітові</v>
      </c>
      <c r="C148" s="59" t="s">
        <v>6</v>
      </c>
      <c r="D148" s="59">
        <v>185</v>
      </c>
      <c r="E148" s="91" t="s">
        <v>253</v>
      </c>
    </row>
    <row r="149" spans="1:5">
      <c r="A149" s="21">
        <f t="shared" si="5"/>
        <v>148</v>
      </c>
      <c r="B149" s="85" t="str">
        <f ca="1">IFERROR(__xludf.DUMMYFUNCTION("GOOGLETRANSLATE(B4525:B4540,""RU"",""UK"")"),"Мегоометр")</f>
        <v>Мегоометр</v>
      </c>
      <c r="C149" s="59" t="s">
        <v>6</v>
      </c>
      <c r="D149" s="59">
        <v>5</v>
      </c>
      <c r="E149" s="91" t="s">
        <v>2816</v>
      </c>
    </row>
    <row r="150" spans="1:5">
      <c r="A150" s="21">
        <f t="shared" si="5"/>
        <v>149</v>
      </c>
      <c r="B150" s="85" t="str">
        <f ca="1">IFERROR(__xludf.DUMMYFUNCTION("GOOGLETRANSLATE(B4526:B4541,""RU"",""UK"")"),"Тестер Ц-4313/Ц-435")</f>
        <v>Тестер Ц-4313/Ц-435</v>
      </c>
      <c r="C150" s="59" t="s">
        <v>6</v>
      </c>
      <c r="D150" s="59" t="s">
        <v>793</v>
      </c>
      <c r="E150" s="91" t="s">
        <v>29</v>
      </c>
    </row>
    <row r="151" spans="1:5">
      <c r="A151" s="21">
        <f t="shared" si="5"/>
        <v>150</v>
      </c>
      <c r="B151" s="85" t="str">
        <f ca="1">IFERROR(__xludf.DUMMYFUNCTION("GOOGLETRANSLATE(B4527:B4542,""RU"",""UK"")"),"Мультиметр цифровий DT700C, 8 функцій+зумер")</f>
        <v>Мультиметр цифровий DT700C, 8 функцій+зумер</v>
      </c>
      <c r="C151" s="59" t="s">
        <v>6</v>
      </c>
      <c r="D151" s="59">
        <v>1</v>
      </c>
      <c r="E151" s="91" t="s">
        <v>5985</v>
      </c>
    </row>
    <row r="152" spans="1:5">
      <c r="A152" s="21">
        <f t="shared" si="5"/>
        <v>151</v>
      </c>
      <c r="B152" s="85" t="str">
        <f ca="1">IFERROR(__xludf.DUMMYFUNCTION("GOOGLETRANSLATE(B4528:B4543,""RU"",""UK"")"),"Кліщі електровимірювальні Ц-90")</f>
        <v>Кліщі електровимірювальні Ц-90</v>
      </c>
      <c r="C152" s="59" t="s">
        <v>6</v>
      </c>
      <c r="D152" s="59">
        <v>4</v>
      </c>
      <c r="E152" s="91" t="s">
        <v>88</v>
      </c>
    </row>
    <row r="153" spans="1:5">
      <c r="A153" s="21">
        <f t="shared" si="5"/>
        <v>152</v>
      </c>
      <c r="B153" s="85" t="str">
        <f ca="1">IFERROR(__xludf.DUMMYFUNCTION("GOOGLETRANSLATE(B4529:B4544,""RU"",""UK"")"),"Гучномовець НТ-220-101 100-120В 20Вт")</f>
        <v>Гучномовець НТ-220-101 100-120В 20Вт</v>
      </c>
      <c r="C153" s="59" t="s">
        <v>6</v>
      </c>
      <c r="D153" s="59">
        <v>2</v>
      </c>
      <c r="E153" s="91" t="s">
        <v>20</v>
      </c>
    </row>
    <row r="154" spans="1:5">
      <c r="A154" s="21">
        <f t="shared" si="5"/>
        <v>153</v>
      </c>
      <c r="B154" s="85" t="str">
        <f ca="1">IFERROR(__xludf.DUMMYFUNCTION("GOOGLETRANSLATE(B4530:B4545,""RU"",""UK"")"),"Наконечник алюм. 35мм/кв")</f>
        <v>Наконечник алюм. 35мм/кв</v>
      </c>
      <c r="C154" s="59" t="s">
        <v>6</v>
      </c>
      <c r="D154" s="59">
        <v>10</v>
      </c>
      <c r="E154" s="91" t="s">
        <v>1294</v>
      </c>
    </row>
    <row r="155" spans="1:5">
      <c r="A155" s="21">
        <f t="shared" si="5"/>
        <v>154</v>
      </c>
      <c r="B155" s="85" t="str">
        <f ca="1">IFERROR(__xludf.DUMMYFUNCTION("GOOGLETRANSLATE(B4531:B4546,""RU"",""UK"")"),"Наконечник алюм. 50мм/кв")</f>
        <v>Наконечник алюм. 50мм/кв</v>
      </c>
      <c r="C155" s="59" t="s">
        <v>6</v>
      </c>
      <c r="D155" s="59">
        <v>10</v>
      </c>
      <c r="E155" s="91" t="s">
        <v>361</v>
      </c>
    </row>
    <row r="156" spans="1:5">
      <c r="A156" s="21">
        <f t="shared" si="5"/>
        <v>155</v>
      </c>
      <c r="B156" s="85" t="str">
        <f ca="1">IFERROR(__xludf.DUMMYFUNCTION("GOOGLETRANSLATE(B4532:B4547,""RU"",""UK"")"),"Наконечник алюм. 75мм/кв")</f>
        <v>Наконечник алюм. 75мм/кв</v>
      </c>
      <c r="C156" s="59" t="s">
        <v>6</v>
      </c>
      <c r="D156" s="59">
        <v>10</v>
      </c>
      <c r="E156" s="91" t="s">
        <v>286</v>
      </c>
    </row>
    <row r="157" spans="1:5">
      <c r="A157" s="21">
        <f t="shared" si="5"/>
        <v>156</v>
      </c>
      <c r="B157" s="85" t="str">
        <f ca="1">IFERROR(__xludf.DUMMYFUNCTION("GOOGLETRANSLATE(B4533:B4548,""RU"",""UK"")"),"Наконечник алюм. 95мм/кв")</f>
        <v>Наконечник алюм. 95мм/кв</v>
      </c>
      <c r="C157" s="59" t="s">
        <v>6</v>
      </c>
      <c r="D157" s="59">
        <v>10</v>
      </c>
      <c r="E157" s="91" t="s">
        <v>417</v>
      </c>
    </row>
    <row r="158" spans="1:5">
      <c r="A158" s="21">
        <f t="shared" si="5"/>
        <v>157</v>
      </c>
      <c r="B158" s="85" t="str">
        <f ca="1">IFERROR(__xludf.DUMMYFUNCTION("GOOGLETRANSLATE(B4534:B4549,""RU"",""UK"")"),"Накінечник мідний 200мм/кв.")</f>
        <v>Накінечник мідний 200мм/кв.</v>
      </c>
      <c r="C158" s="59" t="s">
        <v>6</v>
      </c>
      <c r="D158" s="59">
        <v>9</v>
      </c>
      <c r="E158" s="91" t="s">
        <v>183</v>
      </c>
    </row>
    <row r="159" spans="1:5">
      <c r="A159" s="21">
        <f t="shared" si="5"/>
        <v>158</v>
      </c>
      <c r="B159" s="85" t="str">
        <f ca="1">IFERROR(__xludf.DUMMYFUNCTION("GOOGLETRANSLATE(B4535:B4550,""RU"",""UK"")"),"Накінечник мідний 280мм/кв.")</f>
        <v>Накінечник мідний 280мм/кв.</v>
      </c>
      <c r="C159" s="59" t="s">
        <v>6</v>
      </c>
      <c r="D159" s="59">
        <v>6</v>
      </c>
      <c r="E159" s="91" t="s">
        <v>2738</v>
      </c>
    </row>
    <row r="160" spans="1:5">
      <c r="A160" s="21">
        <f t="shared" si="5"/>
        <v>159</v>
      </c>
      <c r="B160" s="198" t="str">
        <f ca="1">IFERROR(__xludf.DUMMYFUNCTION("GOOGLETRANSLATE(B4536:B4551,""RU"",""UK"")"),"Кабель АВВГ 3х4+1х2,5")</f>
        <v>Кабель АВВГ 3х4+1х2,5</v>
      </c>
      <c r="C160" s="59" t="s">
        <v>634</v>
      </c>
      <c r="D160" s="59">
        <v>20</v>
      </c>
      <c r="E160" s="91">
        <v>28</v>
      </c>
    </row>
    <row r="161" spans="1:5">
      <c r="A161" s="21">
        <f t="shared" si="5"/>
        <v>160</v>
      </c>
      <c r="B161" s="205" t="str">
        <f ca="1">IFERROR(__xludf.DUMMYFUNCTION("GOOGLETRANSLATE(B4537:B4552,""RU"",""UK"")"),"Кабель мідний КВВГЕ 5х1,0 многожильний екранований")</f>
        <v>Кабель мідний КВВГЕ 5х1,0 многожильний екранований</v>
      </c>
      <c r="C161" s="59" t="s">
        <v>634</v>
      </c>
      <c r="D161" s="59">
        <v>60</v>
      </c>
      <c r="E161" s="91">
        <v>42</v>
      </c>
    </row>
    <row r="162" spans="1:5">
      <c r="A162" s="21">
        <f t="shared" si="5"/>
        <v>161</v>
      </c>
      <c r="B162" s="205" t="str">
        <f ca="1">IFERROR(__xludf.DUMMYFUNCTION("GOOGLETRANSLATE(B4537:B4552,""RU"",""UK"")"),"Кабель мідний КГВГ 5х1,5  монолитна жила")</f>
        <v>Кабель мідний КГВГ 5х1,5  монолитна жила</v>
      </c>
      <c r="C162" s="59" t="s">
        <v>634</v>
      </c>
      <c r="D162" s="59">
        <v>30</v>
      </c>
      <c r="E162" s="91">
        <v>55</v>
      </c>
    </row>
    <row r="163" spans="1:5">
      <c r="A163" s="21">
        <f t="shared" si="5"/>
        <v>162</v>
      </c>
      <c r="B163" s="198" t="s">
        <v>6190</v>
      </c>
      <c r="C163" s="59" t="s">
        <v>6</v>
      </c>
      <c r="D163" s="59">
        <v>1</v>
      </c>
      <c r="E163" s="91">
        <v>400</v>
      </c>
    </row>
    <row r="164" spans="1:5">
      <c r="A164" s="117"/>
      <c r="B164" s="119" t="s">
        <v>6104</v>
      </c>
      <c r="C164" s="118"/>
      <c r="D164" s="118"/>
      <c r="E164" s="120"/>
    </row>
    <row r="165" spans="1:5">
      <c r="A165" s="38">
        <v>1</v>
      </c>
      <c r="B165" s="134" t="str">
        <f ca="1">IFERROR(__xludf.DUMMYFUNCTION("GOOGLETRANSLATE(B4540:B4555,""RU"",""UK"")"),"Шліфмашина кутова VAG10, 1050Вт, 125мм")</f>
        <v>Шліфмашина кутова VAG10, 1050Вт, 125мм</v>
      </c>
      <c r="C165" s="21" t="s">
        <v>6</v>
      </c>
      <c r="D165" s="59">
        <v>1</v>
      </c>
      <c r="E165" s="91" t="s">
        <v>948</v>
      </c>
    </row>
    <row r="166" spans="1:5">
      <c r="A166" s="68"/>
      <c r="B166" s="119" t="s">
        <v>6105</v>
      </c>
      <c r="C166" s="69"/>
      <c r="D166" s="69"/>
      <c r="E166" s="106"/>
    </row>
    <row r="167" spans="1:5">
      <c r="A167" s="21">
        <v>1</v>
      </c>
      <c r="B167" s="47" t="str">
        <f ca="1">IFERROR(__xludf.DUMMYFUNCTION("GOOGLETRANSLATE(B4542:B4557,""RU"",""UK"")"),"Насос на станині К8/18) без ел.")</f>
        <v>Насос на станині К8/18) без ел.</v>
      </c>
      <c r="C167" s="59" t="s">
        <v>6</v>
      </c>
      <c r="D167" s="59">
        <v>2</v>
      </c>
      <c r="E167" s="91" t="s">
        <v>73</v>
      </c>
    </row>
    <row r="168" spans="1:5">
      <c r="A168" s="21">
        <v>2</v>
      </c>
      <c r="B168" s="85" t="str">
        <f ca="1">IFERROR(__xludf.DUMMYFUNCTION("GOOGLETRANSLATE(B4543:B4558,""RU"",""UK"")"),"Насос масляний Г12-32 (68МПа)")</f>
        <v>Насос масляний Г12-32 (68МПа)</v>
      </c>
      <c r="C168" s="59" t="s">
        <v>6</v>
      </c>
      <c r="D168" s="59">
        <v>1</v>
      </c>
      <c r="E168" s="91" t="s">
        <v>3538</v>
      </c>
    </row>
    <row r="169" spans="1:5">
      <c r="A169" s="113">
        <v>3</v>
      </c>
      <c r="B169" s="115" t="str">
        <f ca="1">IFERROR(__xludf.DUMMYFUNCTION("GOOGLETRANSLATE(B4544:B4559,""RU"",""UK"")"),"Насос ручний БКФ-4")</f>
        <v>Насос ручний БКФ-4</v>
      </c>
      <c r="C169" s="59" t="s">
        <v>6</v>
      </c>
      <c r="D169" s="59">
        <v>1</v>
      </c>
      <c r="E169" s="91" t="s">
        <v>6001</v>
      </c>
    </row>
    <row r="170" spans="1:5">
      <c r="A170" s="68"/>
      <c r="B170" s="119" t="s">
        <v>6106</v>
      </c>
      <c r="C170" s="69"/>
      <c r="D170" s="69"/>
      <c r="E170" s="106"/>
    </row>
    <row r="171" spans="1:5">
      <c r="A171" s="21">
        <v>1</v>
      </c>
      <c r="B171" s="47" t="str">
        <f ca="1">IFERROR(__xludf.DUMMYFUNCTION("GOOGLETRANSLATE(B4552:B4567,""RU"",""UK"")"),"Тигель алундовий 50х100")</f>
        <v>Тигель алундовий 50х100</v>
      </c>
      <c r="C171" s="59" t="s">
        <v>6</v>
      </c>
      <c r="D171" s="59">
        <v>1</v>
      </c>
      <c r="E171" s="91" t="s">
        <v>140</v>
      </c>
    </row>
    <row r="172" spans="1:5">
      <c r="A172" s="21">
        <v>2</v>
      </c>
      <c r="B172" s="85" t="str">
        <f ca="1">IFERROR(__xludf.DUMMYFUNCTION("GOOGLETRANSLATE(B4553:B4568,""RU"",""UK"")"),"Тигель алундовий 65х125")</f>
        <v>Тигель алундовий 65х125</v>
      </c>
      <c r="C172" s="59" t="s">
        <v>6</v>
      </c>
      <c r="D172" s="59">
        <v>1</v>
      </c>
      <c r="E172" s="91" t="s">
        <v>140</v>
      </c>
    </row>
    <row r="173" spans="1:5">
      <c r="A173" s="21">
        <v>3</v>
      </c>
      <c r="B173" s="115" t="str">
        <f ca="1">IFERROR(__xludf.DUMMYFUNCTION("GOOGLETRANSLATE(B4554:B4569,""RU"",""UK"")"),"Тигель алундовий 68х135")</f>
        <v>Тигель алундовий 68х135</v>
      </c>
      <c r="C173" s="59" t="s">
        <v>6</v>
      </c>
      <c r="D173" s="59">
        <v>2</v>
      </c>
      <c r="E173" s="91" t="s">
        <v>1713</v>
      </c>
    </row>
    <row r="174" spans="1:5">
      <c r="A174" s="68"/>
      <c r="B174" s="119" t="s">
        <v>6107</v>
      </c>
      <c r="C174" s="69"/>
      <c r="D174" s="69"/>
      <c r="E174" s="106"/>
    </row>
    <row r="175" spans="1:5">
      <c r="A175" s="21">
        <v>1</v>
      </c>
      <c r="B175" s="47" t="str">
        <f ca="1">IFERROR(__xludf.DUMMYFUNCTION("GOOGLETRANSLATE(B4556:B4571,""RU"",""UK"")"),"Лист нержавіючий. харчовий 2мм (2.5х1.5м)")</f>
        <v>Лист нержавіючий. харчовий 2мм (2.5х1.5м)</v>
      </c>
      <c r="C175" s="59" t="s">
        <v>6011</v>
      </c>
      <c r="D175" s="59">
        <v>1</v>
      </c>
      <c r="E175" s="91" t="s">
        <v>14</v>
      </c>
    </row>
    <row r="176" spans="1:5">
      <c r="A176" s="21">
        <v>2</v>
      </c>
      <c r="B176" s="85" t="str">
        <f ca="1">IFERROR(__xludf.DUMMYFUNCTION("GOOGLETRANSLATE(B4557:B4572,""RU"",""UK"")"),"Лист нержавіючий. харчовий 3.5мм")</f>
        <v>Лист нержавіючий. харчовий 3.5мм</v>
      </c>
      <c r="C176" s="59" t="s">
        <v>130</v>
      </c>
      <c r="D176" s="59">
        <v>20</v>
      </c>
      <c r="E176" s="91" t="s">
        <v>104</v>
      </c>
    </row>
    <row r="177" spans="1:5">
      <c r="A177" s="21">
        <v>3</v>
      </c>
      <c r="B177" s="85" t="str">
        <f ca="1">IFERROR(__xludf.DUMMYFUNCTION("GOOGLETRANSLATE(B4558:B4573,""RU"",""UK"")"),"Лист мідний 1мм")</f>
        <v>Лист мідний 1мм</v>
      </c>
      <c r="C177" s="59" t="s">
        <v>130</v>
      </c>
      <c r="D177" s="59" t="s">
        <v>6014</v>
      </c>
      <c r="E177" s="91" t="s">
        <v>106</v>
      </c>
    </row>
    <row r="178" spans="1:5">
      <c r="A178" s="21">
        <v>4</v>
      </c>
      <c r="B178" s="85" t="str">
        <f ca="1">IFERROR(__xludf.DUMMYFUNCTION("GOOGLETRANSLATE(B4559:B4574,""RU"",""UK"")"),"Круг  нержавіюче. харчовий d30мм")</f>
        <v>Круг  нержавіюче. харчовий d30мм</v>
      </c>
      <c r="C178" s="59" t="s">
        <v>130</v>
      </c>
      <c r="D178" s="59">
        <v>5</v>
      </c>
      <c r="E178" s="91" t="s">
        <v>226</v>
      </c>
    </row>
    <row r="179" spans="1:5">
      <c r="A179" s="21">
        <v>5</v>
      </c>
      <c r="B179" s="85" t="str">
        <f ca="1">IFERROR(__xludf.DUMMYFUNCTION("GOOGLETRANSLATE(B4560:B4575,""RU"",""UK"")"),"Круг бронзове d10мм")</f>
        <v>Круг бронзове d10мм</v>
      </c>
      <c r="C179" s="59" t="s">
        <v>130</v>
      </c>
      <c r="D179" s="59" t="s">
        <v>5314</v>
      </c>
      <c r="E179" s="91" t="s">
        <v>24</v>
      </c>
    </row>
    <row r="180" spans="1:5">
      <c r="A180" s="21">
        <v>6</v>
      </c>
      <c r="B180" s="85" t="str">
        <f ca="1">IFERROR(__xludf.DUMMYFUNCTION("GOOGLETRANSLATE(B4561:B4576,""RU"",""UK"")"),"Круг бронзове d14мм (1,5м)")</f>
        <v>Круг бронзове d14мм (1,5м)</v>
      </c>
      <c r="C180" s="59" t="s">
        <v>130</v>
      </c>
      <c r="D180" s="59" t="s">
        <v>1230</v>
      </c>
      <c r="E180" s="91" t="s">
        <v>24</v>
      </c>
    </row>
    <row r="181" spans="1:5">
      <c r="A181" s="21">
        <v>7</v>
      </c>
      <c r="B181" s="85" t="str">
        <f ca="1">IFERROR(__xludf.DUMMYFUNCTION("GOOGLETRANSLATE(B4562:B4577,""RU"",""UK"")"),"Прут 6-ти гранний бронзовий 10мм (23см)")</f>
        <v>Прут 6-ти гранний бронзовий 10мм (23см)</v>
      </c>
      <c r="C181" s="59" t="s">
        <v>130</v>
      </c>
      <c r="D181" s="59">
        <v>0.15</v>
      </c>
      <c r="E181" s="91" t="s">
        <v>24</v>
      </c>
    </row>
    <row r="182" spans="1:5">
      <c r="A182" s="21">
        <v>8</v>
      </c>
      <c r="B182" s="85" t="str">
        <f ca="1">IFERROR(__xludf.DUMMYFUNCTION("GOOGLETRANSLATE(B4562:B4577,""RU"",""UK"")"),"Прут 6-ти гранний бронзовий 10мм (105см)")</f>
        <v>Прут 6-ти гранний бронзовий 10мм (105см)</v>
      </c>
      <c r="C182" s="59" t="s">
        <v>130</v>
      </c>
      <c r="D182" s="59">
        <v>0.93</v>
      </c>
      <c r="E182" s="91" t="s">
        <v>24</v>
      </c>
    </row>
    <row r="183" spans="1:5">
      <c r="A183" s="21">
        <v>9</v>
      </c>
      <c r="B183" s="85" t="str">
        <f ca="1">IFERROR(__xludf.DUMMYFUNCTION("GOOGLETRANSLATE(B4562:B4577,""RU"",""UK"")"),"Прут 6-ти гранний бронзовий 10мм (108см)")</f>
        <v>Прут 6-ти гранний бронзовий 10мм (108см)</v>
      </c>
      <c r="C183" s="59" t="s">
        <v>130</v>
      </c>
      <c r="D183" s="59">
        <v>0.95</v>
      </c>
      <c r="E183" s="91" t="s">
        <v>24</v>
      </c>
    </row>
    <row r="184" spans="1:5">
      <c r="A184" s="21">
        <v>10</v>
      </c>
      <c r="B184" s="85" t="str">
        <f ca="1">IFERROR(__xludf.DUMMYFUNCTION("GOOGLETRANSLATE(B4563:B4578,""RU"",""UK"")"),"Прут 6-ти гранний бронзовий 27мм (80мм)")</f>
        <v>Прут 6-ти гранний бронзовий 27мм (80мм)</v>
      </c>
      <c r="C184" s="59" t="s">
        <v>130</v>
      </c>
      <c r="D184" s="59" t="s">
        <v>5271</v>
      </c>
      <c r="E184" s="91" t="s">
        <v>24</v>
      </c>
    </row>
    <row r="185" spans="1:5">
      <c r="A185" s="21">
        <v>11</v>
      </c>
      <c r="B185" s="85" t="str">
        <f ca="1">IFERROR(__xludf.DUMMYFUNCTION("GOOGLETRANSLATE(B4564:B4579,""RU"",""UK"")"),"Круг дюралеалюмінієве Д16Т d50мм")</f>
        <v>Круг дюралеалюмінієве Д16Т d50мм</v>
      </c>
      <c r="C185" s="59" t="s">
        <v>130</v>
      </c>
      <c r="D185" s="59" t="s">
        <v>6022</v>
      </c>
      <c r="E185" s="91" t="s">
        <v>255</v>
      </c>
    </row>
    <row r="186" spans="1:5">
      <c r="A186" s="21">
        <v>12</v>
      </c>
      <c r="B186" s="85" t="str">
        <f ca="1">IFERROR(__xludf.DUMMYFUNCTION("GOOGLETRANSLATE(B4565:B4580,""RU"",""UK"")"),"Круг дюралеалюмінієве Д16Т d60мм (L370мм)")</f>
        <v>Круг дюралеалюмінієве Д16Т d60мм (L370мм)</v>
      </c>
      <c r="C186" s="59" t="s">
        <v>130</v>
      </c>
      <c r="D186" s="59" t="s">
        <v>6024</v>
      </c>
      <c r="E186" s="91" t="s">
        <v>255</v>
      </c>
    </row>
    <row r="187" spans="1:5">
      <c r="A187" s="21">
        <v>13</v>
      </c>
      <c r="B187" s="85" t="str">
        <f ca="1">IFERROR(__xludf.DUMMYFUNCTION("GOOGLETRANSLATE(B4566:B4581,""RU"",""UK"")"),"Круг алюмінієве d25мм")</f>
        <v>Круг алюмінієве d25мм</v>
      </c>
      <c r="C187" s="59" t="s">
        <v>130</v>
      </c>
      <c r="D187" s="59" t="s">
        <v>6026</v>
      </c>
      <c r="E187" s="91" t="s">
        <v>314</v>
      </c>
    </row>
    <row r="188" spans="1:5">
      <c r="A188" s="21">
        <v>14</v>
      </c>
      <c r="B188" s="85" t="str">
        <f ca="1">IFERROR(__xludf.DUMMYFUNCTION("GOOGLETRANSLATE(B4567:B4582,""RU"",""UK"")"),"Круг алюмінієве d38мм")</f>
        <v>Круг алюмінієве d38мм</v>
      </c>
      <c r="C188" s="59" t="s">
        <v>130</v>
      </c>
      <c r="D188" s="59">
        <v>3</v>
      </c>
      <c r="E188" s="91" t="s">
        <v>314</v>
      </c>
    </row>
    <row r="189" spans="1:5">
      <c r="A189" s="21">
        <v>15</v>
      </c>
      <c r="B189" s="85" t="str">
        <f ca="1">IFERROR(__xludf.DUMMYFUNCTION("GOOGLETRANSLATE(B4568:B4583,""RU"",""UK"")"),"Труба алюмінієва 18х2,7 тверд. (2,8м)")</f>
        <v>Труба алюмінієва 18х2,7 тверд. (2,8м)</v>
      </c>
      <c r="C189" s="59" t="s">
        <v>130</v>
      </c>
      <c r="D189" s="59">
        <v>15</v>
      </c>
      <c r="E189" s="91" t="s">
        <v>255</v>
      </c>
    </row>
    <row r="190" spans="1:5">
      <c r="A190" s="21">
        <v>16</v>
      </c>
      <c r="B190" s="85" t="str">
        <f ca="1">IFERROR(__xludf.DUMMYFUNCTION("GOOGLETRANSLATE(B4569:B4584,""RU"",""UK"")"),"Труба алюмінієва 50х3,0 тверд. (1,28м)")</f>
        <v>Труба алюмінієва 50х3,0 тверд. (1,28м)</v>
      </c>
      <c r="C190" s="59" t="s">
        <v>130</v>
      </c>
      <c r="D190" s="59">
        <v>2</v>
      </c>
      <c r="E190" s="91" t="s">
        <v>255</v>
      </c>
    </row>
  </sheetData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9"/>
  <sheetViews>
    <sheetView topLeftCell="A7" zoomScale="210" zoomScaleNormal="210" workbookViewId="0">
      <selection activeCell="D17" sqref="D17"/>
    </sheetView>
  </sheetViews>
  <sheetFormatPr defaultRowHeight="12.75"/>
  <cols>
    <col min="2" max="2" width="54.7109375" customWidth="1"/>
  </cols>
  <sheetData>
    <row r="1" spans="1:5" ht="15.75">
      <c r="B1" s="190" t="s">
        <v>6097</v>
      </c>
    </row>
    <row r="2" spans="1:5">
      <c r="A2" s="21">
        <v>1</v>
      </c>
      <c r="B2" s="85" t="str">
        <f ca="1">IFERROR(__xludf.DUMMYFUNCTION("GOOGLETRANSLATE(B2343:B2358,""RU"",""UK"")"),"Зінківка 14мм 90*")</f>
        <v>Зінківка 14мм 90*</v>
      </c>
      <c r="C2" s="59" t="s">
        <v>6</v>
      </c>
      <c r="D2" s="59">
        <v>1</v>
      </c>
      <c r="E2" s="91">
        <v>210</v>
      </c>
    </row>
    <row r="3" spans="1:5">
      <c r="A3" s="21">
        <v>2</v>
      </c>
      <c r="B3" s="198" t="str">
        <f ca="1">IFERROR(__xludf.DUMMYFUNCTION("GOOGLETRANSLATE(B2343:B2358,""RU"",""UK"")"),"Зінківка 16мм 60*")</f>
        <v>Зінківка 16мм 60*</v>
      </c>
      <c r="C3" s="59" t="s">
        <v>6</v>
      </c>
      <c r="D3" s="59">
        <v>14</v>
      </c>
      <c r="E3" s="91">
        <v>240</v>
      </c>
    </row>
    <row r="4" spans="1:5">
      <c r="A4" s="21">
        <v>3</v>
      </c>
      <c r="B4" s="198" t="str">
        <f ca="1">IFERROR(__xludf.DUMMYFUNCTION("GOOGLETRANSLATE(B2343:B2358,""RU"",""UK"")"),"Зінківка 16мм 90*")</f>
        <v>Зінківка 16мм 90*</v>
      </c>
      <c r="C4" s="59" t="s">
        <v>6</v>
      </c>
      <c r="D4" s="59">
        <v>3</v>
      </c>
      <c r="E4" s="91">
        <v>240</v>
      </c>
    </row>
    <row r="5" spans="1:5">
      <c r="A5" s="21">
        <v>4</v>
      </c>
      <c r="B5" s="198" t="str">
        <f ca="1">IFERROR(__xludf.DUMMYFUNCTION("GOOGLETRANSLATE(B2343:B2358,""RU"",""UK"")"),"Зінківка 16мм 120*")</f>
        <v>Зінківка 16мм 120*</v>
      </c>
      <c r="C5" s="59" t="s">
        <v>6</v>
      </c>
      <c r="D5" s="59">
        <v>16</v>
      </c>
      <c r="E5" s="91">
        <v>240</v>
      </c>
    </row>
    <row r="6" spans="1:5">
      <c r="A6" s="21">
        <v>5</v>
      </c>
      <c r="B6" s="169" t="str">
        <f ca="1">IFERROR(__xludf.DUMMYFUNCTION("GOOGLETRANSLATE(B2344:B2359,""RU"",""UK"")"),"Зінківка 22мм 60* Р18")</f>
        <v>Зінківка 22мм 60* Р18</v>
      </c>
      <c r="C6" s="59" t="s">
        <v>6</v>
      </c>
      <c r="D6" s="59">
        <v>1</v>
      </c>
      <c r="E6" s="91">
        <v>300</v>
      </c>
    </row>
    <row r="7" spans="1:5">
      <c r="A7" s="21">
        <v>6</v>
      </c>
      <c r="B7" s="198" t="str">
        <f ca="1">IFERROR(__xludf.DUMMYFUNCTION("GOOGLETRANSLATE(B2344:B2359,""RU"",""UK"")"),"Зінківка 22мм 90*")</f>
        <v>Зінківка 22мм 90*</v>
      </c>
      <c r="C7" s="59" t="s">
        <v>6</v>
      </c>
      <c r="D7" s="59">
        <v>12</v>
      </c>
      <c r="E7" s="91">
        <v>300</v>
      </c>
    </row>
    <row r="8" spans="1:5">
      <c r="A8" s="21">
        <v>7</v>
      </c>
      <c r="B8" s="164" t="str">
        <f ca="1">IFERROR(__xludf.DUMMYFUNCTION("GOOGLETRANSLATE(B2344:B2359,""RU"",""UK"")"),"Зінківка 22мм 120*")</f>
        <v>Зінківка 22мм 120*</v>
      </c>
      <c r="C8" s="59" t="s">
        <v>6</v>
      </c>
      <c r="D8" s="59">
        <v>0</v>
      </c>
      <c r="E8" s="91">
        <v>300</v>
      </c>
    </row>
    <row r="9" spans="1:5">
      <c r="A9" s="21">
        <v>8</v>
      </c>
      <c r="B9" s="198" t="str">
        <f ca="1">IFERROR(__xludf.DUMMYFUNCTION("GOOGLETRANSLATE(B2345:B2360,""RU"",""UK"")"),"Зінківка 24мм 60*")</f>
        <v>Зінківка 24мм 60*</v>
      </c>
      <c r="C9" s="59" t="s">
        <v>6</v>
      </c>
      <c r="D9" s="59">
        <v>4</v>
      </c>
      <c r="E9" s="91">
        <v>330</v>
      </c>
    </row>
    <row r="10" spans="1:5">
      <c r="A10" s="21">
        <v>9</v>
      </c>
      <c r="B10" s="198" t="str">
        <f ca="1">IFERROR(__xludf.DUMMYFUNCTION("GOOGLETRANSLATE(B2345:B2360,""RU"",""UK"")"),"Зінківка 25мм 45*")</f>
        <v>Зінківка 25мм 45*</v>
      </c>
      <c r="C10" s="59" t="s">
        <v>6</v>
      </c>
      <c r="D10" s="59">
        <v>24</v>
      </c>
      <c r="E10" s="91">
        <v>390</v>
      </c>
    </row>
    <row r="11" spans="1:5">
      <c r="A11" s="21">
        <v>10</v>
      </c>
      <c r="B11" s="198" t="str">
        <f ca="1">IFERROR(__xludf.DUMMYFUNCTION("GOOGLETRANSLATE(B2345:B2360,""RU"",""UK"")"),"Зінківка 25мм 60*")</f>
        <v>Зінківка 25мм 60*</v>
      </c>
      <c r="C11" s="59" t="s">
        <v>6</v>
      </c>
      <c r="D11" s="59">
        <v>42</v>
      </c>
      <c r="E11" s="91">
        <v>390</v>
      </c>
    </row>
    <row r="12" spans="1:5">
      <c r="A12" s="21">
        <v>10</v>
      </c>
      <c r="B12" s="198" t="str">
        <f ca="1">IFERROR(__xludf.DUMMYFUNCTION("GOOGLETRANSLATE(B2345:B2360,""RU"",""UK"")"),"Зінківка 25мм 90*")</f>
        <v>Зінківка 25мм 90*</v>
      </c>
      <c r="C12" s="59" t="s">
        <v>6</v>
      </c>
      <c r="D12" s="59">
        <v>12</v>
      </c>
      <c r="E12" s="91">
        <v>390</v>
      </c>
    </row>
    <row r="13" spans="1:5">
      <c r="A13" s="21">
        <v>11</v>
      </c>
      <c r="B13" s="198" t="str">
        <f ca="1">IFERROR(__xludf.DUMMYFUNCTION("GOOGLETRANSLATE(B2346:B2361,""RU"",""UK"")"),"Зінківка 25мм 120*")</f>
        <v>Зінківка 25мм 120*</v>
      </c>
      <c r="C13" s="59" t="s">
        <v>6</v>
      </c>
      <c r="D13" s="59">
        <v>47</v>
      </c>
      <c r="E13" s="91">
        <v>390</v>
      </c>
    </row>
    <row r="14" spans="1:5">
      <c r="A14" s="21">
        <v>12</v>
      </c>
      <c r="B14" s="198" t="str">
        <f ca="1">IFERROR(__xludf.DUMMYFUNCTION("GOOGLETRANSLATE(B2348:B2363,""RU"",""UK"")"),"Зінківка 31,5мм 10*")</f>
        <v>Зінківка 31,5мм 10*</v>
      </c>
      <c r="C14" s="59" t="s">
        <v>6</v>
      </c>
      <c r="D14" s="59">
        <v>2</v>
      </c>
      <c r="E14" s="91">
        <v>510</v>
      </c>
    </row>
    <row r="15" spans="1:5">
      <c r="A15" s="21">
        <v>13</v>
      </c>
      <c r="B15" s="198" t="str">
        <f ca="1">IFERROR(__xludf.DUMMYFUNCTION("GOOGLETRANSLATE(B2348:B2363,""RU"",""UK"")"),"Зінківка 31,5мм 60*")</f>
        <v>Зінківка 31,5мм 60*</v>
      </c>
      <c r="C15" s="171" t="s">
        <v>6</v>
      </c>
      <c r="D15" s="171">
        <v>7</v>
      </c>
      <c r="E15" s="173">
        <v>510</v>
      </c>
    </row>
    <row r="16" spans="1:5">
      <c r="A16" s="21">
        <v>14</v>
      </c>
      <c r="B16" s="198" t="str">
        <f ca="1">IFERROR(__xludf.DUMMYFUNCTION("GOOGLETRANSLATE(B2348:B2363,""RU"",""UK"")"),"Зінківка 31,5мм 90*")</f>
        <v>Зінківка 31,5мм 90*</v>
      </c>
      <c r="C16" s="59" t="s">
        <v>6</v>
      </c>
      <c r="D16" s="59">
        <v>19</v>
      </c>
      <c r="E16" s="91">
        <v>510</v>
      </c>
    </row>
    <row r="17" spans="1:5">
      <c r="A17" s="21">
        <v>15</v>
      </c>
      <c r="B17" s="198" t="str">
        <f ca="1">IFERROR(__xludf.DUMMYFUNCTION("GOOGLETRANSLATE(B2349:B2364,""RU"",""UK"")"),"Зінківка 31,5мм 120*")</f>
        <v>Зінківка 31,5мм 120*</v>
      </c>
      <c r="C17" s="59" t="s">
        <v>6</v>
      </c>
      <c r="D17" s="59">
        <v>12</v>
      </c>
      <c r="E17" s="91">
        <v>510</v>
      </c>
    </row>
    <row r="18" spans="1:5">
      <c r="A18" s="21">
        <v>16</v>
      </c>
      <c r="B18" s="198" t="str">
        <f ca="1">IFERROR(__xludf.DUMMYFUNCTION("GOOGLETRANSLATE(B2350:B2365,""RU"",""UK"")"),"Зінківка 32мм 60*")</f>
        <v>Зінківка 32мм 60*</v>
      </c>
      <c r="C18" s="59" t="s">
        <v>6</v>
      </c>
      <c r="D18" s="160">
        <v>15</v>
      </c>
      <c r="E18" s="91">
        <v>540</v>
      </c>
    </row>
    <row r="19" spans="1:5">
      <c r="A19" s="21">
        <v>17</v>
      </c>
      <c r="B19" s="198" t="str">
        <f ca="1">IFERROR(__xludf.DUMMYFUNCTION("GOOGLETRANSLATE(B2350:B2365,""RU"",""UK"")"),"Зінківка 32мм 90*")</f>
        <v>Зінківка 32мм 90*</v>
      </c>
      <c r="C19" s="59" t="s">
        <v>6</v>
      </c>
      <c r="D19" s="160">
        <v>16</v>
      </c>
      <c r="E19" s="91">
        <v>540</v>
      </c>
    </row>
    <row r="20" spans="1:5">
      <c r="A20" s="21">
        <v>18</v>
      </c>
      <c r="B20" s="198" t="str">
        <f ca="1">IFERROR(__xludf.DUMMYFUNCTION("GOOGLETRANSLATE(B2350:B2365,""RU"",""UK"")"),"Зінківка 32мм 120*")</f>
        <v>Зінківка 32мм 120*</v>
      </c>
      <c r="C20" s="59" t="s">
        <v>6</v>
      </c>
      <c r="D20" s="160">
        <v>4</v>
      </c>
      <c r="E20" s="91">
        <v>540</v>
      </c>
    </row>
    <row r="21" spans="1:5">
      <c r="A21" s="21">
        <v>17</v>
      </c>
      <c r="B21" s="198" t="str">
        <f ca="1">IFERROR(__xludf.DUMMYFUNCTION("GOOGLETRANSLATE(B2351:B2366,""RU"",""UK"")"),"Зінківка 40мм 60*")</f>
        <v>Зінківка 40мм 60*</v>
      </c>
      <c r="C21" s="59" t="s">
        <v>6</v>
      </c>
      <c r="D21" s="59">
        <v>3</v>
      </c>
      <c r="E21" s="91">
        <v>600</v>
      </c>
    </row>
    <row r="22" spans="1:5">
      <c r="A22" s="21">
        <v>18</v>
      </c>
      <c r="B22" s="164" t="str">
        <f ca="1">IFERROR(__xludf.DUMMYFUNCTION("GOOGLETRANSLATE(B2351:B2366,""RU"",""UK"")"),"Зінківка 40мм 90*")</f>
        <v>Зінківка 40мм 90*</v>
      </c>
      <c r="C22" s="59" t="s">
        <v>6</v>
      </c>
      <c r="D22" s="59">
        <v>1</v>
      </c>
      <c r="E22" s="91">
        <v>600</v>
      </c>
    </row>
    <row r="23" spans="1:5">
      <c r="A23" s="21">
        <v>19</v>
      </c>
      <c r="B23" s="198" t="str">
        <f ca="1">IFERROR(__xludf.DUMMYFUNCTION("GOOGLETRANSLATE(B2351:B2366,""RU"",""UK"")"),"Зінківка 40мм 120*")</f>
        <v>Зінківка 40мм 120*</v>
      </c>
      <c r="C23" s="59" t="s">
        <v>6</v>
      </c>
      <c r="D23" s="59">
        <v>13</v>
      </c>
      <c r="E23" s="91">
        <v>600</v>
      </c>
    </row>
    <row r="24" spans="1:5">
      <c r="A24" s="21">
        <v>19</v>
      </c>
      <c r="B24" s="169" t="str">
        <f ca="1">IFERROR(__xludf.DUMMYFUNCTION("GOOGLETRANSLATE(B2352:B2367,""RU"",""UK"")"),"Зінківка 45мм 60*")</f>
        <v>Зінківка 45мм 60*</v>
      </c>
      <c r="C24" s="59" t="s">
        <v>6</v>
      </c>
      <c r="D24" s="160">
        <v>1</v>
      </c>
      <c r="E24" s="91">
        <v>690</v>
      </c>
    </row>
    <row r="25" spans="1:5">
      <c r="A25" s="21">
        <v>19</v>
      </c>
      <c r="B25" s="169" t="str">
        <f ca="1">IFERROR(__xludf.DUMMYFUNCTION("GOOGLETRANSLATE(B2352:B2367,""RU"",""UK"")"),"Зінківка 45мм 75*")</f>
        <v>Зінківка 45мм 75*</v>
      </c>
      <c r="C25" s="59" t="s">
        <v>6</v>
      </c>
      <c r="D25" s="160">
        <v>1</v>
      </c>
      <c r="E25" s="91">
        <v>690</v>
      </c>
    </row>
    <row r="26" spans="1:5">
      <c r="A26" s="208">
        <v>21</v>
      </c>
      <c r="B26" s="169" t="str">
        <f ca="1">IFERROR(__xludf.DUMMYFUNCTION("GOOGLETRANSLATE(B2352:B2367,""RU"",""UK"")"),"Зінківка 45мм 90*")</f>
        <v>Зінківка 45мм 90*</v>
      </c>
      <c r="C26" s="59" t="s">
        <v>6</v>
      </c>
      <c r="D26" s="160">
        <v>4</v>
      </c>
      <c r="E26" s="91">
        <v>690</v>
      </c>
    </row>
    <row r="27" spans="1:5">
      <c r="A27" s="208">
        <v>21</v>
      </c>
      <c r="B27" s="198" t="str">
        <f ca="1">IFERROR(__xludf.DUMMYFUNCTION("GOOGLETRANSLATE(B2352:B2367,""RU"",""UK"")"),"Зінківка 45мм 120*")</f>
        <v>Зінківка 45мм 120*</v>
      </c>
      <c r="C27" s="59" t="s">
        <v>6</v>
      </c>
      <c r="D27" s="160">
        <v>4</v>
      </c>
      <c r="E27" s="91">
        <v>690</v>
      </c>
    </row>
    <row r="28" spans="1:5">
      <c r="A28" s="208">
        <v>23</v>
      </c>
      <c r="B28" s="85" t="str">
        <f ca="1">IFERROR(__xludf.DUMMYFUNCTION("GOOGLETRANSLATE(B2352:B2367,""RU"",""UK"")"),"Зінківка насадна з оправкою КМ2 48мм(37-48мм) 75*")</f>
        <v>Зінківка насадна з оправкою КМ2 48мм(37-48мм) 75*</v>
      </c>
      <c r="C28" s="59" t="s">
        <v>6</v>
      </c>
      <c r="D28" s="160">
        <v>1</v>
      </c>
      <c r="E28" s="91">
        <v>690</v>
      </c>
    </row>
    <row r="29" spans="1:5">
      <c r="A29" s="208">
        <v>24</v>
      </c>
      <c r="B29" s="85" t="str">
        <f ca="1">IFERROR(__xludf.DUMMYFUNCTION("GOOGLETRANSLATE(B2353:B2368,""RU"",""UK"")"),"Зінківка 55мм 90*")</f>
        <v>Зінківка 55мм 90*</v>
      </c>
      <c r="C29" s="59" t="s">
        <v>6</v>
      </c>
      <c r="D29" s="59">
        <v>1</v>
      </c>
      <c r="E29" s="91">
        <v>780</v>
      </c>
    </row>
    <row r="30" spans="1:5">
      <c r="A30" s="208">
        <v>25</v>
      </c>
      <c r="B30" s="198" t="str">
        <f ca="1">IFERROR(__xludf.DUMMYFUNCTION("GOOGLETRANSLATE(B2354:B2369,""RU"",""UK"")"),"Зінківка 80мм 90* вжив.")</f>
        <v>Зінківка 80мм 90* вжив.</v>
      </c>
      <c r="C30" s="59" t="s">
        <v>6</v>
      </c>
      <c r="D30" s="59">
        <v>1</v>
      </c>
      <c r="E30" s="91">
        <v>780</v>
      </c>
    </row>
    <row r="31" spans="1:5">
      <c r="A31" s="208">
        <v>26</v>
      </c>
      <c r="B31" s="85" t="str">
        <f ca="1">IFERROR(__xludf.DUMMYFUNCTION("GOOGLETRANSLATE(B2355:B2370,""RU"",""UK"")"),"Зенкер маш. Р6М5 7мм")</f>
        <v>Зенкер маш. Р6М5 7мм</v>
      </c>
      <c r="C31" s="59" t="s">
        <v>6</v>
      </c>
      <c r="D31" s="59">
        <v>1</v>
      </c>
      <c r="E31" s="91" t="s">
        <v>2430</v>
      </c>
    </row>
    <row r="32" spans="1:5">
      <c r="A32" s="21">
        <v>27</v>
      </c>
      <c r="B32" s="85" t="str">
        <f ca="1">IFERROR(__xludf.DUMMYFUNCTION("GOOGLETRANSLATE(B2355:B2370,""RU"",""UK"")"),"Зенкер маш. Р6М5 11мм")</f>
        <v>Зенкер маш. Р6М5 11мм</v>
      </c>
      <c r="C32" s="59" t="s">
        <v>6</v>
      </c>
      <c r="D32" s="59">
        <v>9</v>
      </c>
      <c r="E32" s="91" t="s">
        <v>2430</v>
      </c>
    </row>
    <row r="33" spans="1:5">
      <c r="A33" s="21">
        <f t="shared" ref="A33:A58" si="0">A32+1</f>
        <v>28</v>
      </c>
      <c r="B33" s="85" t="str">
        <f ca="1">IFERROR(__xludf.DUMMYFUNCTION("GOOGLETRANSLATE(B2355:B2370,""RU"",""UK"")"),"Зенкер маш. Р18 11,9х380 (80)мм удл")</f>
        <v>Зенкер маш. Р18 11,9х380 (80)мм удл</v>
      </c>
      <c r="C33" s="59" t="s">
        <v>6</v>
      </c>
      <c r="D33" s="59">
        <v>1</v>
      </c>
      <c r="E33" s="91">
        <v>150</v>
      </c>
    </row>
    <row r="34" spans="1:5">
      <c r="A34" s="21">
        <f t="shared" si="0"/>
        <v>29</v>
      </c>
      <c r="B34" s="85" t="str">
        <f ca="1">IFERROR(__xludf.DUMMYFUNCTION("GOOGLETRANSLATE(B2355:B2370,""RU"",""UK"")"),"Зенкер маш. Р6М5 12мм")</f>
        <v>Зенкер маш. Р6М5 12мм</v>
      </c>
      <c r="C34" s="59" t="s">
        <v>6</v>
      </c>
      <c r="D34" s="59">
        <v>4</v>
      </c>
      <c r="E34" s="91">
        <v>150</v>
      </c>
    </row>
    <row r="35" spans="1:5">
      <c r="A35" s="21">
        <f t="shared" si="0"/>
        <v>30</v>
      </c>
      <c r="B35" s="85" t="str">
        <f ca="1">IFERROR(__xludf.DUMMYFUNCTION("GOOGLETRANSLATE(B2356:B2371,""RU"",""UK"")"),"Зенкер маш. Р6М5 13.0мм")</f>
        <v>Зенкер маш. Р6М5 13.0мм</v>
      </c>
      <c r="C35" s="59" t="s">
        <v>6</v>
      </c>
      <c r="D35" s="59">
        <v>13</v>
      </c>
      <c r="E35" s="91">
        <v>160</v>
      </c>
    </row>
    <row r="36" spans="1:5">
      <c r="A36" s="21">
        <f t="shared" si="0"/>
        <v>31</v>
      </c>
      <c r="B36" s="85" t="str">
        <f ca="1">IFERROR(__xludf.DUMMYFUNCTION("GOOGLETRANSLATE(B2356:B2371,""RU"",""UK"")"),"Зенкер маш. Р6М5 13.85мм")</f>
        <v>Зенкер маш. Р6М5 13.85мм</v>
      </c>
      <c r="C36" s="59" t="s">
        <v>6</v>
      </c>
      <c r="D36" s="59">
        <v>1</v>
      </c>
      <c r="E36" s="91">
        <v>162</v>
      </c>
    </row>
    <row r="37" spans="1:5">
      <c r="A37" s="21">
        <f t="shared" si="0"/>
        <v>32</v>
      </c>
      <c r="B37" s="85" t="str">
        <f ca="1">IFERROR(__xludf.DUMMYFUNCTION("GOOGLETRANSLATE(B2357:B2372,""RU"",""UK"")"),"Зенкер маш. Р6М5 14мм")</f>
        <v>Зенкер маш. Р6М5 14мм</v>
      </c>
      <c r="C37" s="59" t="s">
        <v>6</v>
      </c>
      <c r="D37" s="59">
        <v>15</v>
      </c>
      <c r="E37" s="91">
        <v>180</v>
      </c>
    </row>
    <row r="38" spans="1:5">
      <c r="A38" s="21">
        <f t="shared" si="0"/>
        <v>33</v>
      </c>
      <c r="B38" s="85" t="str">
        <f ca="1">IFERROR(__xludf.DUMMYFUNCTION("GOOGLETRANSLATE(B2358:B2373,""RU"",""UK"")"),"Зенкер маш. т/с 14мм ВК8")</f>
        <v>Зенкер маш. т/с 14мм ВК8</v>
      </c>
      <c r="C38" s="59" t="s">
        <v>6</v>
      </c>
      <c r="D38" s="59">
        <v>16</v>
      </c>
      <c r="E38" s="91" t="s">
        <v>3018</v>
      </c>
    </row>
    <row r="39" spans="1:5">
      <c r="A39" s="21">
        <f t="shared" si="0"/>
        <v>34</v>
      </c>
      <c r="B39" s="85" t="str">
        <f ca="1">IFERROR(__xludf.DUMMYFUNCTION("GOOGLETRANSLATE(B2357:B2372,""RU"",""UK"")"),"Зенкер маш. Р6М5 15мм")</f>
        <v>Зенкер маш. Р6М5 15мм</v>
      </c>
      <c r="C39" s="59" t="s">
        <v>6</v>
      </c>
      <c r="D39" s="59">
        <v>7</v>
      </c>
      <c r="E39" s="91">
        <v>180</v>
      </c>
    </row>
    <row r="40" spans="1:5">
      <c r="A40" s="21">
        <f t="shared" si="0"/>
        <v>35</v>
      </c>
      <c r="B40" s="85" t="str">
        <f ca="1">IFERROR(__xludf.DUMMYFUNCTION("GOOGLETRANSLATE(B2358:B2373,""RU"",""UK"")"),"Зенкер маш. т/с 15мм ВК8")</f>
        <v>Зенкер маш. т/с 15мм ВК8</v>
      </c>
      <c r="C40" s="59" t="s">
        <v>6</v>
      </c>
      <c r="D40" s="59">
        <v>11</v>
      </c>
      <c r="E40" s="91" t="s">
        <v>3018</v>
      </c>
    </row>
    <row r="41" spans="1:5">
      <c r="A41" s="21">
        <f t="shared" si="0"/>
        <v>36</v>
      </c>
      <c r="B41" s="85" t="str">
        <f ca="1">IFERROR(__xludf.DUMMYFUNCTION("GOOGLETRANSLATE(B2359:B2374,""RU"",""UK"")"),"Зенкер маш. Р6М5 16мм")</f>
        <v>Зенкер маш. Р6М5 16мм</v>
      </c>
      <c r="C41" s="59" t="s">
        <v>6</v>
      </c>
      <c r="D41" s="59">
        <v>7</v>
      </c>
      <c r="E41" s="91">
        <v>210</v>
      </c>
    </row>
    <row r="42" spans="1:5">
      <c r="A42" s="21">
        <f t="shared" si="0"/>
        <v>37</v>
      </c>
      <c r="B42" s="164" t="str">
        <f ca="1">IFERROR(__xludf.DUMMYFUNCTION("GOOGLETRANSLATE(B2358:B2373,""RU"",""UK"")"),"Зенкер маш. т/с 16мм ВК8")</f>
        <v>Зенкер маш. т/с 16мм ВК8</v>
      </c>
      <c r="C42" s="59" t="s">
        <v>6</v>
      </c>
      <c r="D42" s="59">
        <v>0</v>
      </c>
      <c r="E42" s="91">
        <v>240</v>
      </c>
    </row>
    <row r="43" spans="1:5">
      <c r="A43" s="21">
        <f t="shared" si="0"/>
        <v>38</v>
      </c>
      <c r="B43" s="85" t="str">
        <f ca="1">IFERROR(__xludf.DUMMYFUNCTION("GOOGLETRANSLATE(B2359:B2374,""RU"",""UK"")"),"Зенкер маш. Р6М5 17мм")</f>
        <v>Зенкер маш. Р6М5 17мм</v>
      </c>
      <c r="C43" s="59" t="s">
        <v>6</v>
      </c>
      <c r="D43" s="59">
        <v>7</v>
      </c>
      <c r="E43" s="91">
        <v>222</v>
      </c>
    </row>
    <row r="44" spans="1:5">
      <c r="A44" s="21">
        <f t="shared" si="0"/>
        <v>39</v>
      </c>
      <c r="B44" s="85" t="str">
        <f ca="1">IFERROR(__xludf.DUMMYFUNCTION("GOOGLETRANSLATE(B2360:B2375,""RU"",""UK"")"),"Зенкер маш. Р6М5 18мм")</f>
        <v>Зенкер маш. Р6М5 18мм</v>
      </c>
      <c r="C44" s="59" t="s">
        <v>6</v>
      </c>
      <c r="D44" s="59">
        <v>9</v>
      </c>
      <c r="E44" s="91">
        <v>240</v>
      </c>
    </row>
    <row r="45" spans="1:5">
      <c r="A45" s="21">
        <f t="shared" si="0"/>
        <v>40</v>
      </c>
      <c r="B45" s="85" t="str">
        <f ca="1">IFERROR(__xludf.DUMMYFUNCTION("GOOGLETRANSLATE(B2360:B2375,""RU"",""UK"")"),"Зенкер маш. Р6М5 19мм")</f>
        <v>Зенкер маш. Р6М5 19мм</v>
      </c>
      <c r="C45" s="59" t="s">
        <v>6</v>
      </c>
      <c r="D45" s="59">
        <v>7</v>
      </c>
      <c r="E45" s="91">
        <v>240</v>
      </c>
    </row>
    <row r="46" spans="1:5">
      <c r="A46" s="21">
        <f t="shared" si="0"/>
        <v>41</v>
      </c>
      <c r="B46" s="85" t="str">
        <f ca="1">IFERROR(__xludf.DUMMYFUNCTION("GOOGLETRANSLATE(B2361:B2376,""RU"",""UK"")"),"Зенкер маш. т/с 19мм ВК8")</f>
        <v>Зенкер маш. т/с 19мм ВК8</v>
      </c>
      <c r="C46" s="59" t="s">
        <v>6</v>
      </c>
      <c r="D46" s="191">
        <v>9</v>
      </c>
      <c r="E46" s="91">
        <v>270</v>
      </c>
    </row>
    <row r="47" spans="1:5">
      <c r="A47" s="21">
        <f t="shared" si="0"/>
        <v>42</v>
      </c>
      <c r="B47" s="85" t="str">
        <f ca="1">IFERROR(__xludf.DUMMYFUNCTION("GOOGLETRANSLATE(B2361:B2376,""RU"",""UK"")"),"Зенкер маш. т/с 19.8мм ВК8")</f>
        <v>Зенкер маш. т/с 19.8мм ВК8</v>
      </c>
      <c r="C47" s="59" t="s">
        <v>6</v>
      </c>
      <c r="D47" s="191">
        <v>1</v>
      </c>
      <c r="E47" s="91">
        <v>270</v>
      </c>
    </row>
    <row r="48" spans="1:5">
      <c r="A48" s="21">
        <f t="shared" si="0"/>
        <v>43</v>
      </c>
      <c r="B48" s="85" t="str">
        <f ca="1">IFERROR(__xludf.DUMMYFUNCTION("GOOGLETRANSLATE(B2362:B2377,""RU"",""UK"")"),"Зенкер маш. Р6М5 20мм")</f>
        <v>Зенкер маш. Р6М5 20мм</v>
      </c>
      <c r="C48" s="59" t="s">
        <v>6</v>
      </c>
      <c r="D48" s="59">
        <v>7</v>
      </c>
      <c r="E48" s="91">
        <v>250</v>
      </c>
    </row>
    <row r="49" spans="1:5">
      <c r="A49" s="21">
        <f t="shared" si="0"/>
        <v>44</v>
      </c>
      <c r="B49" s="85" t="str">
        <f ca="1">IFERROR(__xludf.DUMMYFUNCTION("GOOGLETRANSLATE(B2363:B2378,""RU"",""UK"")"),"Зенкер маш. Р6М5 20х340мм")</f>
        <v>Зенкер маш. Р6М5 20х340мм</v>
      </c>
      <c r="C49" s="59" t="s">
        <v>6</v>
      </c>
      <c r="D49" s="59">
        <v>1</v>
      </c>
      <c r="E49" s="91" t="s">
        <v>20</v>
      </c>
    </row>
    <row r="50" spans="1:5">
      <c r="A50" s="21">
        <f t="shared" si="0"/>
        <v>45</v>
      </c>
      <c r="B50" s="85" t="str">
        <f ca="1">IFERROR(__xludf.DUMMYFUNCTION("GOOGLETRANSLATE(B2363:B2378,""RU"",""UK"")"),"Зенкер маш. Р6М5 20х370 (120)мм")</f>
        <v>Зенкер маш. Р6М5 20х370 (120)мм</v>
      </c>
      <c r="C50" s="59" t="s">
        <v>6</v>
      </c>
      <c r="D50" s="59">
        <v>1</v>
      </c>
      <c r="E50" s="91" t="s">
        <v>20</v>
      </c>
    </row>
    <row r="51" spans="1:5">
      <c r="A51" s="21">
        <f t="shared" si="0"/>
        <v>46</v>
      </c>
      <c r="B51" s="85" t="str">
        <f ca="1">IFERROR(__xludf.DUMMYFUNCTION("GOOGLETRANSLATE(B2364:B2379,""RU"",""UK"")"),"Зенкер маш. т/с 20мм ВК8")</f>
        <v>Зенкер маш. т/с 20мм ВК8</v>
      </c>
      <c r="C51" s="59" t="s">
        <v>6</v>
      </c>
      <c r="D51" s="59">
        <v>3</v>
      </c>
      <c r="E51" s="91" t="s">
        <v>3231</v>
      </c>
    </row>
    <row r="52" spans="1:5">
      <c r="A52" s="21">
        <f t="shared" si="0"/>
        <v>47</v>
      </c>
      <c r="B52" s="85" t="str">
        <f ca="1">IFERROR(__xludf.DUMMYFUNCTION("GOOGLETRANSLATE(B2364:B2379,""RU"",""UK"")"),"Зенкер маш. т/с 20мм Т5К10")</f>
        <v>Зенкер маш. т/с 20мм Т5К10</v>
      </c>
      <c r="C52" s="59" t="s">
        <v>6</v>
      </c>
      <c r="D52" s="59">
        <v>12</v>
      </c>
      <c r="E52" s="91" t="s">
        <v>3231</v>
      </c>
    </row>
    <row r="53" spans="1:5">
      <c r="A53" s="21">
        <f t="shared" si="0"/>
        <v>48</v>
      </c>
      <c r="B53" s="85" t="str">
        <f ca="1">IFERROR(__xludf.DUMMYFUNCTION("GOOGLETRANSLATE(B2362:B2377,""RU"",""UK"")"),"Зенкер маш. Р6М5 21мм")</f>
        <v>Зенкер маш. Р6М5 21мм</v>
      </c>
      <c r="C53" s="59" t="s">
        <v>6</v>
      </c>
      <c r="D53" s="59">
        <v>11</v>
      </c>
      <c r="E53" s="91">
        <v>250</v>
      </c>
    </row>
    <row r="54" spans="1:5">
      <c r="A54" s="21">
        <f t="shared" si="0"/>
        <v>49</v>
      </c>
      <c r="B54" s="85" t="str">
        <f ca="1">IFERROR(__xludf.DUMMYFUNCTION("GOOGLETRANSLATE(B2365:B2380,""RU"",""UK"")"),"Зенкер маш. т/с 21мм ВК8 ")</f>
        <v xml:space="preserve">Зенкер маш. т/с 21мм ВК8 </v>
      </c>
      <c r="C54" s="59" t="s">
        <v>6</v>
      </c>
      <c r="D54" s="59">
        <v>10</v>
      </c>
      <c r="E54" s="91" t="s">
        <v>1744</v>
      </c>
    </row>
    <row r="55" spans="1:5">
      <c r="A55" s="21">
        <f t="shared" si="0"/>
        <v>50</v>
      </c>
      <c r="B55" s="85" t="str">
        <f ca="1">IFERROR(__xludf.DUMMYFUNCTION("GOOGLETRANSLATE(B2365:B2380,""RU"",""UK"")"),"Зенкер маш. т/с 22мм ВК8")</f>
        <v>Зенкер маш. т/с 22мм ВК8</v>
      </c>
      <c r="C55" s="59" t="s">
        <v>6</v>
      </c>
      <c r="D55" s="59">
        <v>17</v>
      </c>
      <c r="E55" s="91" t="s">
        <v>1744</v>
      </c>
    </row>
    <row r="56" spans="1:5">
      <c r="A56" s="21">
        <f t="shared" si="0"/>
        <v>51</v>
      </c>
      <c r="B56" s="85" t="str">
        <f ca="1">IFERROR(__xludf.DUMMYFUNCTION("GOOGLETRANSLATE(B2366:B2381,""RU"",""UK"")"),"Зенкер маш. Р6М5 22мм")</f>
        <v>Зенкер маш. Р6М5 22мм</v>
      </c>
      <c r="C56" s="59" t="s">
        <v>6</v>
      </c>
      <c r="D56" s="59">
        <v>9</v>
      </c>
      <c r="E56" s="91">
        <v>300</v>
      </c>
    </row>
    <row r="57" spans="1:5">
      <c r="A57" s="21">
        <f t="shared" si="0"/>
        <v>52</v>
      </c>
      <c r="B57" s="85" t="str">
        <f ca="1">IFERROR(__xludf.DUMMYFUNCTION("GOOGLETRANSLATE(B2366:B2381,""RU"",""UK"")"),"Зенкер маш. Р6М5 23мм")</f>
        <v>Зенкер маш. Р6М5 23мм</v>
      </c>
      <c r="C57" s="59" t="s">
        <v>6</v>
      </c>
      <c r="D57" s="59">
        <v>3</v>
      </c>
      <c r="E57" s="91">
        <v>300</v>
      </c>
    </row>
    <row r="58" spans="1:5">
      <c r="A58" s="21">
        <f t="shared" si="0"/>
        <v>53</v>
      </c>
      <c r="B58" s="85" t="str">
        <f ca="1">IFERROR(__xludf.DUMMYFUNCTION("GOOGLETRANSLATE(B2367:B2382,""RU"",""UK"")"),"Зенкер маш. т/с 23мм ВК8")</f>
        <v>Зенкер маш. т/с 23мм ВК8</v>
      </c>
      <c r="C58" s="59" t="s">
        <v>6</v>
      </c>
      <c r="D58" s="59">
        <v>7</v>
      </c>
      <c r="E58" s="91">
        <v>360</v>
      </c>
    </row>
    <row r="59" spans="1:5">
      <c r="A59" s="21">
        <f t="shared" ref="A59:A80" si="1">A58+1</f>
        <v>54</v>
      </c>
      <c r="B59" s="85" t="str">
        <f ca="1">IFERROR(__xludf.DUMMYFUNCTION("GOOGLETRANSLATE(B2368:B2383,""RU"",""UK"")"),"Зенкер маш. Р6М5 24мм")</f>
        <v>Зенкер маш. Р6М5 24мм</v>
      </c>
      <c r="C59" s="59" t="s">
        <v>6</v>
      </c>
      <c r="D59" s="59">
        <v>12</v>
      </c>
      <c r="E59" s="91">
        <v>330</v>
      </c>
    </row>
    <row r="60" spans="1:5">
      <c r="A60" s="21">
        <f t="shared" si="1"/>
        <v>55</v>
      </c>
      <c r="B60" s="85" t="str">
        <f ca="1">IFERROR(__xludf.DUMMYFUNCTION("GOOGLETRANSLATE(B2368:B2383,""RU"",""UK"")"),"Зенкер маш. Р6М5 25мм")</f>
        <v>Зенкер маш. Р6М5 25мм</v>
      </c>
      <c r="C60" s="59" t="s">
        <v>6</v>
      </c>
      <c r="D60" s="59">
        <v>10</v>
      </c>
      <c r="E60" s="91">
        <v>360</v>
      </c>
    </row>
    <row r="61" spans="1:5">
      <c r="A61" s="21">
        <f t="shared" si="1"/>
        <v>56</v>
      </c>
      <c r="B61" s="85" t="str">
        <f ca="1">IFERROR(__xludf.DUMMYFUNCTION("GOOGLETRANSLATE(B2369:B2384,""RU"",""UK"")"),"Зенкер маш. т/с 25мм ВК8")</f>
        <v>Зенкер маш. т/с 25мм ВК8</v>
      </c>
      <c r="C61" s="59" t="s">
        <v>6</v>
      </c>
      <c r="D61" s="59">
        <v>7</v>
      </c>
      <c r="E61" s="91" t="s">
        <v>3240</v>
      </c>
    </row>
    <row r="62" spans="1:5">
      <c r="A62" s="21">
        <f t="shared" si="1"/>
        <v>57</v>
      </c>
      <c r="B62" s="85" t="str">
        <f ca="1">IFERROR(__xludf.DUMMYFUNCTION("GOOGLETRANSLATE(B2370:B2385,""RU"",""UK"")"),"Зенкер маш. Р6М5 26мм")</f>
        <v>Зенкер маш. Р6М5 26мм</v>
      </c>
      <c r="C62" s="59" t="s">
        <v>6</v>
      </c>
      <c r="D62" s="59">
        <v>12</v>
      </c>
      <c r="E62" s="91">
        <v>390</v>
      </c>
    </row>
    <row r="63" spans="1:5">
      <c r="A63" s="21">
        <f t="shared" si="1"/>
        <v>58</v>
      </c>
      <c r="B63" s="85" t="str">
        <f ca="1">IFERROR(__xludf.DUMMYFUNCTION("GOOGLETRANSLATE(B2369:B2384,""RU"",""UK"")"),"Зенкер маш. т/с 26мм ВК8")</f>
        <v>Зенкер маш. т/с 26мм ВК8</v>
      </c>
      <c r="C63" s="59" t="s">
        <v>6</v>
      </c>
      <c r="D63" s="59">
        <v>1</v>
      </c>
      <c r="E63" s="91">
        <v>420</v>
      </c>
    </row>
    <row r="64" spans="1:5">
      <c r="A64" s="21">
        <f t="shared" si="1"/>
        <v>59</v>
      </c>
      <c r="B64" s="85" t="str">
        <f ca="1">IFERROR(__xludf.DUMMYFUNCTION("GOOGLETRANSLATE(B2370:B2385,""RU"",""UK"")"),"Зенкер маш. Р6М5 27мм")</f>
        <v>Зенкер маш. Р6М5 27мм</v>
      </c>
      <c r="C64" s="59" t="s">
        <v>6</v>
      </c>
      <c r="D64" s="160">
        <v>3</v>
      </c>
      <c r="E64" s="91">
        <v>390</v>
      </c>
    </row>
    <row r="65" spans="1:5">
      <c r="A65" s="21">
        <f t="shared" si="1"/>
        <v>60</v>
      </c>
      <c r="B65" s="85" t="str">
        <f ca="1">IFERROR(__xludf.DUMMYFUNCTION("GOOGLETRANSLATE(B2369:B2384,""RU"",""UK"")"),"Зенкер маш. т/с 27мм ВК8")</f>
        <v>Зенкер маш. т/с 27мм ВК8</v>
      </c>
      <c r="C65" s="59" t="s">
        <v>6</v>
      </c>
      <c r="D65" s="59">
        <v>2</v>
      </c>
      <c r="E65" s="91">
        <v>420</v>
      </c>
    </row>
    <row r="66" spans="1:5">
      <c r="A66" s="21">
        <f t="shared" si="1"/>
        <v>61</v>
      </c>
      <c r="B66" s="85" t="str">
        <f ca="1">IFERROR(__xludf.DUMMYFUNCTION("GOOGLETRANSLATE(B2370:B2385,""RU"",""UK"")"),"Зенкер маш. Р6М5 28мм")</f>
        <v>Зенкер маш. Р6М5 28мм</v>
      </c>
      <c r="C66" s="59" t="s">
        <v>6</v>
      </c>
      <c r="D66" s="160">
        <v>2</v>
      </c>
      <c r="E66" s="91">
        <v>390</v>
      </c>
    </row>
    <row r="67" spans="1:5">
      <c r="A67" s="21">
        <f t="shared" si="1"/>
        <v>62</v>
      </c>
      <c r="B67" s="85" t="str">
        <f ca="1">IFERROR(__xludf.DUMMYFUNCTION("GOOGLETRANSLATE(B2371:B2386,""RU"",""UK"")"),"Зенкер маш. т/с 28ВК8")</f>
        <v>Зенкер маш. т/с 28ВК8</v>
      </c>
      <c r="C67" s="59" t="s">
        <v>6</v>
      </c>
      <c r="D67" s="59">
        <v>4</v>
      </c>
      <c r="E67" s="91" t="s">
        <v>2111</v>
      </c>
    </row>
    <row r="68" spans="1:5">
      <c r="A68" s="21">
        <f t="shared" si="1"/>
        <v>63</v>
      </c>
      <c r="B68" s="85" t="str">
        <f ca="1">IFERROR(__xludf.DUMMYFUNCTION("GOOGLETRANSLATE(B2371:B2386,""RU"",""UK"")"),"Зенкер маш. т/с 30ВК8")</f>
        <v>Зенкер маш. т/с 30ВК8</v>
      </c>
      <c r="C68" s="59" t="s">
        <v>6</v>
      </c>
      <c r="D68" s="59">
        <v>7</v>
      </c>
      <c r="E68" s="91">
        <v>440</v>
      </c>
    </row>
    <row r="69" spans="1:5">
      <c r="A69" s="21">
        <f t="shared" si="1"/>
        <v>64</v>
      </c>
      <c r="B69" s="85" t="str">
        <f ca="1">IFERROR(__xludf.DUMMYFUNCTION("GOOGLETRANSLATE(B2372:B2387,""RU"",""UK"")"),"Зенкер маш. Р6М5 30мм")</f>
        <v>Зенкер маш. Р6М5 30мм</v>
      </c>
      <c r="C69" s="59" t="s">
        <v>6</v>
      </c>
      <c r="D69" s="59">
        <v>4</v>
      </c>
      <c r="E69" s="91">
        <v>450</v>
      </c>
    </row>
    <row r="70" spans="1:5">
      <c r="A70" s="21">
        <f t="shared" si="1"/>
        <v>65</v>
      </c>
      <c r="B70" s="85" t="str">
        <f ca="1">IFERROR(__xludf.DUMMYFUNCTION("GOOGLETRANSLATE(B2373:B2388,""RU"",""UK"")"),"Зенкер маш. Р437 30мм")</f>
        <v>Зенкер маш. Р437 30мм</v>
      </c>
      <c r="C70" s="59" t="s">
        <v>6</v>
      </c>
      <c r="D70" s="59">
        <v>3</v>
      </c>
      <c r="E70" s="91">
        <v>450</v>
      </c>
    </row>
    <row r="71" spans="1:5">
      <c r="A71" s="21">
        <f t="shared" si="1"/>
        <v>66</v>
      </c>
      <c r="B71" s="85" t="str">
        <f ca="1">IFERROR(__xludf.DUMMYFUNCTION("GOOGLETRANSLATE(B2372:B2387,""RU"",""UK"")"),"Зенкер маш. Р6М5 32мм")</f>
        <v>Зенкер маш. Р6М5 32мм</v>
      </c>
      <c r="C71" s="59" t="s">
        <v>6</v>
      </c>
      <c r="D71" s="59">
        <v>2</v>
      </c>
      <c r="E71" s="91">
        <v>450</v>
      </c>
    </row>
    <row r="72" spans="1:5">
      <c r="A72" s="21">
        <f t="shared" si="1"/>
        <v>67</v>
      </c>
      <c r="B72" s="85" t="str">
        <f ca="1">IFERROR(__xludf.DUMMYFUNCTION("GOOGLETRANSLATE(B2374:B2389,""RU"",""UK"")"),"Зенкер маш. т/с 33ВК8")</f>
        <v>Зенкер маш. т/с 33ВК8</v>
      </c>
      <c r="C72" s="59" t="s">
        <v>6</v>
      </c>
      <c r="D72" s="171">
        <v>2</v>
      </c>
      <c r="E72" s="91">
        <v>450</v>
      </c>
    </row>
    <row r="73" spans="1:5">
      <c r="A73" s="21">
        <f t="shared" si="1"/>
        <v>68</v>
      </c>
      <c r="B73" s="85" t="str">
        <f ca="1">IFERROR(__xludf.DUMMYFUNCTION("GOOGLETRANSLATE(B2375:B2390,""RU"",""UK"")"),"Зенкер маш. Р6М5 34мм")</f>
        <v>Зенкер маш. Р6М5 34мм</v>
      </c>
      <c r="C73" s="59" t="s">
        <v>6</v>
      </c>
      <c r="D73" s="59">
        <v>1</v>
      </c>
      <c r="E73" s="91">
        <v>450</v>
      </c>
    </row>
    <row r="74" spans="1:5">
      <c r="A74" s="21">
        <f t="shared" si="1"/>
        <v>69</v>
      </c>
      <c r="B74" s="85" t="str">
        <f ca="1">IFERROR(__xludf.DUMMYFUNCTION("GOOGLETRANSLATE(B2376:B2391,""RU"",""UK"")"),"Зенкер маш. т/с 34ВК8")</f>
        <v>Зенкер маш. т/с 34ВК8</v>
      </c>
      <c r="C74" s="59" t="s">
        <v>6</v>
      </c>
      <c r="D74" s="160">
        <v>4</v>
      </c>
      <c r="E74" s="91">
        <v>450</v>
      </c>
    </row>
    <row r="75" spans="1:5">
      <c r="A75" s="21">
        <f>A74+1</f>
        <v>70</v>
      </c>
      <c r="B75" s="85" t="str">
        <f ca="1">IFERROR(__xludf.DUMMYFUNCTION("GOOGLETRANSLATE(B2376:B2391,""RU"",""UK"")"),"Зенкер маш. т/с 35ВК8")</f>
        <v>Зенкер маш. т/с 35ВК8</v>
      </c>
      <c r="C75" s="59" t="s">
        <v>6</v>
      </c>
      <c r="D75" s="160">
        <v>1</v>
      </c>
      <c r="E75" s="91">
        <v>450</v>
      </c>
    </row>
    <row r="76" spans="1:5">
      <c r="A76" s="21">
        <f t="shared" si="1"/>
        <v>71</v>
      </c>
      <c r="B76" s="85" t="str">
        <f ca="1">IFERROR(__xludf.DUMMYFUNCTION("GOOGLETRANSLATE(B2376:B2391,""RU"",""UK"")"),"Зенкер маш. т/с 35,5ВК8")</f>
        <v>Зенкер маш. т/с 35,5ВК8</v>
      </c>
      <c r="C76" s="59" t="s">
        <v>6</v>
      </c>
      <c r="D76" s="160">
        <v>1</v>
      </c>
      <c r="E76" s="91">
        <v>450</v>
      </c>
    </row>
    <row r="77" spans="1:5">
      <c r="A77" s="21">
        <f t="shared" si="1"/>
        <v>72</v>
      </c>
      <c r="B77" s="85" t="str">
        <f ca="1">IFERROR(__xludf.DUMMYFUNCTION("GOOGLETRANSLATE(B2377:B2392,""RU"",""UK"")"),"Зенкер маш. Р6М5 37мм")</f>
        <v>Зенкер маш. Р6М5 37мм</v>
      </c>
      <c r="C77" s="59" t="s">
        <v>6</v>
      </c>
      <c r="D77" s="59">
        <v>2</v>
      </c>
      <c r="E77" s="91">
        <v>480</v>
      </c>
    </row>
    <row r="78" spans="1:5">
      <c r="A78" s="21">
        <f t="shared" si="1"/>
        <v>73</v>
      </c>
      <c r="B78" s="85" t="str">
        <f ca="1">IFERROR(__xludf.DUMMYFUNCTION("GOOGLETRANSLATE(B2377:B2392,""RU"",""UK"")"),"Зенкер маш. Р6М5 38мм")</f>
        <v>Зенкер маш. Р6М5 38мм</v>
      </c>
      <c r="C78" s="59" t="s">
        <v>6</v>
      </c>
      <c r="D78" s="59">
        <v>3</v>
      </c>
      <c r="E78" s="91">
        <v>480</v>
      </c>
    </row>
    <row r="79" spans="1:5">
      <c r="A79" s="21">
        <f t="shared" si="1"/>
        <v>74</v>
      </c>
      <c r="B79" s="164" t="str">
        <f ca="1">IFERROR(__xludf.DUMMYFUNCTION("GOOGLETRANSLATE(B2378:B2393,""RU"",""UK"")"),"Зенкер маш. т/с 50ВК8")</f>
        <v>Зенкер маш. т/с 50ВК8</v>
      </c>
      <c r="C79" s="59" t="s">
        <v>6</v>
      </c>
      <c r="D79" s="59">
        <v>0</v>
      </c>
      <c r="E79" s="91" t="s">
        <v>78</v>
      </c>
    </row>
    <row r="80" spans="1:5">
      <c r="A80" s="21">
        <f t="shared" si="1"/>
        <v>75</v>
      </c>
      <c r="B80" s="85" t="str">
        <f ca="1">IFERROR(__xludf.DUMMYFUNCTION("GOOGLETRANSLATE(B2379:B2394,""RU"",""UK"")"),"Зенкер насадний Р6М5 28")</f>
        <v>Зенкер насадний Р6М5 28</v>
      </c>
      <c r="C80" s="59" t="s">
        <v>6</v>
      </c>
      <c r="D80" s="59">
        <v>2</v>
      </c>
      <c r="E80" s="91" t="s">
        <v>119</v>
      </c>
    </row>
    <row r="81" spans="1:5">
      <c r="A81" s="21">
        <f t="shared" ref="A81:A119" si="2">A80+1</f>
        <v>76</v>
      </c>
      <c r="B81" s="85" t="str">
        <f ca="1">IFERROR(__xludf.DUMMYFUNCTION("GOOGLETRANSLATE(B2379:B2394,""RU"",""UK"")"),"Зенкер насадний Р6М5 30")</f>
        <v>Зенкер насадний Р6М5 30</v>
      </c>
      <c r="C81" s="59" t="s">
        <v>6</v>
      </c>
      <c r="D81" s="59">
        <v>3</v>
      </c>
      <c r="E81" s="91">
        <v>240</v>
      </c>
    </row>
    <row r="82" spans="1:5">
      <c r="A82" s="21">
        <f t="shared" si="2"/>
        <v>77</v>
      </c>
      <c r="B82" s="85" t="str">
        <f ca="1">IFERROR(__xludf.DUMMYFUNCTION("GOOGLETRANSLATE(B2379:B2394,""RU"",""UK"")"),"Зенкер насадний Р6М5 32")</f>
        <v>Зенкер насадний Р6М5 32</v>
      </c>
      <c r="C82" s="59" t="s">
        <v>6</v>
      </c>
      <c r="D82" s="59">
        <v>1</v>
      </c>
      <c r="E82" s="91">
        <v>240</v>
      </c>
    </row>
    <row r="83" spans="1:5">
      <c r="A83" s="21">
        <f t="shared" si="2"/>
        <v>78</v>
      </c>
      <c r="B83" s="85" t="str">
        <f ca="1">IFERROR(__xludf.DUMMYFUNCTION("GOOGLETRANSLATE(B2380:B2395,""RU"",""UK"")"),"Зенкер насадний Р6М5 34")</f>
        <v>Зенкер насадний Р6М5 34</v>
      </c>
      <c r="C83" s="59" t="s">
        <v>6</v>
      </c>
      <c r="D83" s="160">
        <v>10</v>
      </c>
      <c r="E83" s="91">
        <v>240</v>
      </c>
    </row>
    <row r="84" spans="1:5">
      <c r="A84" s="21">
        <f t="shared" si="2"/>
        <v>79</v>
      </c>
      <c r="B84" s="85" t="str">
        <f ca="1">IFERROR(__xludf.DUMMYFUNCTION("GOOGLETRANSLATE(B2380:B2395,""RU"",""UK"")"),"Зенкер насадний Р6М5 35")</f>
        <v>Зенкер насадний Р6М5 35</v>
      </c>
      <c r="C84" s="59" t="s">
        <v>6</v>
      </c>
      <c r="D84" s="160">
        <v>9</v>
      </c>
      <c r="E84" s="91">
        <v>240</v>
      </c>
    </row>
    <row r="85" spans="1:5">
      <c r="A85" s="21">
        <f t="shared" si="2"/>
        <v>80</v>
      </c>
      <c r="B85" s="85" t="str">
        <f ca="1">IFERROR(__xludf.DUMMYFUNCTION("GOOGLETRANSLATE(B2381:B2396,""RU"",""UK"")"),"Зенкер насадний Р6М5 36№1Р9 / 36№2Р6М5 / 36Р6М5")</f>
        <v>Зенкер насадний Р6М5 36№1Р9 / 36№2Р6М5 / 36Р6М5</v>
      </c>
      <c r="C85" s="59" t="s">
        <v>6</v>
      </c>
      <c r="D85" s="37" t="s">
        <v>3259</v>
      </c>
      <c r="E85" s="91" t="s">
        <v>140</v>
      </c>
    </row>
    <row r="86" spans="1:5">
      <c r="A86" s="21"/>
      <c r="B86" s="85" t="str">
        <f ca="1">IFERROR(__xludf.DUMMYFUNCTION("GOOGLETRANSLATE(B2381:B2396,""RU"",""UK"")"),"Зенкер насадний 36 №1Р18")</f>
        <v>Зенкер насадний 36 №1Р18</v>
      </c>
      <c r="C86" s="59" t="s">
        <v>6</v>
      </c>
      <c r="D86" s="37">
        <v>2</v>
      </c>
      <c r="E86" s="91" t="s">
        <v>140</v>
      </c>
    </row>
    <row r="87" spans="1:5">
      <c r="A87" s="21">
        <f>A85+1</f>
        <v>81</v>
      </c>
      <c r="B87" s="85" t="str">
        <f ca="1">IFERROR(__xludf.DUMMYFUNCTION("GOOGLETRANSLATE(B2382:B2397,""RU"",""UK"")"),"Зенкер насадний Р6М5 37Р6АМ5")</f>
        <v>Зенкер насадний Р6М5 37Р6АМ5</v>
      </c>
      <c r="C87" s="59" t="s">
        <v>6</v>
      </c>
      <c r="D87" s="37">
        <v>9</v>
      </c>
      <c r="E87" s="91" t="s">
        <v>20</v>
      </c>
    </row>
    <row r="88" spans="1:5">
      <c r="A88" s="21">
        <f t="shared" si="2"/>
        <v>82</v>
      </c>
      <c r="B88" s="85" t="str">
        <f ca="1">IFERROR(__xludf.DUMMYFUNCTION("GOOGLETRANSLATE(B2383:B2398,""RU"",""UK"")"),"Зенкер насадний Р6М5 38")</f>
        <v>Зенкер насадний Р6М5 38</v>
      </c>
      <c r="C88" s="59" t="s">
        <v>6</v>
      </c>
      <c r="D88" s="59">
        <v>12</v>
      </c>
      <c r="E88" s="91">
        <v>330</v>
      </c>
    </row>
    <row r="89" spans="1:5">
      <c r="A89" s="21"/>
      <c r="B89" s="85" t="str">
        <f ca="1">IFERROR(__xludf.DUMMYFUNCTION("GOOGLETRANSLATE(B2383:B2398,""RU"",""UK"")"),"Зенкер насадний 38 Р18 №1")</f>
        <v>Зенкер насадний 38 Р18 №1</v>
      </c>
      <c r="C89" s="59" t="s">
        <v>6</v>
      </c>
      <c r="D89" s="59">
        <v>5</v>
      </c>
      <c r="E89" s="91">
        <v>330</v>
      </c>
    </row>
    <row r="90" spans="1:5">
      <c r="A90" s="21">
        <f>A88+1</f>
        <v>83</v>
      </c>
      <c r="B90" s="85" t="str">
        <f ca="1">IFERROR(__xludf.DUMMYFUNCTION("GOOGLETRANSLATE(B2383:B2398,""RU"",""UK"")"),"Зенкер насадний Р6М5 40")</f>
        <v>Зенкер насадний Р6М5 40</v>
      </c>
      <c r="C90" s="59" t="s">
        <v>6</v>
      </c>
      <c r="D90" s="59">
        <v>12</v>
      </c>
      <c r="E90" s="91">
        <v>330</v>
      </c>
    </row>
    <row r="91" spans="1:5">
      <c r="A91" s="21">
        <f t="shared" si="2"/>
        <v>84</v>
      </c>
      <c r="B91" s="85" t="str">
        <f ca="1">IFERROR(__xludf.DUMMYFUNCTION("GOOGLETRANSLATE(B2384:B2399,""RU"",""UK"")"),"Зенкер насадний Р6М5 44 / 45")</f>
        <v>Зенкер насадний Р6М5 44 / 45</v>
      </c>
      <c r="C91" s="59" t="s">
        <v>6</v>
      </c>
      <c r="D91" s="59" t="s">
        <v>3264</v>
      </c>
      <c r="E91" s="91" t="s">
        <v>106</v>
      </c>
    </row>
    <row r="92" spans="1:5">
      <c r="A92" s="21">
        <f t="shared" si="2"/>
        <v>85</v>
      </c>
      <c r="B92" s="85" t="str">
        <f ca="1">IFERROR(__xludf.DUMMYFUNCTION("GOOGLETRANSLATE(B2385:B2400,""RU"",""UK"")"),"Зенкер насадний Р6М5 47 / 48")</f>
        <v>Зенкер насадний Р6М5 47 / 48</v>
      </c>
      <c r="C92" s="59" t="s">
        <v>6</v>
      </c>
      <c r="D92" s="59" t="s">
        <v>3266</v>
      </c>
      <c r="E92" s="91" t="s">
        <v>16</v>
      </c>
    </row>
    <row r="93" spans="1:5">
      <c r="A93" s="21">
        <f t="shared" si="2"/>
        <v>86</v>
      </c>
      <c r="B93" s="85" t="str">
        <f ca="1">IFERROR(__xludf.DUMMYFUNCTION("GOOGLETRANSLATE(B2386:B2401,""RU"",""UK"")"),"Зенкер насадний Р6М5 50/52")</f>
        <v>Зенкер насадний Р6М5 50/52</v>
      </c>
      <c r="C93" s="59" t="s">
        <v>6</v>
      </c>
      <c r="D93" s="59" t="s">
        <v>3268</v>
      </c>
      <c r="E93" s="91" t="s">
        <v>272</v>
      </c>
    </row>
    <row r="94" spans="1:5">
      <c r="A94" s="21">
        <f t="shared" si="2"/>
        <v>87</v>
      </c>
      <c r="B94" s="85" t="str">
        <f ca="1">IFERROR(__xludf.DUMMYFUNCTION("GOOGLETRANSLATE(B2387:B2402,""RU"",""UK"")"),"Зенкер насадний Р6М5 75")</f>
        <v>Зенкер насадний Р6М5 75</v>
      </c>
      <c r="C94" s="59" t="s">
        <v>6</v>
      </c>
      <c r="D94" s="59">
        <v>2</v>
      </c>
      <c r="E94" s="91" t="s">
        <v>27</v>
      </c>
    </row>
    <row r="95" spans="1:5">
      <c r="A95" s="21">
        <f t="shared" si="2"/>
        <v>88</v>
      </c>
      <c r="B95" s="85" t="str">
        <f ca="1">IFERROR(__xludf.DUMMYFUNCTION("GOOGLETRANSLATE(B2388:B2403,""RU"",""UK"")"),"Зенкер насадної т/с 19ВК8")</f>
        <v>Зенкер насадної т/с 19ВК8</v>
      </c>
      <c r="C95" s="59" t="s">
        <v>6</v>
      </c>
      <c r="D95" s="59">
        <v>1</v>
      </c>
      <c r="E95" s="91" t="s">
        <v>319</v>
      </c>
    </row>
    <row r="96" spans="1:5">
      <c r="A96" s="21">
        <f t="shared" si="2"/>
        <v>89</v>
      </c>
      <c r="B96" s="85" t="str">
        <f ca="1">IFERROR(__xludf.DUMMYFUNCTION("GOOGLETRANSLATE(B2389:B2404,""RU"",""UK"")"),"Зенкер насадної т/с 22ВК8 / 24ВК8")</f>
        <v>Зенкер насадної т/с 22ВК8 / 24ВК8</v>
      </c>
      <c r="C96" s="59" t="s">
        <v>6</v>
      </c>
      <c r="D96" s="59" t="s">
        <v>737</v>
      </c>
      <c r="E96" s="91" t="s">
        <v>327</v>
      </c>
    </row>
    <row r="97" spans="1:5">
      <c r="A97" s="21">
        <f t="shared" si="2"/>
        <v>90</v>
      </c>
      <c r="B97" s="85" t="str">
        <f ca="1">IFERROR(__xludf.DUMMYFUNCTION("GOOGLETRANSLATE(B2390:B2405,""RU"",""UK"")"),"Зенкер насадної т/с 28ВК8")</f>
        <v>Зенкер насадної т/с 28ВК8</v>
      </c>
      <c r="C97" s="59" t="s">
        <v>6</v>
      </c>
      <c r="D97" s="59">
        <v>1</v>
      </c>
      <c r="E97" s="91" t="s">
        <v>20</v>
      </c>
    </row>
    <row r="98" spans="1:5">
      <c r="A98" s="21">
        <f t="shared" si="2"/>
        <v>91</v>
      </c>
      <c r="B98" s="85" t="str">
        <f ca="1">IFERROR(__xludf.DUMMYFUNCTION("GOOGLETRANSLATE(B2391:B2406,""RU"",""UK"")"),"Зенкер насадної т/с 32ВК8 / 34ВК8")</f>
        <v>Зенкер насадної т/с 32ВК8 / 34ВК8</v>
      </c>
      <c r="C98" s="59" t="s">
        <v>6</v>
      </c>
      <c r="D98" s="59" t="s">
        <v>793</v>
      </c>
      <c r="E98" s="91" t="s">
        <v>3274</v>
      </c>
    </row>
    <row r="99" spans="1:5">
      <c r="A99" s="21">
        <f t="shared" si="2"/>
        <v>92</v>
      </c>
      <c r="B99" s="85" t="str">
        <f ca="1">IFERROR(__xludf.DUMMYFUNCTION("GOOGLETRANSLATE(B2392:B2407,""RU"",""UK"")"),"Зенкер насадної т/с 35ВК8 / 36ВК8")</f>
        <v>Зенкер насадної т/с 35ВК8 / 36ВК8</v>
      </c>
      <c r="C99" s="59" t="s">
        <v>6</v>
      </c>
      <c r="D99" s="59" t="s">
        <v>3276</v>
      </c>
      <c r="E99" s="91" t="s">
        <v>24</v>
      </c>
    </row>
    <row r="100" spans="1:5">
      <c r="A100" s="21">
        <f t="shared" si="2"/>
        <v>93</v>
      </c>
      <c r="B100" s="85" t="str">
        <f ca="1">IFERROR(__xludf.DUMMYFUNCTION("GOOGLETRANSLATE(B2393:B2408,""RU"",""UK"")"),"Зенкер насадної т/с 38ВК8")</f>
        <v>Зенкер насадної т/с 38ВК8</v>
      </c>
      <c r="C100" s="59" t="s">
        <v>6</v>
      </c>
      <c r="D100" s="160">
        <v>1</v>
      </c>
      <c r="E100" s="91" t="s">
        <v>162</v>
      </c>
    </row>
    <row r="101" spans="1:5">
      <c r="A101" s="21">
        <f t="shared" si="2"/>
        <v>94</v>
      </c>
      <c r="B101" s="169" t="str">
        <f ca="1">IFERROR(__xludf.DUMMYFUNCTION("GOOGLETRANSLATE(B2393:B2408,""RU"",""UK"")"),"Зенкер насадної т/с 40ВК8")</f>
        <v>Зенкер насадної т/с 40ВК8</v>
      </c>
      <c r="C101" s="59" t="s">
        <v>6</v>
      </c>
      <c r="D101" s="160">
        <v>5</v>
      </c>
      <c r="E101" s="91" t="s">
        <v>162</v>
      </c>
    </row>
    <row r="102" spans="1:5">
      <c r="A102" s="21">
        <f t="shared" si="2"/>
        <v>95</v>
      </c>
      <c r="B102" s="85" t="str">
        <f ca="1">IFERROR(__xludf.DUMMYFUNCTION("GOOGLETRANSLATE(B2394:B2409,""RU"",""UK"")"),"Зенкер насадної т/с 45ВК8 / 46ВК8")</f>
        <v>Зенкер насадної т/с 45ВК8 / 46ВК8</v>
      </c>
      <c r="C102" s="59" t="s">
        <v>6</v>
      </c>
      <c r="D102" s="59" t="s">
        <v>700</v>
      </c>
      <c r="E102" s="91" t="s">
        <v>16</v>
      </c>
    </row>
    <row r="103" spans="1:5">
      <c r="A103" s="21">
        <f t="shared" si="2"/>
        <v>96</v>
      </c>
      <c r="B103" s="85" t="str">
        <f ca="1">IFERROR(__xludf.DUMMYFUNCTION("GOOGLETRANSLATE(B2395:B2410,""RU"",""UK"")"),"Зенкер насадної т/с 47ВК8/47,7Т15К6")</f>
        <v>Зенкер насадної т/с 47ВК8/47,7Т15К6</v>
      </c>
      <c r="C103" s="59" t="s">
        <v>6</v>
      </c>
      <c r="D103" s="59" t="s">
        <v>737</v>
      </c>
      <c r="E103" s="91" t="s">
        <v>3281</v>
      </c>
    </row>
    <row r="104" spans="1:5">
      <c r="A104" s="21">
        <f t="shared" si="2"/>
        <v>97</v>
      </c>
      <c r="B104" s="85" t="str">
        <f ca="1">IFERROR(__xludf.DUMMYFUNCTION("GOOGLETRANSLATE(B2396:B2411,""RU"",""UK"")"),"Зенкер насадної т/с 48ВК8/49,3Т5К10")</f>
        <v>Зенкер насадної т/с 48ВК8/49,3Т5К10</v>
      </c>
      <c r="C104" s="59" t="s">
        <v>6</v>
      </c>
      <c r="D104" s="59" t="s">
        <v>686</v>
      </c>
      <c r="E104" s="91" t="s">
        <v>272</v>
      </c>
    </row>
    <row r="105" spans="1:5">
      <c r="A105" s="21">
        <f t="shared" si="2"/>
        <v>98</v>
      </c>
      <c r="B105" s="85" t="str">
        <f ca="1">IFERROR(__xludf.DUMMYFUNCTION("GOOGLETRANSLATE(B2397:B2412,""RU"",""UK"")"),"Зенкер насадної т/с 50ВК8")</f>
        <v>Зенкер насадної т/с 50ВК8</v>
      </c>
      <c r="C105" s="59" t="s">
        <v>6</v>
      </c>
      <c r="D105" s="160">
        <v>16</v>
      </c>
      <c r="E105" s="91" t="s">
        <v>18</v>
      </c>
    </row>
    <row r="106" spans="1:5">
      <c r="A106" s="21">
        <f t="shared" si="2"/>
        <v>99</v>
      </c>
      <c r="B106" s="85" t="str">
        <f ca="1">IFERROR(__xludf.DUMMYFUNCTION("GOOGLETRANSLATE(B2397:B2412,""RU"",""UK"")"),"Зенкер насадної т/с 50Т15К6")</f>
        <v>Зенкер насадної т/с 50Т15К6</v>
      </c>
      <c r="C106" s="59" t="s">
        <v>6</v>
      </c>
      <c r="D106" s="160">
        <v>1</v>
      </c>
      <c r="E106" s="91" t="s">
        <v>18</v>
      </c>
    </row>
    <row r="107" spans="1:5">
      <c r="A107" s="21">
        <f t="shared" si="2"/>
        <v>100</v>
      </c>
      <c r="B107" s="85" t="str">
        <f ca="1">IFERROR(__xludf.DUMMYFUNCTION("GOOGLETRANSLATE(B2398:B2413,""RU"",""UK"")"),"Зенкер насадної т/с 52ВК8")</f>
        <v>Зенкер насадної т/с 52ВК8</v>
      </c>
      <c r="C107" s="59" t="s">
        <v>6</v>
      </c>
      <c r="D107" s="59">
        <v>1</v>
      </c>
      <c r="E107" s="91" t="s">
        <v>413</v>
      </c>
    </row>
    <row r="108" spans="1:5">
      <c r="A108" s="21">
        <f t="shared" si="2"/>
        <v>101</v>
      </c>
      <c r="B108" s="85" t="str">
        <f ca="1">IFERROR(__xludf.DUMMYFUNCTION("GOOGLETRANSLATE(B2398:B2413,""RU"",""UK"")"),"Зенкер насадної т/с 55ВК8")</f>
        <v>Зенкер насадної т/с 55ВК8</v>
      </c>
      <c r="C108" s="59" t="s">
        <v>6</v>
      </c>
      <c r="D108" s="59">
        <v>4</v>
      </c>
      <c r="E108" s="91" t="s">
        <v>413</v>
      </c>
    </row>
    <row r="109" spans="1:5">
      <c r="A109" s="21">
        <f t="shared" si="2"/>
        <v>102</v>
      </c>
      <c r="B109" s="85" t="str">
        <f ca="1">IFERROR(__xludf.DUMMYFUNCTION("GOOGLETRANSLATE(B2398:B2413,""RU"",""UK"")"),"Зенкер насадної т/с 58ВК8")</f>
        <v>Зенкер насадної т/с 58ВК8</v>
      </c>
      <c r="C109" s="59" t="s">
        <v>6</v>
      </c>
      <c r="D109" s="59">
        <v>5</v>
      </c>
      <c r="E109" s="91" t="s">
        <v>413</v>
      </c>
    </row>
    <row r="110" spans="1:5">
      <c r="A110" s="21">
        <f t="shared" si="2"/>
        <v>103</v>
      </c>
      <c r="B110" s="85" t="str">
        <f ca="1">IFERROR(__xludf.DUMMYFUNCTION("GOOGLETRANSLATE(B2399:B2414,""RU"",""UK"")"),"Зенкер насадної т/с 65ВК8 / 68ВК8")</f>
        <v>Зенкер насадної т/с 65ВК8 / 68ВК8</v>
      </c>
      <c r="C110" s="59" t="s">
        <v>6</v>
      </c>
      <c r="D110" s="59" t="s">
        <v>740</v>
      </c>
      <c r="E110" s="91" t="s">
        <v>53</v>
      </c>
    </row>
    <row r="111" spans="1:5">
      <c r="A111" s="21">
        <f t="shared" si="2"/>
        <v>104</v>
      </c>
      <c r="B111" s="85" t="str">
        <f ca="1">IFERROR(__xludf.DUMMYFUNCTION("GOOGLETRANSLATE(B2400:B2415,""RU"",""UK"")"),"Зенкер насадної т/с 70ВК8")</f>
        <v>Зенкер насадної т/с 70ВК8</v>
      </c>
      <c r="C111" s="59" t="s">
        <v>6</v>
      </c>
      <c r="D111" s="160">
        <v>12</v>
      </c>
      <c r="E111" s="91" t="s">
        <v>27</v>
      </c>
    </row>
    <row r="112" spans="1:5">
      <c r="A112" s="21">
        <f t="shared" si="2"/>
        <v>105</v>
      </c>
      <c r="B112" s="85" t="str">
        <f ca="1">IFERROR(__xludf.DUMMYFUNCTION("GOOGLETRANSLATE(B2400:B2415,""RU"",""UK"")"),"Зенкер насадної т/с 72ВК8")</f>
        <v>Зенкер насадної т/с 72ВК8</v>
      </c>
      <c r="C112" s="59" t="s">
        <v>6</v>
      </c>
      <c r="D112" s="160">
        <v>3</v>
      </c>
      <c r="E112" s="91" t="s">
        <v>27</v>
      </c>
    </row>
    <row r="113" spans="1:5">
      <c r="A113" s="21">
        <f t="shared" si="2"/>
        <v>106</v>
      </c>
      <c r="B113" s="85" t="str">
        <f ca="1">IFERROR(__xludf.DUMMYFUNCTION("GOOGLETRANSLATE(B2401:B2416,""RU"",""UK"")"),"Зенкер насадної т/с 80ВК8")</f>
        <v>Зенкер насадної т/с 80ВК8</v>
      </c>
      <c r="C113" s="59" t="s">
        <v>6</v>
      </c>
      <c r="D113" s="59">
        <v>5</v>
      </c>
      <c r="E113" s="91" t="s">
        <v>138</v>
      </c>
    </row>
    <row r="114" spans="1:5">
      <c r="A114" s="21">
        <f t="shared" si="2"/>
        <v>107</v>
      </c>
      <c r="B114" s="85" t="str">
        <f ca="1">IFERROR(__xludf.DUMMYFUNCTION("GOOGLETRANSLATE(B2402:B2417,""RU"",""UK"")"),"Цековка d15х8мм Кон.хв.")</f>
        <v>Цековка d15х8мм Кон.хв.</v>
      </c>
      <c r="C114" s="59" t="s">
        <v>6</v>
      </c>
      <c r="D114" s="59">
        <v>1</v>
      </c>
      <c r="E114" s="91" t="s">
        <v>119</v>
      </c>
    </row>
    <row r="115" spans="1:5">
      <c r="A115" s="21">
        <f t="shared" si="2"/>
        <v>108</v>
      </c>
      <c r="B115" s="85" t="str">
        <f ca="1">IFERROR(__xludf.DUMMYFUNCTION("GOOGLETRANSLATE(B2402:B2417,""RU"",""UK"")"),"Цековка d24мм КМ2")</f>
        <v>Цековка d24мм КМ2</v>
      </c>
      <c r="C115" s="59" t="s">
        <v>6</v>
      </c>
      <c r="D115" s="59">
        <v>1</v>
      </c>
      <c r="E115" s="91" t="s">
        <v>119</v>
      </c>
    </row>
    <row r="116" spans="1:5">
      <c r="A116" s="21">
        <f t="shared" si="2"/>
        <v>109</v>
      </c>
      <c r="B116" s="85" t="str">
        <f ca="1">IFERROR(__xludf.DUMMYFUNCTION("GOOGLETRANSLATE(B2403:B2418,""RU"",""UK"")"),"Цековка d25мм Р9 КМ3")</f>
        <v>Цековка d25мм Р9 КМ3</v>
      </c>
      <c r="C116" s="59" t="s">
        <v>6</v>
      </c>
      <c r="D116" s="59">
        <v>2</v>
      </c>
      <c r="E116" s="91" t="s">
        <v>119</v>
      </c>
    </row>
    <row r="117" spans="1:5">
      <c r="A117" s="21">
        <f t="shared" si="2"/>
        <v>110</v>
      </c>
      <c r="B117" s="85" t="str">
        <f ca="1">IFERROR(__xludf.DUMMYFUNCTION("GOOGLETRANSLATE(B2403:B2418,""RU"",""UK"")"),"Цековка d30х11ммКМ3")</f>
        <v>Цековка d30х11ммКМ3</v>
      </c>
      <c r="C117" s="59" t="s">
        <v>6</v>
      </c>
      <c r="D117" s="59">
        <v>1</v>
      </c>
      <c r="E117" s="91" t="s">
        <v>119</v>
      </c>
    </row>
    <row r="118" spans="1:5">
      <c r="A118" s="21">
        <f t="shared" si="2"/>
        <v>111</v>
      </c>
      <c r="B118" s="85" t="str">
        <f ca="1">IFERROR(__xludf.DUMMYFUNCTION("GOOGLETRANSLATE(B2404:B2419,""RU"",""UK"")"),"Цековка d31,5мм Ц/хв")</f>
        <v>Цековка d31,5мм Ц/хв</v>
      </c>
      <c r="C118" s="59" t="s">
        <v>6</v>
      </c>
      <c r="D118" s="59">
        <v>1</v>
      </c>
      <c r="E118" s="91">
        <v>210</v>
      </c>
    </row>
    <row r="119" spans="1:5">
      <c r="A119" s="21">
        <f t="shared" si="2"/>
        <v>112</v>
      </c>
      <c r="B119" s="85" t="str">
        <f ca="1">IFERROR(__xludf.DUMMYFUNCTION("GOOGLETRANSLATE(B2404:B2419,""RU"",""UK"")"),"Цековка d36х17,3мм Р6М5 КМ2")</f>
        <v>Цековка d36х17,3мм Р6М5 КМ2</v>
      </c>
      <c r="C119" s="59" t="s">
        <v>6</v>
      </c>
      <c r="D119" s="59">
        <v>1</v>
      </c>
      <c r="E119" s="91">
        <v>240</v>
      </c>
    </row>
  </sheetData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zoomScale="240" zoomScaleNormal="240" workbookViewId="0">
      <selection activeCell="D5" sqref="D5"/>
    </sheetView>
  </sheetViews>
  <sheetFormatPr defaultRowHeight="12.75"/>
  <cols>
    <col min="2" max="2" width="55.5703125" customWidth="1"/>
  </cols>
  <sheetData>
    <row r="1" spans="1:5">
      <c r="A1" s="21">
        <v>1</v>
      </c>
      <c r="B1" s="164" t="str">
        <f ca="1">IFERROR(__xludf.DUMMYFUNCTION("GOOGLETRANSLATE(B433:B448,""RU"",""UK"")"),"Редуктор кисневий БКО-50ДМ 9мм")</f>
        <v>Редуктор кисневий БКО-50ДМ 9мм</v>
      </c>
      <c r="C1" s="59" t="s">
        <v>6</v>
      </c>
      <c r="D1" s="59">
        <v>0</v>
      </c>
      <c r="E1" s="91" t="s">
        <v>624</v>
      </c>
    </row>
    <row r="2" spans="1:5">
      <c r="A2" s="21">
        <f>A1+1</f>
        <v>2</v>
      </c>
      <c r="B2" s="164" t="str">
        <f ca="1">IFERROR(__xludf.DUMMYFUNCTION("GOOGLETRANSLATE(B434:B449,""RU"",""UK"")"),"Редуктор пропановий БПО - 5ДМ")</f>
        <v>Редуктор пропановий БПО - 5ДМ</v>
      </c>
      <c r="C2" s="59" t="s">
        <v>6</v>
      </c>
      <c r="D2" s="59">
        <v>0</v>
      </c>
      <c r="E2" s="91" t="s">
        <v>80</v>
      </c>
    </row>
    <row r="3" spans="1:5">
      <c r="A3" s="21">
        <f>A2+1</f>
        <v>3</v>
      </c>
      <c r="B3" s="85" t="str">
        <f ca="1">IFERROR(__xludf.DUMMYFUNCTION("GOOGLETRANSLATE(B436:B451,""RU"",""UK"")"),"Редуктор ацетиленовий БАО-5-2 9мм")</f>
        <v>Редуктор ацетиленовий БАО-5-2 9мм</v>
      </c>
      <c r="C3" s="59" t="s">
        <v>6</v>
      </c>
      <c r="D3" s="59">
        <v>3</v>
      </c>
      <c r="E3" s="91" t="s">
        <v>80</v>
      </c>
    </row>
    <row r="4" spans="1:5">
      <c r="A4" s="21">
        <f t="shared" ref="A4:A5" si="0">A3+1</f>
        <v>4</v>
      </c>
      <c r="B4" s="169" t="s">
        <v>6182</v>
      </c>
      <c r="C4" s="59" t="s">
        <v>6</v>
      </c>
      <c r="D4" s="59">
        <v>1</v>
      </c>
      <c r="E4" s="91">
        <v>1800</v>
      </c>
    </row>
    <row r="5" spans="1:5">
      <c r="A5" s="21">
        <f t="shared" si="0"/>
        <v>5</v>
      </c>
      <c r="B5" s="169" t="str">
        <f ca="1">IFERROR(__xludf.DUMMYFUNCTION("GOOGLETRANSLATE(B438:B453,""RU"",""UK"")"),"Різак пропановий Р3 ""ДОНМЕТ"" 300П")</f>
        <v>Різак пропановий Р3 "ДОНМЕТ" 300П</v>
      </c>
      <c r="C5" s="59" t="s">
        <v>6</v>
      </c>
      <c r="D5" s="59">
        <v>6</v>
      </c>
      <c r="E5" s="91">
        <v>1550</v>
      </c>
    </row>
    <row r="6" spans="1:5">
      <c r="A6" s="21">
        <f t="shared" ref="A6:A23" si="1">A5+1</f>
        <v>6</v>
      </c>
      <c r="B6" s="169" t="s">
        <v>6243</v>
      </c>
      <c r="C6" s="59" t="s">
        <v>6</v>
      </c>
      <c r="D6" s="59">
        <v>1</v>
      </c>
      <c r="E6" s="91">
        <v>1700</v>
      </c>
    </row>
    <row r="7" spans="1:5">
      <c r="A7" s="21">
        <f t="shared" si="1"/>
        <v>7</v>
      </c>
      <c r="B7" s="85" t="str">
        <f ca="1">IFERROR(__xludf.DUMMYFUNCTION("GOOGLETRANSLATE(B439:B454,""RU"",""UK"")"),"Пальник пропанова Зірка 200 (наконечник №1;2)")</f>
        <v>Пальник пропанова Зірка 200 (наконечник №1;2)</v>
      </c>
      <c r="C7" s="59" t="s">
        <v>6</v>
      </c>
      <c r="D7" s="59">
        <v>3</v>
      </c>
      <c r="E7" s="91" t="s">
        <v>33</v>
      </c>
    </row>
    <row r="8" spans="1:5">
      <c r="A8" s="21">
        <f t="shared" si="1"/>
        <v>8</v>
      </c>
      <c r="B8" s="85" t="str">
        <f ca="1">IFERROR(__xludf.DUMMYFUNCTION("GOOGLETRANSLATE(B440:B455,""RU"",""UK"")"),"Рукав кисневий 6мм")</f>
        <v>Рукав кисневий 6мм</v>
      </c>
      <c r="C8" s="59" t="s">
        <v>634</v>
      </c>
      <c r="D8" s="59">
        <v>13</v>
      </c>
      <c r="E8" s="91" t="s">
        <v>366</v>
      </c>
    </row>
    <row r="9" spans="1:5">
      <c r="A9" s="21">
        <f t="shared" si="1"/>
        <v>9</v>
      </c>
      <c r="B9" s="164" t="str">
        <f ca="1">IFERROR(__xludf.DUMMYFUNCTION("GOOGLETRANSLATE(B441:B456,""RU"",""UK"")"),"Рукав кисневий 9мм")</f>
        <v>Рукав кисневий 9мм</v>
      </c>
      <c r="C9" s="59" t="s">
        <v>634</v>
      </c>
      <c r="D9" s="59">
        <v>0</v>
      </c>
      <c r="E9" s="91" t="s">
        <v>631</v>
      </c>
    </row>
    <row r="10" spans="1:5">
      <c r="A10" s="21">
        <f t="shared" si="1"/>
        <v>10</v>
      </c>
      <c r="B10" s="164" t="str">
        <f ca="1">IFERROR(__xludf.DUMMYFUNCTION("GOOGLETRANSLATE(B442:B457,""RU"",""UK"")"),"Маска зварювальника ""максимальний захист""")</f>
        <v>Маска зварювальника "максимальний захист"</v>
      </c>
      <c r="C10" s="59" t="s">
        <v>6</v>
      </c>
      <c r="D10" s="59">
        <v>0</v>
      </c>
      <c r="E10" s="91" t="s">
        <v>637</v>
      </c>
    </row>
    <row r="11" spans="1:5">
      <c r="A11" s="21">
        <f t="shared" si="1"/>
        <v>11</v>
      </c>
      <c r="B11" s="85" t="str">
        <f ca="1">IFERROR(__xludf.DUMMYFUNCTION("GOOGLETRANSLATE(B443:B458,""RU"",""UK"")"),"Окуляри для суміжних робіт при зварюванні")</f>
        <v>Окуляри для суміжних робіт при зварюванні</v>
      </c>
      <c r="C11" s="59" t="s">
        <v>6</v>
      </c>
      <c r="D11" s="59">
        <v>9</v>
      </c>
      <c r="E11" s="91" t="s">
        <v>167</v>
      </c>
    </row>
    <row r="12" spans="1:5">
      <c r="A12" s="21">
        <f t="shared" si="1"/>
        <v>12</v>
      </c>
      <c r="B12" s="85" t="str">
        <f ca="1">IFERROR(__xludf.DUMMYFUNCTION("GOOGLETRANSLATE(B444:B459,""RU"",""UK"")"),"Світлофільтр для маски зварювальника (ТІС) С4 (60х90мм)")</f>
        <v>Світлофільтр для маски зварювальника (ТІС) С4 (60х90мм)</v>
      </c>
      <c r="C12" s="59" t="s">
        <v>6</v>
      </c>
      <c r="D12" s="59">
        <v>207</v>
      </c>
      <c r="E12" s="91" t="s">
        <v>361</v>
      </c>
    </row>
    <row r="13" spans="1:5">
      <c r="A13" s="21">
        <f t="shared" si="1"/>
        <v>13</v>
      </c>
      <c r="B13" s="85" t="str">
        <f ca="1">IFERROR(__xludf.DUMMYFUNCTION("GOOGLETRANSLATE(B445:B460,""RU"",""UK"")"),"Світлофільтр для маски зварювальника (ТІС) С5 (60х90мм)")</f>
        <v>Світлофільтр для маски зварювальника (ТІС) С5 (60х90мм)</v>
      </c>
      <c r="C13" s="59" t="s">
        <v>6</v>
      </c>
      <c r="D13" s="59">
        <v>548</v>
      </c>
      <c r="E13" s="91" t="s">
        <v>361</v>
      </c>
    </row>
    <row r="14" spans="1:5">
      <c r="A14" s="21">
        <f t="shared" si="1"/>
        <v>14</v>
      </c>
      <c r="B14" s="85" t="str">
        <f ca="1">IFERROR(__xludf.DUMMYFUNCTION("GOOGLETRANSLATE(B446:B461,""RU"",""UK"")"),"Світлофільтр для маски зварювальника (ТІС) С6 (60х90мм)")</f>
        <v>Світлофільтр для маски зварювальника (ТІС) С6 (60х90мм)</v>
      </c>
      <c r="C14" s="59" t="s">
        <v>6</v>
      </c>
      <c r="D14" s="59">
        <v>49</v>
      </c>
      <c r="E14" s="91" t="s">
        <v>361</v>
      </c>
    </row>
    <row r="15" spans="1:5">
      <c r="A15" s="21">
        <f t="shared" si="1"/>
        <v>15</v>
      </c>
      <c r="B15" s="85" t="str">
        <f ca="1">IFERROR(__xludf.DUMMYFUNCTION("GOOGLETRANSLATE(B447:B462,""RU"",""UK"")"),"Світлофільтр для маски зварювальника (ТІС) С7 (60х90мм)")</f>
        <v>Світлофільтр для маски зварювальника (ТІС) С7 (60х90мм)</v>
      </c>
      <c r="C15" s="59" t="s">
        <v>6</v>
      </c>
      <c r="D15" s="59">
        <v>44</v>
      </c>
      <c r="E15" s="91" t="s">
        <v>361</v>
      </c>
    </row>
    <row r="16" spans="1:5">
      <c r="A16" s="21">
        <f t="shared" si="1"/>
        <v>16</v>
      </c>
      <c r="B16" s="85" t="str">
        <f ca="1">IFERROR(__xludf.DUMMYFUNCTION("GOOGLETRANSLATE(B448:B463,""RU"",""UK"")"),"Світлофільтр для маски зварювальника (ТІС) С8 (60х90мм)")</f>
        <v>Світлофільтр для маски зварювальника (ТІС) С8 (60х90мм)</v>
      </c>
      <c r="C16" s="59" t="s">
        <v>6</v>
      </c>
      <c r="D16" s="59">
        <v>153</v>
      </c>
      <c r="E16" s="91" t="s">
        <v>361</v>
      </c>
    </row>
    <row r="17" spans="1:5">
      <c r="A17" s="21">
        <f t="shared" si="1"/>
        <v>17</v>
      </c>
      <c r="B17" s="85" t="str">
        <f ca="1">IFERROR(__xludf.DUMMYFUNCTION("GOOGLETRANSLATE(B449:B464,""RU"",""UK"")"),"Світлофільтр для маски зварювальника (ТІС) С3 (90х110мм)")</f>
        <v>Світлофільтр для маски зварювальника (ТІС) С3 (90х110мм)</v>
      </c>
      <c r="C17" s="59" t="s">
        <v>6</v>
      </c>
      <c r="D17" s="59">
        <v>1</v>
      </c>
      <c r="E17" s="91" t="s">
        <v>134</v>
      </c>
    </row>
    <row r="18" spans="1:5">
      <c r="A18" s="21">
        <f t="shared" si="1"/>
        <v>18</v>
      </c>
      <c r="B18" s="85" t="str">
        <f ca="1">IFERROR(__xludf.DUMMYFUNCTION("GOOGLETRANSLATE(B450:B465,""RU"",""UK"")"),"Скло для маски зварювальника прозр.60х90мм")</f>
        <v>Скло для маски зварювальника прозр.60х90мм</v>
      </c>
      <c r="C18" s="59" t="s">
        <v>6</v>
      </c>
      <c r="D18" s="59">
        <v>50</v>
      </c>
      <c r="E18" s="91" t="s">
        <v>646</v>
      </c>
    </row>
    <row r="19" spans="1:5">
      <c r="A19" s="21">
        <f t="shared" si="1"/>
        <v>19</v>
      </c>
      <c r="B19" s="85" t="str">
        <f ca="1">IFERROR(__xludf.DUMMYFUNCTION("GOOGLETRANSLATE(B451:B466,""RU"",""UK"")"),"Скло для маски зварювальника прозр.110х90мм")</f>
        <v>Скло для маски зварювальника прозр.110х90мм</v>
      </c>
      <c r="C19" s="59" t="s">
        <v>6</v>
      </c>
      <c r="D19" s="59">
        <v>48</v>
      </c>
      <c r="E19" s="91">
        <v>12</v>
      </c>
    </row>
    <row r="20" spans="1:5">
      <c r="A20" s="21">
        <f t="shared" si="1"/>
        <v>20</v>
      </c>
      <c r="B20" s="164" t="str">
        <f ca="1">IFERROR(__xludf.DUMMYFUNCTION("GOOGLETRANSLATE(B452:B467,""RU"",""UK"")"),"Затискач маси 500А")</f>
        <v>Затискач маси 500А</v>
      </c>
      <c r="C20" s="59" t="s">
        <v>6</v>
      </c>
      <c r="D20" s="59">
        <v>0</v>
      </c>
      <c r="E20" s="91" t="s">
        <v>327</v>
      </c>
    </row>
    <row r="21" spans="1:5">
      <c r="A21" s="21">
        <f t="shared" si="1"/>
        <v>21</v>
      </c>
      <c r="B21" s="85" t="str">
        <f ca="1">IFERROR(__xludf.DUMMYFUNCTION("GOOGLETRANSLATE(B453:B468,""RU"",""UK"")"),"Кабель КГ 1х25")</f>
        <v>Кабель КГ 1х25</v>
      </c>
      <c r="C21" s="59" t="s">
        <v>634</v>
      </c>
      <c r="D21" s="59">
        <v>22</v>
      </c>
      <c r="E21" s="91">
        <v>150</v>
      </c>
    </row>
    <row r="22" spans="1:5">
      <c r="A22" s="21">
        <f t="shared" si="1"/>
        <v>22</v>
      </c>
      <c r="B22" s="85" t="str">
        <f ca="1">IFERROR(__xludf.DUMMYFUNCTION("GOOGLETRANSLATE(B454:B469,""RU"",""UK"")"),"Дріт для зварювання СВ08 – 3мм. (Упак. L = 1м по 5 кг)")</f>
        <v>Дріт для зварювання СВ08 – 3мм. (Упак. L = 1м по 5 кг)</v>
      </c>
      <c r="C22" s="59" t="s">
        <v>130</v>
      </c>
      <c r="D22" s="59">
        <v>35</v>
      </c>
      <c r="E22" s="91" t="s">
        <v>614</v>
      </c>
    </row>
    <row r="23" spans="1:5">
      <c r="A23" s="21">
        <f t="shared" si="1"/>
        <v>23</v>
      </c>
      <c r="B23" s="85" t="str">
        <f ca="1">IFERROR(__xludf.DUMMYFUNCTION("GOOGLETRANSLATE(B454:B469,""RU"",""UK"")"),"Дріт для зварювання СВ08 – 1,2мм. (Упак. 5 кг)")</f>
        <v>Дріт для зварювання СВ08 – 1,2мм. (Упак. 5 кг)</v>
      </c>
      <c r="C23" s="59" t="s">
        <v>6</v>
      </c>
      <c r="D23" s="59">
        <v>1</v>
      </c>
      <c r="E23" s="91">
        <v>360</v>
      </c>
    </row>
  </sheetData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zoomScale="230" zoomScaleNormal="230" workbookViewId="0">
      <selection activeCell="B20" sqref="B20:B21"/>
    </sheetView>
  </sheetViews>
  <sheetFormatPr defaultRowHeight="12.75"/>
  <cols>
    <col min="2" max="2" width="66.140625" customWidth="1"/>
  </cols>
  <sheetData>
    <row r="1" spans="1:5">
      <c r="A1" s="68"/>
      <c r="B1" s="110" t="s">
        <v>6058</v>
      </c>
      <c r="C1" s="69"/>
      <c r="D1" s="69"/>
      <c r="E1" s="106"/>
    </row>
    <row r="2" spans="1:5">
      <c r="A2" s="21">
        <v>1</v>
      </c>
      <c r="B2" s="85" t="str">
        <f ca="1">IFERROR(__xludf.DUMMYFUNCTION("GOOGLETRANSLATE(B4050:B4065,""RU"",""UK"")"),"Ланцюг приводний ролик. ПР - 15,875 шир. 17мм (1,65м.х18шт)")</f>
        <v>Ланцюг приводний ролик. ПР - 15,875 шир. 17мм (1,65м.х18шт)</v>
      </c>
      <c r="C2" s="59" t="s">
        <v>634</v>
      </c>
      <c r="D2" s="59">
        <v>24.7</v>
      </c>
      <c r="E2" s="91">
        <v>270</v>
      </c>
    </row>
    <row r="3" spans="1:5">
      <c r="A3" s="21">
        <v>2</v>
      </c>
      <c r="B3" s="85" t="str">
        <f ca="1">IFERROR(__xludf.DUMMYFUNCTION("GOOGLETRANSLATE(B4052:B4067,""RU"",""UK"")"),"Ланцюг приводний ролик. ПР - 19,05-2500 (5,0м)")</f>
        <v>Ланцюг приводний ролик. ПР - 19,05-2500 (5,0м)</v>
      </c>
      <c r="C3" s="59" t="s">
        <v>634</v>
      </c>
      <c r="D3" s="59">
        <v>92</v>
      </c>
      <c r="E3" s="91">
        <v>330</v>
      </c>
    </row>
    <row r="4" spans="1:5">
      <c r="A4" s="21">
        <v>3</v>
      </c>
      <c r="B4" s="164" t="str">
        <f ca="1">IFERROR(__xludf.DUMMYFUNCTION("GOOGLETRANSLATE(B4053:B4068,""RU"",""UK"")"),"Ланцюг приводний ролик. ПР - 25,4 ")</f>
        <v xml:space="preserve">Ланцюг приводний ролик. ПР - 25,4 </v>
      </c>
      <c r="C4" s="59" t="s">
        <v>634</v>
      </c>
      <c r="D4" s="59">
        <v>0</v>
      </c>
      <c r="E4" s="91" t="s">
        <v>106</v>
      </c>
    </row>
    <row r="5" spans="1:5">
      <c r="A5" s="21">
        <v>4</v>
      </c>
      <c r="B5" s="85" t="str">
        <f ca="1">IFERROR(__xludf.DUMMYFUNCTION("GOOGLETRANSLATE(B4054:B4069,""RU"",""UK"")"),"Ланцюг приводний ролик. ПР - 35,0-5000 (5,0м)")</f>
        <v>Ланцюг приводний ролик. ПР - 35,0-5000 (5,0м)</v>
      </c>
      <c r="C5" s="59" t="s">
        <v>634</v>
      </c>
      <c r="D5" s="59">
        <v>40</v>
      </c>
      <c r="E5" s="91" t="s">
        <v>16</v>
      </c>
    </row>
    <row r="6" spans="1:5">
      <c r="A6" s="21">
        <v>5</v>
      </c>
      <c r="B6" s="85" t="str">
        <f ca="1">IFERROR(__xludf.DUMMYFUNCTION("GOOGLETRANSLATE(B4055:B4070,""RU"",""UK"")"),"Замок ланцюга в ком-ті 15.875")</f>
        <v>Замок ланцюга в ком-ті 15.875</v>
      </c>
      <c r="C6" s="59" t="s">
        <v>4370</v>
      </c>
      <c r="D6" s="59">
        <v>10</v>
      </c>
      <c r="E6" s="91" t="s">
        <v>366</v>
      </c>
    </row>
    <row r="7" spans="1:5">
      <c r="A7" s="21">
        <v>6</v>
      </c>
      <c r="B7" s="85" t="str">
        <f ca="1">IFERROR(__xludf.DUMMYFUNCTION("GOOGLETRANSLATE(B4056:B4071,""RU"",""UK"")"),"Замок ланцюга в ком-ті 25.4")</f>
        <v>Замок ланцюга в ком-ті 25.4</v>
      </c>
      <c r="C7" s="59" t="s">
        <v>4370</v>
      </c>
      <c r="D7" s="59">
        <v>3</v>
      </c>
      <c r="E7" s="91" t="s">
        <v>181</v>
      </c>
    </row>
    <row r="8" spans="1:5">
      <c r="A8" s="21">
        <v>7</v>
      </c>
      <c r="B8" s="115" t="str">
        <f ca="1">IFERROR(__xludf.DUMMYFUNCTION("GOOGLETRANSLATE(B4057:B4072,""RU"",""UK"")"),"Замок ланцюга в ком-ті 44.45")</f>
        <v>Замок ланцюга в ком-ті 44.45</v>
      </c>
      <c r="C8" s="59" t="s">
        <v>4370</v>
      </c>
      <c r="D8" s="59">
        <v>2</v>
      </c>
      <c r="E8" s="91" t="s">
        <v>181</v>
      </c>
    </row>
    <row r="9" spans="1:5">
      <c r="A9" s="68"/>
      <c r="B9" s="119" t="s">
        <v>6059</v>
      </c>
      <c r="C9" s="69"/>
      <c r="D9" s="69"/>
      <c r="E9" s="106"/>
    </row>
    <row r="10" spans="1:5">
      <c r="A10" s="21">
        <v>1</v>
      </c>
      <c r="B10" s="243" t="str">
        <f ca="1">IFERROR(__xludf.DUMMYFUNCTION("GOOGLETRANSLATE(B4059:B4074,""RU"",""UK"")"),"Набивання сальникове плетене графітове АП - 31 4х4мм (она же и 5х5мм )")</f>
        <v>Набивання сальникове плетене графітове АП - 31 4х4мм (она же и 5х5мм )</v>
      </c>
      <c r="C10" s="59" t="s">
        <v>130</v>
      </c>
      <c r="D10" s="59">
        <v>34</v>
      </c>
      <c r="E10" s="91" t="s">
        <v>104</v>
      </c>
    </row>
    <row r="11" spans="1:5">
      <c r="A11" s="21">
        <v>2</v>
      </c>
      <c r="B11" s="198" t="str">
        <f ca="1">IFERROR(__xludf.DUMMYFUNCTION("GOOGLETRANSLATE(B4061:B4076,""RU"",""UK"")"),"Набивання сальникове плетене графітове АП - 31 32х32мм")</f>
        <v>Набивання сальникове плетене графітове АП - 31 32х32мм</v>
      </c>
      <c r="C11" s="59" t="s">
        <v>130</v>
      </c>
      <c r="D11" s="59">
        <v>16</v>
      </c>
      <c r="E11" s="91" t="s">
        <v>104</v>
      </c>
    </row>
    <row r="12" spans="1:5">
      <c r="A12" s="21">
        <v>3</v>
      </c>
      <c r="B12" s="198" t="str">
        <f ca="1">IFERROR(__xludf.DUMMYFUNCTION("GOOGLETRANSLATE(B4062:B4077,""RU"",""UK"")"),"Набивання сальникове плетене графітове АП - 31 35х35мм")</f>
        <v>Набивання сальникове плетене графітове АП - 31 35х35мм</v>
      </c>
      <c r="C12" s="59" t="s">
        <v>130</v>
      </c>
      <c r="D12" s="59">
        <v>147</v>
      </c>
      <c r="E12" s="91" t="s">
        <v>104</v>
      </c>
    </row>
    <row r="13" spans="1:5">
      <c r="A13" s="21">
        <v>4</v>
      </c>
      <c r="B13" s="198" t="str">
        <f ca="1">IFERROR(__xludf.DUMMYFUNCTION("GOOGLETRANSLATE(B4063:B4078,""RU"",""UK"")"),"Набивання сальникове плетене графітове АП - 31 43х43мм")</f>
        <v>Набивання сальникове плетене графітове АП - 31 43х43мм</v>
      </c>
      <c r="C13" s="59" t="s">
        <v>130</v>
      </c>
      <c r="D13" s="59">
        <v>106</v>
      </c>
      <c r="E13" s="91" t="s">
        <v>104</v>
      </c>
    </row>
    <row r="14" spans="1:5">
      <c r="A14" s="21">
        <v>5</v>
      </c>
      <c r="B14" s="85" t="str">
        <f ca="1">IFERROR(__xludf.DUMMYFUNCTION("GOOGLETRANSLATE(B4064:B4079,""RU"",""UK"")"),"Набивання сальникове плетене графітове ХБП 10х10мм")</f>
        <v>Набивання сальникове плетене графітове ХБП 10х10мм</v>
      </c>
      <c r="C14" s="59" t="s">
        <v>130</v>
      </c>
      <c r="D14" s="59">
        <v>7</v>
      </c>
      <c r="E14" s="91" t="s">
        <v>104</v>
      </c>
    </row>
    <row r="15" spans="1:5">
      <c r="A15" s="21">
        <v>6</v>
      </c>
      <c r="B15" s="198" t="str">
        <f ca="1">IFERROR(__xludf.DUMMYFUNCTION("GOOGLETRANSLATE(B4065:B4080,""RU"",""UK"")"),"Набивання сальникове плетене графітове ХБП 12х12мм")</f>
        <v>Набивання сальникове плетене графітове ХБП 12х12мм</v>
      </c>
      <c r="C15" s="59" t="s">
        <v>130</v>
      </c>
      <c r="D15" s="59">
        <v>5</v>
      </c>
      <c r="E15" s="91" t="s">
        <v>104</v>
      </c>
    </row>
    <row r="16" spans="1:5">
      <c r="A16" s="21">
        <v>7</v>
      </c>
      <c r="B16" s="198" t="str">
        <f ca="1">IFERROR(__xludf.DUMMYFUNCTION("GOOGLETRANSLATE(B4066:B4081,""RU"",""UK"")"),"Набивання сальникове плетене графітове ХБП 28х28мм")</f>
        <v>Набивання сальникове плетене графітове ХБП 28х28мм</v>
      </c>
      <c r="C16" s="59" t="s">
        <v>130</v>
      </c>
      <c r="D16" s="59">
        <v>25</v>
      </c>
      <c r="E16" s="91" t="s">
        <v>2842</v>
      </c>
    </row>
    <row r="17" spans="1:5">
      <c r="A17" s="21">
        <v>8</v>
      </c>
      <c r="B17" s="198" t="str">
        <f ca="1">IFERROR(__xludf.DUMMYFUNCTION("GOOGLETRANSLATE(B4067:B4082,""RU"",""UK"")"),"Набивання сальникове плетене графітове ХБП 50х50мм")</f>
        <v>Набивання сальникове плетене графітове ХБП 50х50мм</v>
      </c>
      <c r="C17" s="59" t="s">
        <v>130</v>
      </c>
      <c r="D17" s="59">
        <v>59</v>
      </c>
      <c r="E17" s="91" t="s">
        <v>2842</v>
      </c>
    </row>
    <row r="18" spans="1:5">
      <c r="A18" s="21">
        <v>9</v>
      </c>
      <c r="B18" s="198" t="str">
        <f ca="1">IFERROR(__xludf.DUMMYFUNCTION("GOOGLETRANSLATE(B4068:B4083,""RU"",""UK"")"),"Набивання сальникове плетене графітове ЛП 32х32мм")</f>
        <v>Набивання сальникове плетене графітове ЛП 32х32мм</v>
      </c>
      <c r="C18" s="59" t="s">
        <v>130</v>
      </c>
      <c r="D18" s="59">
        <v>35</v>
      </c>
      <c r="E18" s="91" t="s">
        <v>2842</v>
      </c>
    </row>
    <row r="19" spans="1:5">
      <c r="A19" s="21">
        <v>10</v>
      </c>
      <c r="B19" s="198" t="str">
        <f ca="1">IFERROR(__xludf.DUMMYFUNCTION("GOOGLETRANSLATE(B4069:B4084,""RU"",""UK"")"),"Набивання сальникове плетене графітове ЛП 34х34мм")</f>
        <v>Набивання сальникове плетене графітове ЛП 34х34мм</v>
      </c>
      <c r="C19" s="59" t="s">
        <v>130</v>
      </c>
      <c r="D19" s="59">
        <v>15</v>
      </c>
      <c r="E19" s="91" t="s">
        <v>2842</v>
      </c>
    </row>
    <row r="20" spans="1:5">
      <c r="A20" s="21">
        <v>11</v>
      </c>
      <c r="B20" s="198" t="str">
        <f ca="1">IFERROR(__xludf.DUMMYFUNCTION("GOOGLETRANSLATE(B4071:B4086,""RU"",""UK"")"),"Шнур азбестовий 4мм (бухта 2,2 кг)")</f>
        <v>Шнур азбестовий 4мм (бухта 2,2 кг)</v>
      </c>
      <c r="C20" s="59" t="s">
        <v>6</v>
      </c>
      <c r="D20" s="59">
        <v>1</v>
      </c>
      <c r="E20" s="91">
        <v>500</v>
      </c>
    </row>
    <row r="21" spans="1:5">
      <c r="A21" s="21">
        <v>12</v>
      </c>
      <c r="B21" s="198" t="str">
        <f ca="1">IFERROR(__xludf.DUMMYFUNCTION("GOOGLETRANSLATE(B4071:B4086,""RU"",""UK"")"),"Шнур азбестовий 5мм (бухта 2,5 кг)")</f>
        <v>Шнур азбестовий 5мм (бухта 2,5 кг)</v>
      </c>
      <c r="C21" s="59" t="s">
        <v>130</v>
      </c>
      <c r="D21" s="59">
        <v>1</v>
      </c>
      <c r="E21" s="91">
        <v>550</v>
      </c>
    </row>
    <row r="22" spans="1:5">
      <c r="A22" s="68"/>
      <c r="B22" s="110" t="s">
        <v>6087</v>
      </c>
      <c r="C22" s="69"/>
      <c r="D22" s="69"/>
      <c r="E22" s="106"/>
    </row>
    <row r="23" spans="1:5">
      <c r="A23" s="21">
        <v>1</v>
      </c>
      <c r="B23" s="85" t="str">
        <f ca="1">IFERROR(__xludf.DUMMYFUNCTION("GOOGLETRANSLATE(B4073:B4088,""RU"",""UK"")"),"Сальник 16х30")</f>
        <v>Сальник 16х30</v>
      </c>
      <c r="C23" s="59" t="s">
        <v>6</v>
      </c>
      <c r="D23" s="59">
        <v>3</v>
      </c>
      <c r="E23" s="91" t="s">
        <v>1292</v>
      </c>
    </row>
    <row r="24" spans="1:5">
      <c r="A24" s="21">
        <v>2</v>
      </c>
      <c r="B24" s="85" t="str">
        <f ca="1">IFERROR(__xludf.DUMMYFUNCTION("GOOGLETRANSLATE(B4074:B4089,""RU"",""UK"")"),"Сальник 20х40")</f>
        <v>Сальник 20х40</v>
      </c>
      <c r="C24" s="59" t="s">
        <v>6</v>
      </c>
      <c r="D24" s="59">
        <v>76</v>
      </c>
      <c r="E24" s="91" t="s">
        <v>5435</v>
      </c>
    </row>
    <row r="25" spans="1:5">
      <c r="A25" s="21">
        <v>3</v>
      </c>
      <c r="B25" s="85" t="str">
        <f ca="1">IFERROR(__xludf.DUMMYFUNCTION("GOOGLETRANSLATE(B4075:B4090,""RU"",""UK"")"),"Сальник 28х47")</f>
        <v>Сальник 28х47</v>
      </c>
      <c r="C25" s="59" t="s">
        <v>6</v>
      </c>
      <c r="D25" s="59">
        <v>9</v>
      </c>
      <c r="E25" s="91" t="s">
        <v>1294</v>
      </c>
    </row>
    <row r="26" spans="1:5">
      <c r="A26" s="21">
        <v>4</v>
      </c>
      <c r="B26" s="85" t="str">
        <f ca="1">IFERROR(__xludf.DUMMYFUNCTION("GOOGLETRANSLATE(B4076:B4091,""RU"",""UK"")"),"Сальник 30х52")</f>
        <v>Сальник 30х52</v>
      </c>
      <c r="C26" s="59" t="s">
        <v>6</v>
      </c>
      <c r="D26" s="59">
        <v>53</v>
      </c>
      <c r="E26" s="91" t="s">
        <v>1349</v>
      </c>
    </row>
    <row r="27" spans="1:5">
      <c r="A27" s="21">
        <v>5</v>
      </c>
      <c r="B27" s="85" t="str">
        <f ca="1">IFERROR(__xludf.DUMMYFUNCTION("GOOGLETRANSLATE(B4077:B4092,""RU"",""UK"")"),"Сальник 30х50")</f>
        <v>Сальник 30х50</v>
      </c>
      <c r="C27" s="59" t="s">
        <v>6</v>
      </c>
      <c r="D27" s="59">
        <v>10</v>
      </c>
      <c r="E27" s="91" t="s">
        <v>1349</v>
      </c>
    </row>
    <row r="28" spans="1:5">
      <c r="A28" s="21">
        <v>6</v>
      </c>
      <c r="B28" s="85" t="str">
        <f ca="1">IFERROR(__xludf.DUMMYFUNCTION("GOOGLETRANSLATE(B4078:B4093,""RU"",""UK"")"),"Сальник 32х47х10")</f>
        <v>Сальник 32х47х10</v>
      </c>
      <c r="C28" s="59" t="s">
        <v>6</v>
      </c>
      <c r="D28" s="59">
        <v>2</v>
      </c>
      <c r="E28" s="91" t="s">
        <v>1349</v>
      </c>
    </row>
    <row r="29" spans="1:5">
      <c r="A29" s="21">
        <v>7</v>
      </c>
      <c r="B29" s="85" t="str">
        <f ca="1">IFERROR(__xludf.DUMMYFUNCTION("GOOGLETRANSLATE(B4079:B4094,""RU"",""UK"")"),"Сальник 35х55х10")</f>
        <v>Сальник 35х55х10</v>
      </c>
      <c r="C29" s="59" t="s">
        <v>6</v>
      </c>
      <c r="D29" s="59">
        <v>22</v>
      </c>
      <c r="E29" s="91" t="s">
        <v>5441</v>
      </c>
    </row>
    <row r="30" spans="1:5">
      <c r="A30" s="21">
        <v>8</v>
      </c>
      <c r="B30" s="85" t="str">
        <f ca="1">IFERROR(__xludf.DUMMYFUNCTION("GOOGLETRANSLATE(B4080:B4095,""RU"",""UK"")"),"Сальник 38х58х10")</f>
        <v>Сальник 38х58х10</v>
      </c>
      <c r="C30" s="59" t="s">
        <v>6</v>
      </c>
      <c r="D30" s="59">
        <v>5</v>
      </c>
      <c r="E30" s="91" t="s">
        <v>361</v>
      </c>
    </row>
    <row r="31" spans="1:5">
      <c r="A31" s="21">
        <v>9</v>
      </c>
      <c r="B31" s="85" t="str">
        <f ca="1">IFERROR(__xludf.DUMMYFUNCTION("GOOGLETRANSLATE(B4081:B4096,""RU"",""UK"")"),"Сальник 45х65х10")</f>
        <v>Сальник 45х65х10</v>
      </c>
      <c r="C31" s="59" t="s">
        <v>6</v>
      </c>
      <c r="D31" s="59">
        <v>10</v>
      </c>
      <c r="E31" s="91" t="s">
        <v>5444</v>
      </c>
    </row>
    <row r="32" spans="1:5">
      <c r="A32" s="21">
        <v>10</v>
      </c>
      <c r="B32" s="85" t="str">
        <f ca="1">IFERROR(__xludf.DUMMYFUNCTION("GOOGLETRANSLATE(B4082:B4097,""RU"",""UK"")"),"Сальник 50х70х10+")</f>
        <v>Сальник 50х70х10+</v>
      </c>
      <c r="C32" s="59" t="s">
        <v>6</v>
      </c>
      <c r="D32" s="59">
        <v>16</v>
      </c>
      <c r="E32" s="91" t="s">
        <v>610</v>
      </c>
    </row>
    <row r="33" spans="1:5">
      <c r="A33" s="21">
        <v>11</v>
      </c>
      <c r="B33" s="85" t="str">
        <f ca="1">IFERROR(__xludf.DUMMYFUNCTION("GOOGLETRANSLATE(B4083:B4098,""RU"",""UK"")"),"Сальник 60х85х10")</f>
        <v>Сальник 60х85х10</v>
      </c>
      <c r="C33" s="59" t="s">
        <v>6</v>
      </c>
      <c r="D33" s="59">
        <v>5</v>
      </c>
      <c r="E33" s="91" t="s">
        <v>417</v>
      </c>
    </row>
    <row r="34" spans="1:5">
      <c r="A34" s="21">
        <v>12</v>
      </c>
      <c r="B34" s="198" t="str">
        <f ca="1">IFERROR(__xludf.DUMMYFUNCTION("GOOGLETRANSLATE(B4084:B4099,""RU"",""UK"")"),"Сальник, манжета армована 65х85х12")</f>
        <v>Сальник, манжета армована 65х85х12</v>
      </c>
      <c r="C34" s="59" t="s">
        <v>6</v>
      </c>
      <c r="D34" s="59">
        <v>20</v>
      </c>
      <c r="E34" s="91">
        <v>25</v>
      </c>
    </row>
    <row r="35" spans="1:5">
      <c r="A35" s="21">
        <v>13</v>
      </c>
      <c r="B35" s="198" t="str">
        <f ca="1">IFERROR(__xludf.DUMMYFUNCTION("GOOGLETRANSLATE(B4085:B4100,""RU"",""UK"")"),"Сальник, манжета армована 1,1х65х90")</f>
        <v>Сальник, манжета армована 1,1х65х90</v>
      </c>
      <c r="C35" s="59" t="s">
        <v>6</v>
      </c>
      <c r="D35" s="59">
        <v>68</v>
      </c>
      <c r="E35" s="91">
        <v>25</v>
      </c>
    </row>
    <row r="36" spans="1:5">
      <c r="A36" s="21">
        <v>15</v>
      </c>
      <c r="B36" s="85" t="str">
        <f ca="1">IFERROR(__xludf.DUMMYFUNCTION("GOOGLETRANSLATE(B4086:B4101,""RU"",""UK"")"),"Сальник 75х100")</f>
        <v>Сальник 75х100</v>
      </c>
      <c r="C36" s="59" t="s">
        <v>6</v>
      </c>
      <c r="D36" s="59">
        <v>41</v>
      </c>
      <c r="E36" s="91" t="s">
        <v>1239</v>
      </c>
    </row>
    <row r="37" spans="1:5">
      <c r="A37" s="21">
        <v>16</v>
      </c>
      <c r="B37" s="85" t="str">
        <f ca="1">IFERROR(__xludf.DUMMYFUNCTION("GOOGLETRANSLATE(B4087:B4102,""RU"",""UK"")"),"Сальник 80х105")</f>
        <v>Сальник 80х105</v>
      </c>
      <c r="C37" s="59" t="s">
        <v>6</v>
      </c>
      <c r="D37" s="59">
        <v>3</v>
      </c>
      <c r="E37" s="91" t="s">
        <v>124</v>
      </c>
    </row>
    <row r="38" spans="1:5">
      <c r="A38" s="21">
        <v>17</v>
      </c>
      <c r="B38" s="198" t="str">
        <f ca="1">IFERROR(__xludf.DUMMYFUNCTION("GOOGLETRANSLATE(B4088:B4103,""RU"",""UK"")"),"Сальник, манжета армована 85х110")</f>
        <v>Сальник, манжета армована 85х110</v>
      </c>
      <c r="C38" s="59" t="s">
        <v>6</v>
      </c>
      <c r="D38" s="59">
        <v>116</v>
      </c>
      <c r="E38" s="91" t="s">
        <v>134</v>
      </c>
    </row>
    <row r="39" spans="1:5">
      <c r="A39" s="21">
        <v>18</v>
      </c>
      <c r="B39" s="198" t="str">
        <f ca="1">IFERROR(__xludf.DUMMYFUNCTION("GOOGLETRANSLATE(B4089:B4104,""RU"",""UK"")"),"Сальник, манжета армована 1,2х90х120")</f>
        <v>Сальник, манжета армована 1,2х90х120</v>
      </c>
      <c r="C39" s="59" t="s">
        <v>6</v>
      </c>
      <c r="D39" s="59">
        <v>8</v>
      </c>
      <c r="E39" s="91" t="s">
        <v>134</v>
      </c>
    </row>
    <row r="40" spans="1:5">
      <c r="A40" s="21">
        <v>19</v>
      </c>
      <c r="B40" s="198" t="str">
        <f ca="1">IFERROR(__xludf.DUMMYFUNCTION("GOOGLETRANSLATE(B4090:B4105,""RU"",""UK"")"),"Сальник, манжета армована 1,2х100х125")</f>
        <v>Сальник, манжета армована 1,2х100х125</v>
      </c>
      <c r="C40" s="59" t="s">
        <v>6</v>
      </c>
      <c r="D40" s="59">
        <v>40</v>
      </c>
      <c r="E40" s="91" t="s">
        <v>2911</v>
      </c>
    </row>
    <row r="41" spans="1:5">
      <c r="A41" s="21">
        <v>20</v>
      </c>
      <c r="B41" s="198" t="str">
        <f ca="1">IFERROR(__xludf.DUMMYFUNCTION("GOOGLETRANSLATE(B4091:B4106,""RU"",""UK"")"),"Сальник, манжета армована 1,2х110х135")</f>
        <v>Сальник, манжета армована 1,2х110х135</v>
      </c>
      <c r="C41" s="59" t="s">
        <v>6</v>
      </c>
      <c r="D41" s="59">
        <v>50</v>
      </c>
      <c r="E41" s="91" t="s">
        <v>600</v>
      </c>
    </row>
    <row r="42" spans="1:5">
      <c r="A42" s="21">
        <v>21</v>
      </c>
      <c r="B42" s="85" t="str">
        <f ca="1">IFERROR(__xludf.DUMMYFUNCTION("GOOGLETRANSLATE(B4092:B4107,""RU"",""UK"")"),"Кільце гум. 18х14х2/16х10х3/27х20х3,5")</f>
        <v>Кільце гум. 18х14х2/16х10х3/27х20х3,5</v>
      </c>
      <c r="C42" s="59" t="s">
        <v>6</v>
      </c>
      <c r="D42" s="59" t="s">
        <v>5456</v>
      </c>
      <c r="E42" s="91" t="s">
        <v>646</v>
      </c>
    </row>
    <row r="43" spans="1:5">
      <c r="A43" s="21">
        <v>22</v>
      </c>
      <c r="B43" s="85" t="str">
        <f ca="1">IFERROR(__xludf.DUMMYFUNCTION("GOOGLETRANSLATE(B4093:B4108,""RU"",""UK"")"),"Кільце гум. 34х24х5/37х30х3,5/43х38х2,5")</f>
        <v>Кільце гум. 34х24х5/37х30х3,5/43х38х2,5</v>
      </c>
      <c r="C43" s="59" t="s">
        <v>6</v>
      </c>
      <c r="D43" s="59" t="s">
        <v>4838</v>
      </c>
      <c r="E43" s="91" t="s">
        <v>5458</v>
      </c>
    </row>
    <row r="44" spans="1:5">
      <c r="A44" s="21">
        <v>23</v>
      </c>
      <c r="B44" s="85" t="str">
        <f ca="1">IFERROR(__xludf.DUMMYFUNCTION("GOOGLETRANSLATE(B4094:B4109,""RU"",""UK"")"),"Кільце гум. 59х45х7/74х62х6/82х72х5")</f>
        <v>Кільце гум. 59х45х7/74х62х6/82х72х5</v>
      </c>
      <c r="C44" s="59" t="s">
        <v>6</v>
      </c>
      <c r="D44" s="59" t="s">
        <v>5460</v>
      </c>
      <c r="E44" s="91" t="s">
        <v>1292</v>
      </c>
    </row>
    <row r="45" spans="1:5">
      <c r="A45" s="21">
        <v>24</v>
      </c>
      <c r="B45" s="85" t="str">
        <f ca="1">IFERROR(__xludf.DUMMYFUNCTION("GOOGLETRANSLATE(B4095:B4110,""RU"",""UK"")"),"Кільце гум. 127х120х3, 5/139х130х4, 5")</f>
        <v>Кільце гум. 127х120х3, 5/139х130х4, 5</v>
      </c>
      <c r="C45" s="59" t="s">
        <v>6</v>
      </c>
      <c r="D45" s="59" t="s">
        <v>2616</v>
      </c>
      <c r="E45" s="91" t="s">
        <v>132</v>
      </c>
    </row>
    <row r="46" spans="1:5">
      <c r="A46" s="21">
        <v>25</v>
      </c>
      <c r="B46" s="115" t="str">
        <f ca="1">IFERROR(__xludf.DUMMYFUNCTION("GOOGLETRANSLATE(B4096:B4111,""RU"",""UK"")"),"Кільце графітове 65х51х6")</f>
        <v>Кільце графітове 65х51х6</v>
      </c>
      <c r="C46" s="59" t="s">
        <v>6</v>
      </c>
      <c r="D46" s="59">
        <v>11</v>
      </c>
      <c r="E46" s="91" t="s">
        <v>248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topLeftCell="A16" zoomScale="250" zoomScaleNormal="250" workbookViewId="0">
      <selection activeCell="B25" sqref="B25"/>
    </sheetView>
  </sheetViews>
  <sheetFormatPr defaultRowHeight="12.75"/>
  <cols>
    <col min="1" max="1" width="7.7109375" style="142" customWidth="1"/>
    <col min="2" max="2" width="54.140625" style="142" customWidth="1"/>
    <col min="3" max="16384" width="9.140625" style="142"/>
  </cols>
  <sheetData>
    <row r="1" spans="1:5">
      <c r="B1" s="197" t="s">
        <v>6101</v>
      </c>
    </row>
    <row r="2" spans="1:5">
      <c r="A2" s="138">
        <v>1</v>
      </c>
      <c r="B2" s="139" t="str">
        <f ca="1">IFERROR(__xludf.DUMMYFUNCTION("GOOGLETRANSLATE(B4:B19,""RU"",""UK"")"),"Таль електрич. Пересувна (трос) 0.5тн. 6м.")</f>
        <v>Таль електрич. Пересувна (трос) 0.5тн. 6м.</v>
      </c>
      <c r="C2" s="140" t="s">
        <v>6</v>
      </c>
      <c r="D2" s="140">
        <v>2</v>
      </c>
      <c r="E2" s="141">
        <v>16530</v>
      </c>
    </row>
    <row r="3" spans="1:5">
      <c r="A3" s="138">
        <f>A2+1</f>
        <v>2</v>
      </c>
      <c r="B3" s="139" t="str">
        <f ca="1">IFERROR(__xludf.DUMMYFUNCTION("GOOGLETRANSLATE(B5:B20,""RU"",""UK"")"),"Таль електрич. Пересувна (трос) 0.25тн. 6м.")</f>
        <v>Таль електрич. Пересувна (трос) 0.25тн. 6м.</v>
      </c>
      <c r="C3" s="140" t="s">
        <v>6</v>
      </c>
      <c r="D3" s="140">
        <v>1</v>
      </c>
      <c r="E3" s="141">
        <v>12000</v>
      </c>
    </row>
    <row r="4" spans="1:5">
      <c r="A4" s="138">
        <f t="shared" ref="A4:A72" si="0">A3+1</f>
        <v>3</v>
      </c>
      <c r="B4" s="233" t="str">
        <f ca="1">IFERROR(__xludf.DUMMYFUNCTION("GOOGLETRANSLATE(B6:B21,""RU"",""UK"")"),"Таль ручна шестерна ланцюгова 2.0тн в.п.3м (вага 50кг.)")</f>
        <v>Таль ручна шестерна ланцюгова 2.0тн в.п.3м (вага 50кг.)</v>
      </c>
      <c r="C4" s="140" t="s">
        <v>6</v>
      </c>
      <c r="D4" s="140">
        <v>0</v>
      </c>
      <c r="E4" s="141">
        <v>4150</v>
      </c>
    </row>
    <row r="5" spans="1:5">
      <c r="A5" s="138">
        <f t="shared" si="0"/>
        <v>4</v>
      </c>
      <c r="B5" s="139" t="str">
        <f ca="1">IFERROR(__xludf.DUMMYFUNCTION("GOOGLETRANSLATE(B7:B22,""RU"",""UK"")"),"Лебідка важільна РБС г.під. 0.5тн")</f>
        <v>Лебідка важільна РБС г.під. 0.5тн</v>
      </c>
      <c r="C5" s="140" t="s">
        <v>6</v>
      </c>
      <c r="D5" s="140">
        <v>1</v>
      </c>
      <c r="E5" s="141" t="s">
        <v>10</v>
      </c>
    </row>
    <row r="6" spans="1:5">
      <c r="A6" s="138">
        <f t="shared" si="0"/>
        <v>5</v>
      </c>
      <c r="B6" s="139" t="str">
        <f ca="1">IFERROR(__xludf.DUMMYFUNCTION("GOOGLETRANSLATE(B8:B23,""RU"",""UK"")"),"Молоток рубальний пневматичний ІП4126 б/у")</f>
        <v>Молоток рубальний пневматичний ІП4126 б/у</v>
      </c>
      <c r="C6" s="143" t="s">
        <v>6</v>
      </c>
      <c r="D6" s="143">
        <v>1</v>
      </c>
      <c r="E6" s="144" t="s">
        <v>12</v>
      </c>
    </row>
    <row r="7" spans="1:5">
      <c r="A7" s="138">
        <f t="shared" si="0"/>
        <v>6</v>
      </c>
      <c r="B7" s="139" t="str">
        <f ca="1">IFERROR(__xludf.DUMMYFUNCTION("GOOGLETRANSLATE(B8:B23,""RU"",""UK"")"),"Молоток рубальний пневматичний ІП4126 Кр.гв")</f>
        <v>Молоток рубальний пневматичний ІП4126 Кр.гв</v>
      </c>
      <c r="C7" s="143" t="s">
        <v>6</v>
      </c>
      <c r="D7" s="143">
        <v>2</v>
      </c>
      <c r="E7" s="144">
        <v>4000</v>
      </c>
    </row>
    <row r="8" spans="1:5">
      <c r="A8" s="138">
        <f t="shared" si="0"/>
        <v>7</v>
      </c>
      <c r="B8" s="139" t="str">
        <f ca="1">IFERROR(__xludf.DUMMYFUNCTION("GOOGLETRANSLATE(B9:B24,""RU"",""UK"")"),"Молоток рубальний пневматичний ІП4119")</f>
        <v>Молоток рубальний пневматичний ІП4119</v>
      </c>
      <c r="C8" s="143" t="s">
        <v>6</v>
      </c>
      <c r="D8" s="143">
        <v>3</v>
      </c>
      <c r="E8" s="144" t="s">
        <v>14</v>
      </c>
    </row>
    <row r="9" spans="1:5">
      <c r="A9" s="138">
        <f t="shared" si="0"/>
        <v>8</v>
      </c>
      <c r="B9" s="139" t="s">
        <v>6242</v>
      </c>
      <c r="C9" s="143" t="s">
        <v>6</v>
      </c>
      <c r="D9" s="143">
        <v>1</v>
      </c>
      <c r="E9" s="144">
        <v>3500</v>
      </c>
    </row>
    <row r="10" spans="1:5">
      <c r="A10" s="138">
        <f t="shared" si="0"/>
        <v>9</v>
      </c>
      <c r="B10" s="139" t="str">
        <f ca="1">IFERROR(__xludf.DUMMYFUNCTION("GOOGLETRANSLATE(B10:B25,""RU"",""UK"")"),"Зубило до молотка рубального ІП 4119 L250 d20")</f>
        <v>Зубило до молотка рубального ІП 4119 L250 d20</v>
      </c>
      <c r="C10" s="143" t="s">
        <v>6</v>
      </c>
      <c r="D10" s="143">
        <v>6</v>
      </c>
      <c r="E10" s="144" t="s">
        <v>16</v>
      </c>
    </row>
    <row r="11" spans="1:5">
      <c r="A11" s="138">
        <f t="shared" si="0"/>
        <v>10</v>
      </c>
      <c r="B11" s="139" t="str">
        <f ca="1">IFERROR(__xludf.DUMMYFUNCTION("GOOGLETRANSLATE(B11:B26,""RU"",""UK"")"),"Лопатка до бетонолому ІП-4607")</f>
        <v>Лопатка до бетонолому ІП-4607</v>
      </c>
      <c r="C11" s="140" t="s">
        <v>6</v>
      </c>
      <c r="D11" s="140">
        <v>3</v>
      </c>
      <c r="E11" s="141" t="s">
        <v>18</v>
      </c>
    </row>
    <row r="12" spans="1:5">
      <c r="A12" s="138">
        <f t="shared" si="0"/>
        <v>11</v>
      </c>
      <c r="B12" s="139" t="str">
        <f ca="1">IFERROR(__xludf.DUMMYFUNCTION("GOOGLETRANSLATE(B12:B27,""RU"",""UK"")"),"Піка до МО-2, МО-3, ІП 4613")</f>
        <v>Піка до МО-2, МО-3, ІП 4613</v>
      </c>
      <c r="C12" s="140" t="s">
        <v>6</v>
      </c>
      <c r="D12" s="140">
        <v>10</v>
      </c>
      <c r="E12" s="141" t="s">
        <v>20</v>
      </c>
    </row>
    <row r="13" spans="1:5">
      <c r="A13" s="138">
        <f t="shared" si="0"/>
        <v>12</v>
      </c>
      <c r="B13" s="139" t="str">
        <f ca="1">IFERROR(__xludf.DUMMYFUNCTION("GOOGLETRANSLATE(B14:B29,""RU"",""UK"")"),"Лопатка до МО-2, МО-3, ІП 4613")</f>
        <v>Лопатка до МО-2, МО-3, ІП 4613</v>
      </c>
      <c r="C13" s="140" t="s">
        <v>6</v>
      </c>
      <c r="D13" s="140">
        <v>4</v>
      </c>
      <c r="E13" s="141" t="s">
        <v>24</v>
      </c>
    </row>
    <row r="14" spans="1:5">
      <c r="A14" s="138">
        <f t="shared" si="0"/>
        <v>13</v>
      </c>
      <c r="B14" s="139" t="str">
        <f ca="1">IFERROR(__xludf.DUMMYFUNCTION("GOOGLETRANSLATE(B15:B30,""RU"",""UK"")"),"Пружина кінцева до МО-2")</f>
        <v>Пружина кінцева до МО-2</v>
      </c>
      <c r="C14" s="140" t="s">
        <v>6</v>
      </c>
      <c r="D14" s="140">
        <v>8</v>
      </c>
      <c r="E14" s="141" t="s">
        <v>24</v>
      </c>
    </row>
    <row r="15" spans="1:5">
      <c r="A15" s="138">
        <f t="shared" si="0"/>
        <v>14</v>
      </c>
      <c r="B15" s="139" t="str">
        <f ca="1">IFERROR(__xludf.DUMMYFUNCTION("GOOGLETRANSLATE(B16:B31,""RU"",""UK"")"),"Склянка до ІП-4613 МО")</f>
        <v>Склянка до ІП-4613 МО</v>
      </c>
      <c r="C15" s="140" t="s">
        <v>6</v>
      </c>
      <c r="D15" s="140">
        <v>6</v>
      </c>
      <c r="E15" s="141" t="s">
        <v>27</v>
      </c>
    </row>
    <row r="16" spans="1:5">
      <c r="A16" s="138">
        <f t="shared" si="0"/>
        <v>15</v>
      </c>
      <c r="B16" s="139" t="str">
        <f ca="1">IFERROR(__xludf.DUMMYFUNCTION("GOOGLETRANSLATE(B17:B32,""RU"",""UK"")"),"Вібратор глибинний ІВ-47 (двигун)")</f>
        <v>Вібратор глибинний ІВ-47 (двигун)</v>
      </c>
      <c r="C16" s="140" t="s">
        <v>6</v>
      </c>
      <c r="D16" s="140">
        <v>1</v>
      </c>
      <c r="E16" s="141" t="s">
        <v>29</v>
      </c>
    </row>
    <row r="17" spans="1:5">
      <c r="A17" s="138">
        <f t="shared" si="0"/>
        <v>16</v>
      </c>
      <c r="B17" s="139" t="str">
        <f ca="1">IFERROR(__xludf.DUMMYFUNCTION("GOOGLETRANSLATE(B18:B33,""RU"",""UK"")"),"Булава до вібратора (Росія) 76мм.")</f>
        <v>Булава до вібратора (Росія) 76мм.</v>
      </c>
      <c r="C17" s="140" t="s">
        <v>6</v>
      </c>
      <c r="D17" s="140">
        <v>3</v>
      </c>
      <c r="E17" s="141">
        <v>924</v>
      </c>
    </row>
    <row r="18" spans="1:5">
      <c r="A18" s="138">
        <f t="shared" si="0"/>
        <v>17</v>
      </c>
      <c r="B18" s="139" t="str">
        <f ca="1">IFERROR(__xludf.DUMMYFUNCTION("GOOGLETRANSLATE(B19:B34,""RU"",""UK"")"),"Фарборозпилювач СО-71А із бачком")</f>
        <v>Фарборозпилювач СО-71А із бачком</v>
      </c>
      <c r="C18" s="140" t="s">
        <v>6</v>
      </c>
      <c r="D18" s="140">
        <v>1</v>
      </c>
      <c r="E18" s="141">
        <v>1100</v>
      </c>
    </row>
    <row r="19" spans="1:5">
      <c r="A19" s="138">
        <f t="shared" si="0"/>
        <v>18</v>
      </c>
      <c r="B19" s="139" t="str">
        <f ca="1">IFERROR(__xludf.DUMMYFUNCTION("GOOGLETRANSLATE(B20:B35,""RU"",""UK"")"),"Фарборозпилювач СО-71А новий із бачком вживаним")</f>
        <v>Фарборозпилювач СО-71А новий із бачком вживаним</v>
      </c>
      <c r="C19" s="140" t="s">
        <v>6</v>
      </c>
      <c r="D19" s="140">
        <v>1</v>
      </c>
      <c r="E19" s="141">
        <v>850</v>
      </c>
    </row>
    <row r="20" spans="1:5">
      <c r="A20" s="138">
        <f t="shared" si="0"/>
        <v>19</v>
      </c>
      <c r="B20" s="139" t="str">
        <f ca="1">IFERROR(__xludf.DUMMYFUNCTION("GOOGLETRANSLATE(B21:B36,""RU"",""UK"")"),"Фарборозпилювач КРП-10 (без бачка)")</f>
        <v>Фарборозпилювач КРП-10 (без бачка)</v>
      </c>
      <c r="C20" s="140" t="s">
        <v>6</v>
      </c>
      <c r="D20" s="140">
        <v>15</v>
      </c>
      <c r="E20" s="141" t="s">
        <v>33</v>
      </c>
    </row>
    <row r="21" spans="1:5">
      <c r="A21" s="138">
        <f t="shared" si="0"/>
        <v>20</v>
      </c>
      <c r="B21" s="139" t="str">
        <f ca="1">IFERROR(__xludf.DUMMYFUNCTION("GOOGLETRANSLATE(B22:B37,""RU"",""UK"")"),"Фарборозпилювач КА-2")</f>
        <v>Фарборозпилювач КА-2</v>
      </c>
      <c r="C21" s="140" t="s">
        <v>6</v>
      </c>
      <c r="D21" s="140">
        <v>1</v>
      </c>
      <c r="E21" s="141" t="s">
        <v>36</v>
      </c>
    </row>
    <row r="22" spans="1:5">
      <c r="A22" s="138">
        <f t="shared" si="0"/>
        <v>21</v>
      </c>
      <c r="B22" s="139" t="str">
        <f ca="1">IFERROR(__xludf.DUMMYFUNCTION("GOOGLETRANSLATE(B23:B38,""RU"",""UK"")"),"Краскопульт СО-20")</f>
        <v>Краскопульт СО-20</v>
      </c>
      <c r="C22" s="140" t="s">
        <v>6</v>
      </c>
      <c r="D22" s="140">
        <v>2</v>
      </c>
      <c r="E22" s="141" t="s">
        <v>38</v>
      </c>
    </row>
    <row r="23" spans="1:5">
      <c r="A23" s="138">
        <f t="shared" si="0"/>
        <v>22</v>
      </c>
      <c r="B23" s="139" t="str">
        <f ca="1">IFERROR(__xludf.DUMMYFUNCTION("GOOGLETRANSLATE(B24:B39,""RU"",""UK"")"),"Тиски верстатні поворотні 250мм (реставр.)")</f>
        <v>Тиски верстатні поворотні 250мм (реставр.)</v>
      </c>
      <c r="C23" s="140" t="s">
        <v>6</v>
      </c>
      <c r="D23" s="140">
        <v>1</v>
      </c>
      <c r="E23" s="141">
        <v>14600</v>
      </c>
    </row>
    <row r="24" spans="1:5">
      <c r="A24" s="138">
        <f t="shared" si="0"/>
        <v>23</v>
      </c>
      <c r="B24" s="189" t="str">
        <f ca="1">IFERROR(__xludf.DUMMYFUNCTION("GOOGLETRANSLATE(B25:B40,""RU"",""UK"")"),"Тиски верстатні поворотні 200мм (реставр.)")</f>
        <v>Тиски верстатні поворотні 200мм (реставр.)</v>
      </c>
      <c r="C24" s="140" t="s">
        <v>6</v>
      </c>
      <c r="D24" s="140">
        <v>0</v>
      </c>
      <c r="E24" s="141">
        <v>9300</v>
      </c>
    </row>
    <row r="25" spans="1:5">
      <c r="A25" s="138">
        <f t="shared" si="0"/>
        <v>24</v>
      </c>
      <c r="B25" s="201" t="str">
        <f ca="1">IFERROR(__xludf.DUMMYFUNCTION("GOOGLETRANSLATE(B26:B41,""RU"",""UK"")"),"Тиски верстатні поворотні 160мм вживані")</f>
        <v>Тиски верстатні поворотні 160мм вживані</v>
      </c>
      <c r="C25" s="140" t="s">
        <v>6</v>
      </c>
      <c r="D25" s="140">
        <v>1</v>
      </c>
      <c r="E25" s="141">
        <v>5200</v>
      </c>
    </row>
    <row r="26" spans="1:5">
      <c r="A26" s="138">
        <f t="shared" si="0"/>
        <v>25</v>
      </c>
      <c r="B26" s="139" t="str">
        <f ca="1">IFERROR(__xludf.DUMMYFUNCTION("GOOGLETRANSLATE(B27:B42,""RU"",""UK"")"),"Тиски верстатні не поворотні з гідроприводом, Т-подібн. пазами, 160мм")</f>
        <v>Тиски верстатні не поворотні з гідроприводом, Т-подібн. пазами, 160мм</v>
      </c>
      <c r="C26" s="140" t="s">
        <v>6</v>
      </c>
      <c r="D26" s="140">
        <v>1</v>
      </c>
      <c r="E26" s="141" t="s">
        <v>46</v>
      </c>
    </row>
    <row r="27" spans="1:5">
      <c r="A27" s="138">
        <f t="shared" si="0"/>
        <v>26</v>
      </c>
      <c r="B27" s="189" t="str">
        <f ca="1">IFERROR(__xludf.DUMMYFUNCTION("GOOGLETRANSLATE(B28:B43,""RU"",""UK"")"),"Тиски верстатні поворотні 125мм легке б/у")</f>
        <v>Тиски верстатні поворотні 125мм легке б/у</v>
      </c>
      <c r="C27" s="143" t="s">
        <v>6</v>
      </c>
      <c r="D27" s="143">
        <v>0</v>
      </c>
      <c r="E27" s="141" t="s">
        <v>48</v>
      </c>
    </row>
    <row r="28" spans="1:5">
      <c r="A28" s="138">
        <f t="shared" si="0"/>
        <v>27</v>
      </c>
      <c r="B28" s="139" t="str">
        <f ca="1">IFERROR(__xludf.DUMMYFUNCTION("GOOGLETRANSLATE(B29:B44,""RU"",""UK"")"),"Тиски лекальні 100мм")</f>
        <v>Тиски лекальні 100мм</v>
      </c>
      <c r="C28" s="140" t="s">
        <v>6</v>
      </c>
      <c r="D28" s="140">
        <v>0</v>
      </c>
      <c r="E28" s="141" t="s">
        <v>50</v>
      </c>
    </row>
    <row r="29" spans="1:5">
      <c r="A29" s="138">
        <f t="shared" si="0"/>
        <v>28</v>
      </c>
      <c r="B29" s="139" t="str">
        <f ca="1">IFERROR(__xludf.DUMMYFUNCTION("GOOGLETRANSLATE(B30:B45,""RU"",""UK"")"),"Тиски лекальні синусні 125мм (б/в)")</f>
        <v>Тиски лекальні синусні 125мм (б/в)</v>
      </c>
      <c r="C29" s="140" t="s">
        <v>6</v>
      </c>
      <c r="D29" s="140">
        <v>1</v>
      </c>
      <c r="E29" s="141" t="s">
        <v>42</v>
      </c>
    </row>
    <row r="30" spans="1:5">
      <c r="A30" s="138">
        <f t="shared" si="0"/>
        <v>29</v>
      </c>
      <c r="B30" s="139" t="str">
        <f ca="1">IFERROR(__xludf.DUMMYFUNCTION("GOOGLETRANSLATE(B31:B46,""RU"",""UK"")"),"Тиски ручні 45мм")</f>
        <v>Тиски ручні 45мм</v>
      </c>
      <c r="C30" s="140" t="s">
        <v>6</v>
      </c>
      <c r="D30" s="140">
        <v>3</v>
      </c>
      <c r="E30" s="141" t="s">
        <v>53</v>
      </c>
    </row>
    <row r="31" spans="1:5">
      <c r="A31" s="138">
        <f t="shared" si="0"/>
        <v>30</v>
      </c>
      <c r="B31" s="139" t="str">
        <f ca="1">IFERROR(__xludf.DUMMYFUNCTION("GOOGLETRANSLATE(B31:B46,""RU"",""UK"")"),"Тиски ручні 45мм мало вживані")</f>
        <v>Тиски ручні 45мм мало вживані</v>
      </c>
      <c r="C31" s="140" t="s">
        <v>6</v>
      </c>
      <c r="D31" s="140">
        <v>1</v>
      </c>
      <c r="E31" s="141">
        <v>450</v>
      </c>
    </row>
    <row r="32" spans="1:5">
      <c r="A32" s="138">
        <f t="shared" si="0"/>
        <v>31</v>
      </c>
      <c r="B32" s="139" t="str">
        <f ca="1">IFERROR(__xludf.DUMMYFUNCTION("GOOGLETRANSLATE(B33:B48,""RU"",""UK"")"),"Тиски слюсарні поворотні 120мм")</f>
        <v>Тиски слюсарні поворотні 120мм</v>
      </c>
      <c r="C32" s="140" t="s">
        <v>6</v>
      </c>
      <c r="D32" s="140">
        <v>5</v>
      </c>
      <c r="E32" s="141">
        <v>4800</v>
      </c>
    </row>
    <row r="33" spans="1:5">
      <c r="A33" s="138">
        <f t="shared" si="0"/>
        <v>32</v>
      </c>
      <c r="B33" s="139" t="str">
        <f ca="1">IFERROR(__xludf.DUMMYFUNCTION("GOOGLETRANSLATE(B34:B49,""RU"",""UK"")"),"Тиски слюсарні не поворотні 120мм")</f>
        <v>Тиски слюсарні не поворотні 120мм</v>
      </c>
      <c r="C33" s="140" t="s">
        <v>6</v>
      </c>
      <c r="D33" s="140">
        <v>3</v>
      </c>
      <c r="E33" s="141" t="s">
        <v>14</v>
      </c>
    </row>
    <row r="34" spans="1:5">
      <c r="A34" s="138">
        <f t="shared" si="0"/>
        <v>33</v>
      </c>
      <c r="B34" s="139" t="str">
        <f ca="1">IFERROR(__xludf.DUMMYFUNCTION("GOOGLETRANSLATE(B35:B50,""RU"",""UK"")"),"Тиски слюсарні поворотні 140мм")</f>
        <v>Тиски слюсарні поворотні 140мм</v>
      </c>
      <c r="C34" s="140" t="s">
        <v>6</v>
      </c>
      <c r="D34" s="140">
        <v>4</v>
      </c>
      <c r="E34" s="141">
        <v>5400</v>
      </c>
    </row>
    <row r="35" spans="1:5">
      <c r="A35" s="138">
        <f t="shared" si="0"/>
        <v>34</v>
      </c>
      <c r="B35" s="139" t="str">
        <f ca="1">IFERROR(__xludf.DUMMYFUNCTION("GOOGLETRANSLATE(B35:B50,""RU"",""UK"")"),"Тиски слюсарні поворотні 140мм посилені")</f>
        <v>Тиски слюсарні поворотні 140мм посилені</v>
      </c>
      <c r="C35" s="140" t="s">
        <v>6</v>
      </c>
      <c r="D35" s="140">
        <v>1</v>
      </c>
      <c r="E35" s="141">
        <v>5700</v>
      </c>
    </row>
    <row r="36" spans="1:5">
      <c r="A36" s="138">
        <f t="shared" si="0"/>
        <v>35</v>
      </c>
      <c r="B36" s="139" t="str">
        <f ca="1">IFERROR(__xludf.DUMMYFUNCTION("GOOGLETRANSLATE(B36:B51,""RU"",""UK"")"),"Тиски слюсарні не поворотні 150мм")</f>
        <v>Тиски слюсарні не поворотні 150мм</v>
      </c>
      <c r="C36" s="140" t="s">
        <v>6</v>
      </c>
      <c r="D36" s="140">
        <v>1</v>
      </c>
      <c r="E36" s="141" t="s">
        <v>61</v>
      </c>
    </row>
    <row r="37" spans="1:5">
      <c r="A37" s="138">
        <f t="shared" si="0"/>
        <v>36</v>
      </c>
      <c r="B37" s="139" t="str">
        <f ca="1">IFERROR(__xludf.DUMMYFUNCTION("GOOGLETRANSLATE(B37:B52,""RU"",""UK"")"),"Труборіз роликовий 1/2""- 2,5"" вживаний")</f>
        <v>Труборіз роликовий 1/2"- 2,5" вживаний</v>
      </c>
      <c r="C37" s="140" t="s">
        <v>6</v>
      </c>
      <c r="D37" s="140">
        <v>1</v>
      </c>
      <c r="E37" s="141" t="s">
        <v>63</v>
      </c>
    </row>
    <row r="38" spans="1:5">
      <c r="A38" s="138">
        <f t="shared" si="0"/>
        <v>37</v>
      </c>
      <c r="B38" s="232" t="str">
        <f ca="1">IFERROR(__xludf.DUMMYFUNCTION("GOOGLETRANSLATE(B38:B53,""RU"",""UK"")"),"Стіл верстатний поворотний ручний 250мм (м. Барановичі) горизонт. Мод7204-0003")</f>
        <v>Стіл верстатний поворотний ручний 250мм (м. Барановичі) горизонт. Мод7204-0003</v>
      </c>
      <c r="C38" s="140" t="s">
        <v>6</v>
      </c>
      <c r="D38" s="140">
        <v>0</v>
      </c>
      <c r="E38" s="141">
        <v>9500</v>
      </c>
    </row>
    <row r="39" spans="1:5">
      <c r="A39" s="138">
        <f t="shared" si="0"/>
        <v>38</v>
      </c>
      <c r="B39" s="85" t="str">
        <f ca="1">IFERROR(__xludf.DUMMYFUNCTION("GOOGLETRANSLATE(B3635:B3650,""RU"",""UK"")"),"Ділильна головка універсальна УДГ-Д-200А (патрон 125мм)")</f>
        <v>Ділильна головка універсальна УДГ-Д-200А (патрон 125мм)</v>
      </c>
      <c r="C39" s="59" t="s">
        <v>6</v>
      </c>
      <c r="D39" s="59">
        <v>0</v>
      </c>
      <c r="E39" s="91">
        <v>0</v>
      </c>
    </row>
    <row r="40" spans="1:5">
      <c r="A40" s="138">
        <f t="shared" si="0"/>
        <v>39</v>
      </c>
      <c r="B40" s="189" t="str">
        <f ca="1">IFERROR(__xludf.DUMMYFUNCTION("GOOGLETRANSLATE(B39:B54,""RU"",""UK"")"),"Плита магнітна 400х125мм Дрогобич")</f>
        <v>Плита магнітна 400х125мм Дрогобич</v>
      </c>
      <c r="C40" s="140" t="s">
        <v>6</v>
      </c>
      <c r="D40" s="140">
        <v>0</v>
      </c>
      <c r="E40" s="141" t="s">
        <v>66</v>
      </c>
    </row>
    <row r="41" spans="1:5">
      <c r="A41" s="138">
        <f t="shared" si="0"/>
        <v>40</v>
      </c>
      <c r="B41" s="201" t="s">
        <v>6148</v>
      </c>
      <c r="C41" s="140" t="s">
        <v>6</v>
      </c>
      <c r="D41" s="140">
        <v>1</v>
      </c>
      <c r="E41" s="141">
        <v>700</v>
      </c>
    </row>
    <row r="42" spans="1:5">
      <c r="A42" s="138">
        <f t="shared" si="0"/>
        <v>41</v>
      </c>
      <c r="B42" s="139" t="str">
        <f ca="1">IFERROR(__xludf.DUMMYFUNCTION("GOOGLETRANSLATE(B40:B55,""RU"",""UK"")"),"Пневмошліфмашина ІП-2014A")</f>
        <v>Пневмошліфмашина ІП-2014A</v>
      </c>
      <c r="C42" s="140" t="s">
        <v>6</v>
      </c>
      <c r="D42" s="140">
        <v>5</v>
      </c>
      <c r="E42" s="141" t="s">
        <v>68</v>
      </c>
    </row>
    <row r="43" spans="1:5">
      <c r="A43" s="138">
        <f t="shared" si="0"/>
        <v>42</v>
      </c>
      <c r="B43" s="139" t="str">
        <f ca="1">IFERROR(__xludf.DUMMYFUNCTION("GOOGLETRANSLATE(B41:B56,""RU"",""UK"")"),"Пневмошліфмашина ІП-2014Б")</f>
        <v>Пневмошліфмашина ІП-2014Б</v>
      </c>
      <c r="C43" s="140" t="s">
        <v>6</v>
      </c>
      <c r="D43" s="140">
        <v>4</v>
      </c>
      <c r="E43" s="141" t="s">
        <v>68</v>
      </c>
    </row>
    <row r="44" spans="1:5">
      <c r="A44" s="138">
        <f t="shared" si="0"/>
        <v>43</v>
      </c>
      <c r="B44" s="139" t="str">
        <f ca="1">IFERROR(__xludf.DUMMYFUNCTION("GOOGLETRANSLATE(B42:B57,""RU"",""UK"")"),"Пневмошліфмашина ІП-2014Б вживана")</f>
        <v>Пневмошліфмашина ІП-2014Б вживана</v>
      </c>
      <c r="C44" s="140" t="s">
        <v>6</v>
      </c>
      <c r="D44" s="140">
        <v>1</v>
      </c>
      <c r="E44" s="141" t="s">
        <v>71</v>
      </c>
    </row>
    <row r="45" spans="1:5">
      <c r="A45" s="138">
        <f t="shared" si="0"/>
        <v>44</v>
      </c>
      <c r="B45" s="139" t="str">
        <f ca="1">IFERROR(__xludf.DUMMYFUNCTION("GOOGLETRANSLATE(B43:B58,""RU"",""UK"")"),"Пневмошліфмашина ІП-2018")</f>
        <v>Пневмошліфмашина ІП-2018</v>
      </c>
      <c r="C45" s="140" t="s">
        <v>6</v>
      </c>
      <c r="D45" s="140">
        <v>6</v>
      </c>
      <c r="E45" s="141" t="s">
        <v>73</v>
      </c>
    </row>
    <row r="46" spans="1:5">
      <c r="A46" s="138">
        <f t="shared" si="0"/>
        <v>45</v>
      </c>
      <c r="B46" s="189" t="str">
        <f ca="1">IFERROR(__xludf.DUMMYFUNCTION("GOOGLETRANSLATE(B44:B59,""RU"",""UK"")"),"Пневмошліфмашина ІП-2009Б")</f>
        <v>Пневмошліфмашина ІП-2009Б</v>
      </c>
      <c r="C46" s="140" t="s">
        <v>6</v>
      </c>
      <c r="D46" s="140">
        <v>0</v>
      </c>
      <c r="E46" s="141" t="s">
        <v>75</v>
      </c>
    </row>
    <row r="47" spans="1:5">
      <c r="A47" s="138">
        <f t="shared" si="0"/>
        <v>46</v>
      </c>
      <c r="B47" s="139" t="str">
        <f ca="1">IFERROR(__xludf.DUMMYFUNCTION("GOOGLETRANSLATE(B45:B60,""RU"",""UK"")"),"Пневмошліфмашина кутова ІП-2203А (125мм)")</f>
        <v>Пневмошліфмашина кутова ІП-2203А (125мм)</v>
      </c>
      <c r="C47" s="140" t="s">
        <v>6</v>
      </c>
      <c r="D47" s="140">
        <v>1</v>
      </c>
      <c r="E47" s="141" t="s">
        <v>10</v>
      </c>
    </row>
    <row r="48" spans="1:5">
      <c r="A48" s="138">
        <f t="shared" si="0"/>
        <v>47</v>
      </c>
      <c r="B48" s="139" t="str">
        <f ca="1">IFERROR(__xludf.DUMMYFUNCTION("GOOGLETRANSLATE(B46:B61,""RU"",""UK"")"),"Пневмодрель кутова ІП-1104А")</f>
        <v>Пневмодрель кутова ІП-1104А</v>
      </c>
      <c r="C48" s="140" t="s">
        <v>6</v>
      </c>
      <c r="D48" s="140">
        <v>1</v>
      </c>
      <c r="E48" s="141" t="s">
        <v>78</v>
      </c>
    </row>
    <row r="49" spans="1:5">
      <c r="A49" s="138">
        <f t="shared" si="0"/>
        <v>48</v>
      </c>
      <c r="B49" s="139" t="str">
        <f ca="1">IFERROR(__xludf.DUMMYFUNCTION("GOOGLETRANSLATE(B47:B62,""RU"",""UK"")"),"Пневмодрель ІП-1019")</f>
        <v>Пневмодрель ІП-1019</v>
      </c>
      <c r="C49" s="140" t="s">
        <v>6</v>
      </c>
      <c r="D49" s="140">
        <v>1</v>
      </c>
      <c r="E49" s="141" t="s">
        <v>80</v>
      </c>
    </row>
    <row r="50" spans="1:5">
      <c r="A50" s="138">
        <f t="shared" si="0"/>
        <v>49</v>
      </c>
      <c r="B50" s="139" t="str">
        <f ca="1">IFERROR(__xludf.DUMMYFUNCTION("GOOGLETRANSLATE(B48:B63,""RU"",""UK"")"),"Пневмодрель ІП-1020 під. КМ1 (до 12мм)")</f>
        <v>Пневмодрель ІП-1020 під. КМ1 (до 12мм)</v>
      </c>
      <c r="C50" s="140" t="s">
        <v>6</v>
      </c>
      <c r="D50" s="140">
        <v>1</v>
      </c>
      <c r="E50" s="141" t="s">
        <v>80</v>
      </c>
    </row>
    <row r="51" spans="1:5">
      <c r="A51" s="138">
        <f t="shared" si="0"/>
        <v>50</v>
      </c>
      <c r="B51" s="139" t="str">
        <f ca="1">IFERROR(__xludf.DUMMYFUNCTION("GOOGLETRANSLATE(B49:B64,""RU"",""UK"")"),"Пневмодрель ІП-1027")</f>
        <v>Пневмодрель ІП-1027</v>
      </c>
      <c r="C51" s="140" t="s">
        <v>6</v>
      </c>
      <c r="D51" s="140">
        <v>1</v>
      </c>
      <c r="E51" s="141" t="s">
        <v>80</v>
      </c>
    </row>
    <row r="52" spans="1:5">
      <c r="A52" s="138">
        <f t="shared" si="0"/>
        <v>51</v>
      </c>
      <c r="B52" s="139" t="str">
        <f ca="1">IFERROR(__xludf.DUMMYFUNCTION("GOOGLETRANSLATE(B50:B65,""RU"",""UK"")"),"Пневмосвердлилка реверсивна кутова МСМ-23 КМ2")</f>
        <v>Пневмосвердлилка реверсивна кутова МСМ-23 КМ2</v>
      </c>
      <c r="C52" s="140" t="s">
        <v>6</v>
      </c>
      <c r="D52" s="140">
        <v>1</v>
      </c>
      <c r="E52" s="141" t="s">
        <v>84</v>
      </c>
    </row>
    <row r="53" spans="1:5">
      <c r="A53" s="138">
        <f t="shared" si="0"/>
        <v>52</v>
      </c>
      <c r="B53" s="139" t="str">
        <f ca="1">IFERROR(__xludf.DUMMYFUNCTION("GOOGLETRANSLATE(B51:B66,""RU"",""UK"")"),"Пневмосвердлилка реверсивна кутова МСМ-50 КМ4")</f>
        <v>Пневмосвердлилка реверсивна кутова МСМ-50 КМ4</v>
      </c>
      <c r="C53" s="140" t="s">
        <v>6</v>
      </c>
      <c r="D53" s="140">
        <v>1</v>
      </c>
      <c r="E53" s="141" t="s">
        <v>50</v>
      </c>
    </row>
    <row r="54" spans="1:5">
      <c r="A54" s="138">
        <f t="shared" si="0"/>
        <v>53</v>
      </c>
      <c r="B54" s="139" t="str">
        <f ca="1">IFERROR(__xludf.DUMMYFUNCTION("GOOGLETRANSLATE(B52:B67,""RU"",""UK"")"),"Пневмосвердлилка реверсивна кутова РМС-60М КМ5")</f>
        <v>Пневмосвердлилка реверсивна кутова РМС-60М КМ5</v>
      </c>
      <c r="C54" s="140" t="s">
        <v>6</v>
      </c>
      <c r="D54" s="140">
        <v>1</v>
      </c>
      <c r="E54" s="141" t="s">
        <v>59</v>
      </c>
    </row>
    <row r="55" spans="1:5">
      <c r="A55" s="138">
        <f t="shared" si="0"/>
        <v>54</v>
      </c>
      <c r="B55" s="139" t="str">
        <f ca="1">IFERROR(__xludf.DUMMYFUNCTION("GOOGLETRANSLATE(B53:B68,""RU"",""UK"")"),"Пневмогайковерт ІП-3125А (250Н.м. різьблення 18мм)")</f>
        <v>Пневмогайковерт ІП-3125А (250Н.м. різьблення 18мм)</v>
      </c>
      <c r="C55" s="140" t="s">
        <v>6</v>
      </c>
      <c r="D55" s="140">
        <v>3</v>
      </c>
      <c r="E55" s="141" t="s">
        <v>88</v>
      </c>
    </row>
    <row r="56" spans="1:5">
      <c r="A56" s="138">
        <f t="shared" si="0"/>
        <v>55</v>
      </c>
      <c r="B56" s="139" t="str">
        <f ca="1">IFERROR(__xludf.DUMMYFUNCTION("GOOGLETRANSLATE(B54:B69,""RU"",""UK"")"),"Пневмогайковерт ІП-3126А (400Н.м. різьблення 20мм)")</f>
        <v>Пневмогайковерт ІП-3126А (400Н.м. різьблення 20мм)</v>
      </c>
      <c r="C56" s="140" t="s">
        <v>6</v>
      </c>
      <c r="D56" s="140">
        <v>3</v>
      </c>
      <c r="E56" s="141" t="s">
        <v>80</v>
      </c>
    </row>
    <row r="57" spans="1:5">
      <c r="A57" s="138">
        <f t="shared" si="0"/>
        <v>56</v>
      </c>
      <c r="B57" s="139" t="str">
        <f ca="1">IFERROR(__xludf.DUMMYFUNCTION("GOOGLETRANSLATE(B55:B70,""RU"",""UK"")"),"Пневмогайковерт ІП-3127 (405Н.м. різьблення 22мм)")</f>
        <v>Пневмогайковерт ІП-3127 (405Н.м. різьблення 22мм)</v>
      </c>
      <c r="C57" s="140" t="s">
        <v>6</v>
      </c>
      <c r="D57" s="140">
        <v>1</v>
      </c>
      <c r="E57" s="141" t="s">
        <v>71</v>
      </c>
    </row>
    <row r="58" spans="1:5">
      <c r="A58" s="138">
        <f t="shared" si="0"/>
        <v>57</v>
      </c>
      <c r="B58" s="139" t="str">
        <f ca="1">IFERROR(__xludf.DUMMYFUNCTION("GOOGLETRANSLATE(B56:B71,""RU"",""UK"")"),"Пневмогайковерт ГПР 400")</f>
        <v>Пневмогайковерт ГПР 400</v>
      </c>
      <c r="C58" s="140" t="s">
        <v>6</v>
      </c>
      <c r="D58" s="140">
        <v>1</v>
      </c>
      <c r="E58" s="141">
        <v>1800</v>
      </c>
    </row>
    <row r="59" spans="1:5">
      <c r="A59" s="138">
        <f t="shared" si="0"/>
        <v>58</v>
      </c>
      <c r="B59" s="139" t="str">
        <f ca="1">IFERROR(__xludf.DUMMYFUNCTION("GOOGLETRANSLATE(B57:B72,""RU"",""UK"")"),"Пневмогайковерт ГПР 800")</f>
        <v>Пневмогайковерт ГПР 800</v>
      </c>
      <c r="C59" s="140" t="s">
        <v>6</v>
      </c>
      <c r="D59" s="140">
        <v>1</v>
      </c>
      <c r="E59" s="141" t="s">
        <v>38</v>
      </c>
    </row>
    <row r="60" spans="1:5">
      <c r="A60" s="138">
        <f t="shared" si="0"/>
        <v>59</v>
      </c>
      <c r="B60" s="139" t="str">
        <f ca="1">IFERROR(__xludf.DUMMYFUNCTION("GOOGLETRANSLATE(B58:B73,""RU"",""UK"")"),"Пневмогайковерт ІП-3106Б (800-1600Нм)")</f>
        <v>Пневмогайковерт ІП-3106Б (800-1600Нм)</v>
      </c>
      <c r="C60" s="140" t="s">
        <v>6</v>
      </c>
      <c r="D60" s="140">
        <v>2</v>
      </c>
      <c r="E60" s="141" t="s">
        <v>94</v>
      </c>
    </row>
    <row r="61" spans="1:5">
      <c r="A61" s="138">
        <f t="shared" si="0"/>
        <v>60</v>
      </c>
      <c r="B61" s="139" t="str">
        <f ca="1">IFERROR(__xludf.DUMMYFUNCTION("GOOGLETRANSLATE(B59:B74,""RU"",""UK"")"),"Пневмогайковерт ІП-3205 (800-1600Нм)")</f>
        <v>Пневмогайковерт ІП-3205 (800-1600Нм)</v>
      </c>
      <c r="C61" s="140" t="s">
        <v>6</v>
      </c>
      <c r="D61" s="140">
        <v>2</v>
      </c>
      <c r="E61" s="141" t="s">
        <v>94</v>
      </c>
    </row>
    <row r="62" spans="1:5">
      <c r="A62" s="138">
        <f t="shared" si="0"/>
        <v>61</v>
      </c>
      <c r="B62" s="139" t="str">
        <f ca="1">IFERROR(__xludf.DUMMYFUNCTION("GOOGLETRANSLATE(B60:B75,""RU"",""UK"")"),"Пневморізьбонарізна машинка ІП-3403Б")</f>
        <v>Пневморізьбонарізна машинка ІП-3403Б</v>
      </c>
      <c r="C62" s="140" t="s">
        <v>6</v>
      </c>
      <c r="D62" s="140">
        <v>7</v>
      </c>
      <c r="E62" s="141">
        <v>3600</v>
      </c>
    </row>
    <row r="63" spans="1:5">
      <c r="A63" s="138">
        <f t="shared" si="0"/>
        <v>62</v>
      </c>
      <c r="B63" s="139" t="str">
        <f ca="1">IFERROR(__xludf.DUMMYFUNCTION("GOOGLETRANSLATE(B61:B76,""RU"",""UK"")"),"Пневмомашина багатопрофільна МСМ 220В 350Вт 15000об/хв")</f>
        <v>Пневмомашина багатопрофільна МСМ 220В 350Вт 15000об/хв</v>
      </c>
      <c r="C63" s="140" t="s">
        <v>6</v>
      </c>
      <c r="D63" s="140">
        <v>1</v>
      </c>
      <c r="E63" s="141" t="s">
        <v>38</v>
      </c>
    </row>
    <row r="64" spans="1:5">
      <c r="A64" s="138">
        <f t="shared" si="0"/>
        <v>63</v>
      </c>
      <c r="B64" s="139" t="str">
        <f ca="1">IFERROR(__xludf.DUMMYFUNCTION("GOOGLETRANSLATE(B62:B77,""RU"",""UK"")"),"Пневмошуруповерт LB5H (викрутка РН2, РН3)")</f>
        <v>Пневмошуруповерт LB5H (викрутка РН2, РН3)</v>
      </c>
      <c r="C64" s="140" t="s">
        <v>6</v>
      </c>
      <c r="D64" s="140">
        <v>1</v>
      </c>
      <c r="E64" s="141" t="s">
        <v>100</v>
      </c>
    </row>
    <row r="65" spans="1:5">
      <c r="A65" s="138">
        <f t="shared" si="0"/>
        <v>64</v>
      </c>
      <c r="B65" s="139" t="str">
        <f ca="1">IFERROR(__xludf.DUMMYFUNCTION("GOOGLETRANSLATE(B63:B78,""RU"",""UK"")"),"Пневмошуруповерт LB8H (викрутка РН2, РН3)")</f>
        <v>Пневмошуруповерт LB8H (викрутка РН2, РН3)</v>
      </c>
      <c r="C65" s="140" t="s">
        <v>6</v>
      </c>
      <c r="D65" s="140">
        <v>1</v>
      </c>
      <c r="E65" s="141" t="s">
        <v>102</v>
      </c>
    </row>
    <row r="66" spans="1:5">
      <c r="A66" s="138">
        <f t="shared" si="0"/>
        <v>65</v>
      </c>
      <c r="B66" s="139" t="str">
        <f ca="1">IFERROR(__xludf.DUMMYFUNCTION("GOOGLETRANSLATE(B64:B79,""RU"",""UK"")"),"Струбцина сталева 0-20мм")</f>
        <v>Струбцина сталева 0-20мм</v>
      </c>
      <c r="C66" s="140" t="s">
        <v>6</v>
      </c>
      <c r="D66" s="140">
        <v>27</v>
      </c>
      <c r="E66" s="141" t="s">
        <v>104</v>
      </c>
    </row>
    <row r="67" spans="1:5">
      <c r="A67" s="138">
        <f t="shared" si="0"/>
        <v>66</v>
      </c>
      <c r="B67" s="139" t="str">
        <f ca="1">IFERROR(__xludf.DUMMYFUNCTION("GOOGLETRANSLATE(B67:B82,""RU"",""UK"")"),"Струбцина алюмін. 0-80мм")</f>
        <v>Струбцина алюмін. 0-80мм</v>
      </c>
      <c r="C67" s="140" t="s">
        <v>6</v>
      </c>
      <c r="D67" s="140">
        <v>2</v>
      </c>
      <c r="E67" s="141">
        <v>450</v>
      </c>
    </row>
    <row r="68" spans="1:5">
      <c r="A68" s="138">
        <f t="shared" si="0"/>
        <v>67</v>
      </c>
      <c r="B68" s="139" t="str">
        <f ca="1">IFERROR(__xludf.DUMMYFUNCTION("GOOGLETRANSLATE(B67:B82,""RU"",""UK"")"),"Струбцина сталева 0-230мм")</f>
        <v>Струбцина сталева 0-230мм</v>
      </c>
      <c r="C68" s="140" t="s">
        <v>6</v>
      </c>
      <c r="D68" s="140">
        <v>1</v>
      </c>
      <c r="E68" s="141" t="s">
        <v>106</v>
      </c>
    </row>
    <row r="69" spans="1:5">
      <c r="A69" s="138">
        <f t="shared" si="0"/>
        <v>68</v>
      </c>
      <c r="B69" s="139" t="str">
        <f ca="1">IFERROR(__xludf.DUMMYFUNCTION("GOOGLETRANSLATE(B68:B83,""RU"",""UK"")"),"Струбцина сталева 0-370мм")</f>
        <v>Струбцина сталева 0-370мм</v>
      </c>
      <c r="C69" s="140" t="s">
        <v>6</v>
      </c>
      <c r="D69" s="140">
        <v>1</v>
      </c>
      <c r="E69" s="141" t="s">
        <v>18</v>
      </c>
    </row>
    <row r="70" spans="1:5">
      <c r="A70" s="138">
        <f t="shared" si="0"/>
        <v>69</v>
      </c>
      <c r="B70" s="139" t="str">
        <f ca="1">IFERROR(__xludf.DUMMYFUNCTION("GOOGLETRANSLATE(B69:B84,""RU"",""UK"")"),"Струбцина 200-400мм Німеччина")</f>
        <v>Струбцина 200-400мм Німеччина</v>
      </c>
      <c r="C70" s="140" t="s">
        <v>6</v>
      </c>
      <c r="D70" s="140">
        <v>1</v>
      </c>
      <c r="E70" s="141" t="s">
        <v>111</v>
      </c>
    </row>
    <row r="71" spans="1:5">
      <c r="A71" s="138">
        <f t="shared" si="0"/>
        <v>70</v>
      </c>
      <c r="B71" s="201" t="str">
        <f ca="1">IFERROR(__xludf.DUMMYFUNCTION("GOOGLETRANSLATE(B70:B85,""RU"",""UK"")"),"Знімач для підшипників, шківів тощо d200мм L300 (2 лапи) Німеччина")</f>
        <v>Знімач для підшипників, шківів тощо d200мм L300 (2 лапи) Німеччина</v>
      </c>
      <c r="C71" s="140" t="s">
        <v>6</v>
      </c>
      <c r="D71" s="140">
        <v>2</v>
      </c>
      <c r="E71" s="141">
        <v>1830</v>
      </c>
    </row>
    <row r="72" spans="1:5">
      <c r="A72" s="138">
        <f t="shared" si="0"/>
        <v>71</v>
      </c>
      <c r="B72" s="139" t="str">
        <f ca="1">IFERROR(__xludf.DUMMYFUNCTION("GOOGLETRANSLATE(B71:B86,""RU"",""UK"")"),"Шпильковерт М24")</f>
        <v>Шпильковерт М24</v>
      </c>
      <c r="C72" s="140" t="s">
        <v>6</v>
      </c>
      <c r="D72" s="140">
        <v>2</v>
      </c>
      <c r="E72" s="141" t="s">
        <v>106</v>
      </c>
    </row>
    <row r="73" spans="1:5">
      <c r="A73" s="138">
        <f t="shared" ref="A73:A87" si="1">A72+1</f>
        <v>72</v>
      </c>
      <c r="B73" s="139" t="str">
        <f ca="1">IFERROR(__xludf.DUMMYFUNCTION("GOOGLETRANSLATE(B72:B87,""RU"",""UK"")"),"Шпильковерт М24-32мм")</f>
        <v>Шпильковерт М24-32мм</v>
      </c>
      <c r="C73" s="140" t="s">
        <v>6</v>
      </c>
      <c r="D73" s="140">
        <v>2</v>
      </c>
      <c r="E73" s="141" t="s">
        <v>106</v>
      </c>
    </row>
    <row r="74" spans="1:5">
      <c r="A74" s="138">
        <f t="shared" si="1"/>
        <v>73</v>
      </c>
      <c r="B74" s="139" t="str">
        <f ca="1">IFERROR(__xludf.DUMMYFUNCTION("GOOGLETRANSLATE(B74:B89,""RU"",""UK"")"),"Шприц-нагнітач П7 ГОСТ")</f>
        <v>Шприц-нагнітач П7 ГОСТ</v>
      </c>
      <c r="C74" s="140" t="s">
        <v>6</v>
      </c>
      <c r="D74" s="140">
        <v>0</v>
      </c>
      <c r="E74" s="141">
        <v>300</v>
      </c>
    </row>
    <row r="75" spans="1:5">
      <c r="A75" s="138">
        <f t="shared" si="1"/>
        <v>74</v>
      </c>
      <c r="B75" s="209" t="str">
        <f ca="1">IFERROR(__xludf.DUMMYFUNCTION("GOOGLETRANSLATE(B75:B90,""RU"",""UK"")"),"Шприц плунжерний важіль. (СПРИНЦІВКА ДЛЯ ЗМАЩУВАННЯ, 400мл) ГОСТ")</f>
        <v>Шприц плунжерний важіль. (СПРИНЦІВКА ДЛЯ ЗМАЩУВАННЯ, 400мл) ГОСТ</v>
      </c>
      <c r="C75" s="140" t="s">
        <v>6</v>
      </c>
      <c r="D75" s="140">
        <v>0</v>
      </c>
      <c r="E75" s="141">
        <v>588</v>
      </c>
    </row>
    <row r="76" spans="1:5">
      <c r="A76" s="138">
        <f t="shared" si="1"/>
        <v>75</v>
      </c>
      <c r="B76" s="189" t="str">
        <f ca="1">IFERROR(__xludf.DUMMYFUNCTION("GOOGLETRANSLATE(B76:B91,""RU"",""UK"")"),"Шприц-маслонагнітач з гнучким шлангом ШРГ630")</f>
        <v>Шприц-маслонагнітач з гнучким шлангом ШРГ630</v>
      </c>
      <c r="C76" s="140" t="s">
        <v>6</v>
      </c>
      <c r="D76" s="140">
        <v>0</v>
      </c>
      <c r="E76" s="141" t="s">
        <v>63</v>
      </c>
    </row>
    <row r="77" spans="1:5">
      <c r="A77" s="138">
        <f t="shared" si="1"/>
        <v>76</v>
      </c>
      <c r="B77" s="139" t="str">
        <f ca="1">IFERROR(__xludf.DUMMYFUNCTION("GOOGLETRANSLATE(B77:B92,""RU"",""UK"")"),"Швидкознімне з'єднання пневмо. (рукав 12мм)")</f>
        <v>Швидкознімне з'єднання пневмо. (рукав 12мм)</v>
      </c>
      <c r="C77" s="140" t="s">
        <v>6</v>
      </c>
      <c r="D77" s="140">
        <v>6</v>
      </c>
      <c r="E77" s="141" t="s">
        <v>124</v>
      </c>
    </row>
    <row r="78" spans="1:5">
      <c r="A78" s="138">
        <f t="shared" si="1"/>
        <v>77</v>
      </c>
      <c r="B78" s="139" t="str">
        <f ca="1">IFERROR(__xludf.DUMMYFUNCTION("GOOGLETRANSLATE(B78:B93,""RU"",""UK"")"),"Дриль ручний до 10мм (поламана ручка)")</f>
        <v>Дриль ручний до 10мм (поламана ручка)</v>
      </c>
      <c r="C78" s="140" t="s">
        <v>6</v>
      </c>
      <c r="D78" s="140">
        <v>1</v>
      </c>
      <c r="E78" s="141" t="s">
        <v>22</v>
      </c>
    </row>
    <row r="79" spans="1:5">
      <c r="A79" s="138">
        <f t="shared" si="1"/>
        <v>78</v>
      </c>
      <c r="B79" s="139" t="str">
        <f ca="1">IFERROR(__xludf.DUMMYFUNCTION("GOOGLETRANSLATE(B79:B94,""RU"",""UK"")"),"Дриль ручний до 13мм")</f>
        <v>Дриль ручний до 13мм</v>
      </c>
      <c r="C79" s="140" t="s">
        <v>6</v>
      </c>
      <c r="D79" s="140">
        <v>1</v>
      </c>
      <c r="E79" s="141" t="s">
        <v>22</v>
      </c>
    </row>
    <row r="80" spans="1:5">
      <c r="A80" s="138">
        <f t="shared" si="1"/>
        <v>79</v>
      </c>
      <c r="B80" s="189" t="s">
        <v>6214</v>
      </c>
      <c r="C80" s="140" t="s">
        <v>6</v>
      </c>
      <c r="D80" s="140">
        <v>0</v>
      </c>
      <c r="E80" s="141">
        <v>450</v>
      </c>
    </row>
    <row r="81" spans="1:5">
      <c r="A81" s="138">
        <f t="shared" si="1"/>
        <v>80</v>
      </c>
      <c r="B81" s="201" t="s">
        <v>6283</v>
      </c>
      <c r="C81" s="140" t="s">
        <v>6</v>
      </c>
      <c r="D81" s="140">
        <v>1</v>
      </c>
      <c r="E81" s="141">
        <v>900</v>
      </c>
    </row>
    <row r="82" spans="1:5">
      <c r="A82" s="138">
        <f t="shared" si="1"/>
        <v>81</v>
      </c>
      <c r="B82" s="139" t="str">
        <f ca="1">IFERROR(__xludf.DUMMYFUNCTION("GOOGLETRANSLATE(B80:B95,""RU"",""UK"")"),"Пломбіратор великий")</f>
        <v>Пломбіратор великий</v>
      </c>
      <c r="C82" s="140" t="s">
        <v>6</v>
      </c>
      <c r="D82" s="140">
        <v>6</v>
      </c>
      <c r="E82" s="141" t="s">
        <v>128</v>
      </c>
    </row>
    <row r="83" spans="1:5">
      <c r="A83" s="138">
        <f t="shared" si="1"/>
        <v>82</v>
      </c>
      <c r="B83" s="139" t="str">
        <f ca="1">IFERROR(__xludf.DUMMYFUNCTION("GOOGLETRANSLATE(B82:B97,""RU"",""UK"")"),"Дріт пломбувальний круч. 50гр")</f>
        <v>Дріт пломбувальний круч. 50гр</v>
      </c>
      <c r="C83" s="140" t="s">
        <v>6</v>
      </c>
      <c r="D83" s="140">
        <v>1</v>
      </c>
      <c r="E83" s="141" t="s">
        <v>132</v>
      </c>
    </row>
    <row r="84" spans="1:5">
      <c r="A84" s="138">
        <f t="shared" si="1"/>
        <v>83</v>
      </c>
      <c r="B84" s="139" t="str">
        <f ca="1">IFERROR(__xludf.DUMMYFUNCTION("GOOGLETRANSLATE(B83:B98,""RU"",""UK"")"),"Дріт пломбувальний круч. 250гр")</f>
        <v>Дріт пломбувальний круч. 250гр</v>
      </c>
      <c r="C84" s="140" t="s">
        <v>6</v>
      </c>
      <c r="D84" s="140">
        <v>1</v>
      </c>
      <c r="E84" s="141" t="s">
        <v>134</v>
      </c>
    </row>
    <row r="85" spans="1:5">
      <c r="A85" s="138">
        <f t="shared" si="1"/>
        <v>84</v>
      </c>
      <c r="B85" s="139" t="str">
        <f ca="1">IFERROR(__xludf.DUMMYFUNCTION("GOOGLETRANSLATE(B84:B99,""RU"",""UK"")"),"Дріт пломбувальний круч. 900гр")</f>
        <v>Дріт пломбувальний круч. 900гр</v>
      </c>
      <c r="C85" s="140" t="s">
        <v>6</v>
      </c>
      <c r="D85" s="140">
        <v>2</v>
      </c>
      <c r="E85" s="141" t="s">
        <v>136</v>
      </c>
    </row>
    <row r="86" spans="1:5">
      <c r="A86" s="138">
        <f t="shared" si="1"/>
        <v>85</v>
      </c>
      <c r="B86" s="233" t="str">
        <f ca="1">IFERROR(__xludf.DUMMYFUNCTION("GOOGLETRANSLATE(B85:B100,""RU"",""UK"")"),"Пристрій для нарізування прокладок КМ3")</f>
        <v>Пристрій для нарізування прокладок КМ3</v>
      </c>
      <c r="C86" s="140" t="s">
        <v>6</v>
      </c>
      <c r="D86" s="140">
        <v>0</v>
      </c>
      <c r="E86" s="141">
        <v>1350</v>
      </c>
    </row>
    <row r="87" spans="1:5">
      <c r="A87" s="138">
        <f t="shared" si="1"/>
        <v>86</v>
      </c>
      <c r="B87" s="139" t="str">
        <f ca="1">IFERROR(__xludf.DUMMYFUNCTION("GOOGLETRANSLATE(B86:B101,""RU"",""UK"")"),"Віброопора ОВ-30")</f>
        <v>Віброопора ОВ-30</v>
      </c>
      <c r="C87" s="140" t="s">
        <v>6</v>
      </c>
      <c r="D87" s="140">
        <v>2</v>
      </c>
      <c r="E87" s="141" t="s">
        <v>140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opLeftCell="A10" zoomScale="230" zoomScaleNormal="230" workbookViewId="0">
      <selection activeCell="B20" sqref="B20"/>
    </sheetView>
  </sheetViews>
  <sheetFormatPr defaultRowHeight="12.75"/>
  <cols>
    <col min="2" max="2" width="55.85546875" customWidth="1"/>
  </cols>
  <sheetData>
    <row r="1" spans="1:5">
      <c r="A1" s="68"/>
      <c r="B1" s="110" t="s">
        <v>6057</v>
      </c>
      <c r="C1" s="69"/>
      <c r="D1" s="69"/>
      <c r="E1" s="106"/>
    </row>
    <row r="2" spans="1:5">
      <c r="A2" s="21">
        <v>1</v>
      </c>
      <c r="B2" s="85" t="str">
        <f ca="1">IFERROR(__xludf.DUMMYFUNCTION("GOOGLETRANSLATE(B4018:B4033,""RU"",""UK"")"),"МТП - 1М 0 - 2,5 кг/см2")</f>
        <v>МТП - 1М 0 - 2,5 кг/см2</v>
      </c>
      <c r="C2" s="59" t="s">
        <v>6</v>
      </c>
      <c r="D2" s="59">
        <v>406</v>
      </c>
      <c r="E2" s="91" t="s">
        <v>319</v>
      </c>
    </row>
    <row r="3" spans="1:5">
      <c r="A3" s="21">
        <v>2</v>
      </c>
      <c r="B3" s="85" t="str">
        <f ca="1">IFERROR(__xludf.DUMMYFUNCTION("GOOGLETRANSLATE(B4019:B4034,""RU"",""UK"")"),"МТП - 1М 0 - 6 кг/см2")</f>
        <v>МТП - 1М 0 - 6 кг/см2</v>
      </c>
      <c r="C3" s="59" t="s">
        <v>6</v>
      </c>
      <c r="D3" s="59">
        <v>26</v>
      </c>
      <c r="E3" s="91" t="s">
        <v>319</v>
      </c>
    </row>
    <row r="4" spans="1:5">
      <c r="A4" s="21">
        <v>3</v>
      </c>
      <c r="B4" s="85" t="str">
        <f ca="1">IFERROR(__xludf.DUMMYFUNCTION("GOOGLETRANSLATE(B4020:B4035,""RU"",""UK"")"),"МТП - 1М 0 - 10 кг/см2")</f>
        <v>МТП - 1М 0 - 10 кг/см2</v>
      </c>
      <c r="C4" s="59" t="s">
        <v>6</v>
      </c>
      <c r="D4" s="59">
        <v>2</v>
      </c>
      <c r="E4" s="91" t="s">
        <v>319</v>
      </c>
    </row>
    <row r="5" spans="1:5">
      <c r="A5" s="21">
        <v>4</v>
      </c>
      <c r="B5" s="85" t="str">
        <f ca="1">IFERROR(__xludf.DUMMYFUNCTION("GOOGLETRANSLATE(B4022:B4037,""RU"",""UK"")"),"МТП - 1М 0 - 40 кг/см2")</f>
        <v>МТП - 1М 0 - 40 кг/см2</v>
      </c>
      <c r="C5" s="59" t="s">
        <v>6</v>
      </c>
      <c r="D5" s="59">
        <v>18</v>
      </c>
      <c r="E5" s="91" t="s">
        <v>319</v>
      </c>
    </row>
    <row r="6" spans="1:5">
      <c r="A6" s="21">
        <v>5</v>
      </c>
      <c r="B6" s="85" t="str">
        <f ca="1">IFERROR(__xludf.DUMMYFUNCTION("GOOGLETRANSLATE(B4023:B4038,""RU"",""UK"")"),"МТП - 1М 0 - 60 кг/см2")</f>
        <v>МТП - 1М 0 - 60 кг/см2</v>
      </c>
      <c r="C6" s="59" t="s">
        <v>6</v>
      </c>
      <c r="D6" s="59">
        <v>73</v>
      </c>
      <c r="E6" s="91" t="s">
        <v>319</v>
      </c>
    </row>
    <row r="7" spans="1:5">
      <c r="A7" s="21">
        <v>6</v>
      </c>
      <c r="B7" s="85" t="str">
        <f ca="1">IFERROR(__xludf.DUMMYFUNCTION("GOOGLETRANSLATE(B4024:B4039,""RU"",""UK"")"),"МТП – 1М (МТ) 0 – 100 кг/см2")</f>
        <v>МТП – 1М (МТ) 0 – 100 кг/см2</v>
      </c>
      <c r="C7" s="59" t="s">
        <v>6</v>
      </c>
      <c r="D7" s="59">
        <v>35</v>
      </c>
      <c r="E7" s="91" t="s">
        <v>319</v>
      </c>
    </row>
    <row r="8" spans="1:5">
      <c r="A8" s="21">
        <v>7</v>
      </c>
      <c r="B8" s="85" t="str">
        <f ca="1">IFERROR(__xludf.DUMMYFUNCTION("GOOGLETRANSLATE(B4025:B4040,""RU"",""UK"")"),"МТП - 1М 0 - 160 кг/см2")</f>
        <v>МТП - 1М 0 - 160 кг/см2</v>
      </c>
      <c r="C8" s="59" t="s">
        <v>6</v>
      </c>
      <c r="D8" s="59">
        <v>3</v>
      </c>
      <c r="E8" s="91" t="s">
        <v>319</v>
      </c>
    </row>
    <row r="9" spans="1:5">
      <c r="A9" s="21">
        <v>8</v>
      </c>
      <c r="B9" s="85" t="str">
        <f ca="1">IFERROR(__xludf.DUMMYFUNCTION("GOOGLETRANSLATE(B4026:B4041,""RU"",""UK"")"),"МТП - 100 0 - 1 кг/см2")</f>
        <v>МТП - 100 0 - 1 кг/см2</v>
      </c>
      <c r="C9" s="59" t="s">
        <v>6</v>
      </c>
      <c r="D9" s="59">
        <v>3</v>
      </c>
      <c r="E9" s="91">
        <v>230</v>
      </c>
    </row>
    <row r="10" spans="1:5">
      <c r="A10" s="21">
        <v>9</v>
      </c>
      <c r="B10" s="85" t="str">
        <f ca="1">IFERROR(__xludf.DUMMYFUNCTION("GOOGLETRANSLATE(B4027:B4042,""RU"",""UK"")"),"ОБМ 1 - 100 0 - 1,6 кг/см2/0-6кг/см2")</f>
        <v>ОБМ 1 - 100 0 - 1,6 кг/см2/0-6кг/см2</v>
      </c>
      <c r="C10" s="59" t="s">
        <v>6</v>
      </c>
      <c r="D10" s="59" t="s">
        <v>749</v>
      </c>
      <c r="E10" s="91">
        <v>230</v>
      </c>
    </row>
    <row r="11" spans="1:5">
      <c r="A11" s="21">
        <v>10</v>
      </c>
      <c r="B11" s="85" t="str">
        <f ca="1">IFERROR(__xludf.DUMMYFUNCTION("GOOGLETRANSLATE(B4028:B4043,""RU"",""UK"")"),"МТП - 100 0 - 2,5 кг/см2")</f>
        <v>МТП - 100 0 - 2,5 кг/см2</v>
      </c>
      <c r="C11" s="59" t="s">
        <v>6</v>
      </c>
      <c r="D11" s="59">
        <v>21</v>
      </c>
      <c r="E11" s="91">
        <v>230</v>
      </c>
    </row>
    <row r="12" spans="1:5">
      <c r="A12" s="21">
        <v>11</v>
      </c>
      <c r="B12" s="85" t="str">
        <f ca="1">IFERROR(__xludf.DUMMYFUNCTION("GOOGLETRANSLATE(B4029:B4044,""RU"",""UK"")"),"МТП - 100 0 - 4 кг/см2")</f>
        <v>МТП - 100 0 - 4 кг/см2</v>
      </c>
      <c r="C12" s="59" t="s">
        <v>6</v>
      </c>
      <c r="D12" s="59">
        <v>1</v>
      </c>
      <c r="E12" s="91">
        <v>230</v>
      </c>
    </row>
    <row r="13" spans="1:5">
      <c r="A13" s="21">
        <v>12</v>
      </c>
      <c r="B13" s="85" t="str">
        <f ca="1">IFERROR(__xludf.DUMMYFUNCTION("GOOGLETRANSLATE(B4030:B4045,""RU"",""UK"")"),"ДМ – 100 0 – 16 кг/см2 (1,6МРа)")</f>
        <v>ДМ – 100 0 – 16 кг/см2 (1,6МРа)</v>
      </c>
      <c r="C13" s="59" t="s">
        <v>6</v>
      </c>
      <c r="D13" s="59">
        <v>2</v>
      </c>
      <c r="E13" s="91">
        <v>230</v>
      </c>
    </row>
    <row r="14" spans="1:5">
      <c r="A14" s="21">
        <v>13</v>
      </c>
      <c r="B14" s="85" t="str">
        <f ca="1">IFERROR(__xludf.DUMMYFUNCTION("GOOGLETRANSLATE(B4031:B4046,""RU"",""UK"")"),"МТП - 160 0 - 2,5 кг/см2 / МТІ 160 0 - 2,5 кг/см2")</f>
        <v>МТП - 160 0 - 2,5 кг/см2 / МТІ 160 0 - 2,5 кг/см2</v>
      </c>
      <c r="C14" s="59" t="s">
        <v>6</v>
      </c>
      <c r="D14" s="59" t="s">
        <v>5390</v>
      </c>
      <c r="E14" s="91" t="s">
        <v>128</v>
      </c>
    </row>
    <row r="15" spans="1:5">
      <c r="A15" s="21">
        <v>14</v>
      </c>
      <c r="B15" s="85" t="str">
        <f ca="1">IFERROR(__xludf.DUMMYFUNCTION("GOOGLETRANSLATE(B4032:B4047,""RU"",""UK"")"),"KFM - 160 0 - 4кг/см2")</f>
        <v>KFM - 160 0 - 4кг/см2</v>
      </c>
      <c r="C15" s="59" t="s">
        <v>6</v>
      </c>
      <c r="D15" s="59">
        <v>10</v>
      </c>
      <c r="E15" s="91" t="s">
        <v>128</v>
      </c>
    </row>
    <row r="16" spans="1:5">
      <c r="A16" s="21">
        <v>15</v>
      </c>
      <c r="B16" s="85" t="str">
        <f ca="1">IFERROR(__xludf.DUMMYFUNCTION("GOOGLETRANSLATE(B4033:B4048,""RU"",""UK"")"),"МП4-У - 160 0 - 6кг/см2 / ОБМ1 - 160Б 0 - 6кг/см2")</f>
        <v>МП4-У - 160 0 - 6кг/см2 / ОБМ1 - 160Б 0 - 6кг/см2</v>
      </c>
      <c r="C16" s="59" t="s">
        <v>6</v>
      </c>
      <c r="D16" s="59" t="s">
        <v>438</v>
      </c>
      <c r="E16" s="91" t="s">
        <v>128</v>
      </c>
    </row>
    <row r="17" spans="1:5">
      <c r="A17" s="21">
        <v>16</v>
      </c>
      <c r="B17" s="85" t="str">
        <f ca="1">IFERROR(__xludf.DUMMYFUNCTION("GOOGLETRANSLATE(B4034:B4049,""RU"",""UK"")"),"TGL - 160 0 - 10кг/см2 (1,0МРа)")</f>
        <v>TGL - 160 0 - 10кг/см2 (1,0МРа)</v>
      </c>
      <c r="C17" s="59" t="s">
        <v>6</v>
      </c>
      <c r="D17" s="59">
        <v>1</v>
      </c>
      <c r="E17" s="91" t="s">
        <v>128</v>
      </c>
    </row>
    <row r="18" spans="1:5">
      <c r="A18" s="21">
        <v>17</v>
      </c>
      <c r="B18" s="85" t="str">
        <f ca="1">IFERROR(__xludf.DUMMYFUNCTION("GOOGLETRANSLATE(B4035:B4050,""RU"",""UK"")"),"KFM - 160 0 - 40кг/см2")</f>
        <v>KFM - 160 0 - 40кг/см2</v>
      </c>
      <c r="C18" s="59" t="s">
        <v>6</v>
      </c>
      <c r="D18" s="59">
        <v>18</v>
      </c>
      <c r="E18" s="91" t="s">
        <v>128</v>
      </c>
    </row>
    <row r="19" spans="1:5">
      <c r="A19" s="21">
        <v>18</v>
      </c>
      <c r="B19" s="85" t="str">
        <f ca="1">IFERROR(__xludf.DUMMYFUNCTION("GOOGLETRANSLATE(B4036:B4051,""RU"",""UK"")"),"МТП / МП4У - 160 0 - 100 кг/см2 (10МРа)")</f>
        <v>МТП / МП4У - 160 0 - 100 кг/см2 (10МРа)</v>
      </c>
      <c r="C19" s="59" t="s">
        <v>6</v>
      </c>
      <c r="D19" s="59" t="s">
        <v>696</v>
      </c>
      <c r="E19" s="91" t="s">
        <v>128</v>
      </c>
    </row>
    <row r="20" spans="1:5">
      <c r="A20" s="21">
        <v>19</v>
      </c>
      <c r="B20" s="164" t="str">
        <f ca="1">IFERROR(__xludf.DUMMYFUNCTION("GOOGLETRANSLATE(B4037:B4052,""RU"",""UK"")"),"Манометр МП5-250мм 0 – 10кг/см2")</f>
        <v>Манометр МП5-250мм 0 – 10кг/см2</v>
      </c>
      <c r="C20" s="59" t="s">
        <v>6</v>
      </c>
      <c r="D20" s="59">
        <v>0</v>
      </c>
      <c r="E20" s="91" t="s">
        <v>272</v>
      </c>
    </row>
    <row r="21" spans="1:5">
      <c r="A21" s="21">
        <v>20</v>
      </c>
      <c r="B21" s="85" t="str">
        <f ca="1">IFERROR(__xludf.DUMMYFUNCTION("GOOGLETRANSLATE(B4038:B4053,""RU"",""UK"")"),"Манометр М-250мм 0 – 40кг/см2")</f>
        <v>Манометр М-250мм 0 – 40кг/см2</v>
      </c>
      <c r="C21" s="59" t="s">
        <v>6</v>
      </c>
      <c r="D21" s="59">
        <v>1</v>
      </c>
      <c r="E21" s="91" t="s">
        <v>272</v>
      </c>
    </row>
    <row r="22" spans="1:5">
      <c r="A22" s="21">
        <v>21</v>
      </c>
      <c r="B22" s="85" t="str">
        <f ca="1">IFERROR(__xludf.DUMMYFUNCTION("GOOGLETRANSLATE(B4039:B4054,""RU"",""UK"")"),"ЕКМ - 1У 0 - 100кг/см2")</f>
        <v>ЕКМ - 1У 0 - 100кг/см2</v>
      </c>
      <c r="C22" s="59" t="s">
        <v>6</v>
      </c>
      <c r="D22" s="59">
        <v>1</v>
      </c>
      <c r="E22" s="91" t="s">
        <v>231</v>
      </c>
    </row>
    <row r="23" spans="1:5">
      <c r="A23" s="21">
        <v>22</v>
      </c>
      <c r="B23" s="85" t="str">
        <f ca="1">IFERROR(__xludf.DUMMYFUNCTION("GOOGLETRANSLATE(B4040:B4055,""RU"",""UK"")"),"ЕКМ - 1У 0 - 250кг/см2 = 25МРа")</f>
        <v>ЕКМ - 1У 0 - 250кг/см2 = 25МРа</v>
      </c>
      <c r="C23" s="59" t="s">
        <v>6</v>
      </c>
      <c r="D23" s="59">
        <v>3</v>
      </c>
      <c r="E23" s="91" t="s">
        <v>231</v>
      </c>
    </row>
    <row r="24" spans="1:5">
      <c r="A24" s="21">
        <v>23</v>
      </c>
      <c r="B24" s="85" t="str">
        <f ca="1">IFERROR(__xludf.DUMMYFUNCTION("GOOGLETRANSLATE(B4041:B4056,""RU"",""UK"")"),"Мановакумметр МВТПСд - 100 - ОМ2 R12 (-1-15кг/см2)")</f>
        <v>Мановакумметр МВТПСд - 100 - ОМ2 R12 (-1-15кг/см2)</v>
      </c>
      <c r="C24" s="59" t="s">
        <v>6</v>
      </c>
      <c r="D24" s="59">
        <v>1</v>
      </c>
      <c r="E24" s="91" t="s">
        <v>272</v>
      </c>
    </row>
    <row r="25" spans="1:5">
      <c r="A25" s="21">
        <v>24</v>
      </c>
      <c r="B25" s="198" t="str">
        <f ca="1">IFERROR(__xludf.DUMMYFUNCTION("GOOGLETRANSLATE(B4044:B4059,""RU"",""UK"")"),"Термометр ртутний лабор. ТЛ4 0 - +55*С (ц.п.0,1)")</f>
        <v>Термометр ртутний лабор. ТЛ4 0 - +55*С (ц.п.0,1)</v>
      </c>
      <c r="C25" s="59" t="s">
        <v>6</v>
      </c>
      <c r="D25" s="59">
        <v>1</v>
      </c>
      <c r="E25" s="91">
        <v>550</v>
      </c>
    </row>
    <row r="26" spans="1:5">
      <c r="A26" s="21">
        <v>25</v>
      </c>
      <c r="B26" s="198" t="str">
        <f ca="1">IFERROR(__xludf.DUMMYFUNCTION("GOOGLETRANSLATE(B4046:B4061,""RU"",""UK"")"),"Термометр ртутний лабор. TOL +50 - +100*С НДР")</f>
        <v>Термометр ртутний лабор. TOL +50 - +100*С НДР</v>
      </c>
      <c r="C26" s="59" t="s">
        <v>6</v>
      </c>
      <c r="D26" s="59">
        <v>1</v>
      </c>
      <c r="E26" s="91">
        <v>550</v>
      </c>
    </row>
    <row r="27" spans="1:5">
      <c r="A27" s="21">
        <v>26</v>
      </c>
      <c r="B27" s="198" t="str">
        <f ca="1">IFERROR(__xludf.DUMMYFUNCTION("GOOGLETRANSLATE(B4042:B4057,""RU"",""UK"")"),"Термометр ртутний лабор. ТЛ4 +50 - +105*С (ц.п.0,2)")</f>
        <v>Термометр ртутний лабор. ТЛ4 +50 - +105*С (ц.п.0,2)</v>
      </c>
      <c r="C27" s="59" t="s">
        <v>6</v>
      </c>
      <c r="D27" s="59">
        <v>5</v>
      </c>
      <c r="E27" s="91">
        <v>550</v>
      </c>
    </row>
    <row r="28" spans="1:5">
      <c r="A28" s="21">
        <v>27</v>
      </c>
      <c r="B28" s="198" t="str">
        <f ca="1">IFERROR(__xludf.DUMMYFUNCTION("GOOGLETRANSLATE(B4042:B4057,""RU"",""UK"")"),"Термометр ртутний лабор. ТЛ4 +100 - +150*С (ц.п.0,1)")</f>
        <v>Термометр ртутний лабор. ТЛ4 +100 - +150*С (ц.п.0,1)</v>
      </c>
      <c r="C28" s="59" t="s">
        <v>6</v>
      </c>
      <c r="D28" s="59">
        <v>3</v>
      </c>
      <c r="E28" s="91">
        <v>550</v>
      </c>
    </row>
    <row r="29" spans="1:5">
      <c r="A29" s="21">
        <v>28</v>
      </c>
      <c r="B29" s="198" t="str">
        <f ca="1">IFERROR(__xludf.DUMMYFUNCTION("GOOGLETRANSLATE(B4042:B4057,""RU"",""UK"")"),"Термометр ртутний лабор. ТЛ4 +190 - +260*С (ц.п.0,2)")</f>
        <v>Термометр ртутний лабор. ТЛ4 +190 - +260*С (ц.п.0,2)</v>
      </c>
      <c r="C29" s="59" t="s">
        <v>6</v>
      </c>
      <c r="D29" s="59">
        <v>3</v>
      </c>
      <c r="E29" s="91">
        <v>550</v>
      </c>
    </row>
    <row r="30" spans="1:5">
      <c r="A30" s="21">
        <v>29</v>
      </c>
      <c r="B30" s="198" t="str">
        <f ca="1">IFERROR(__xludf.DUMMYFUNCTION("GOOGLETRANSLATE(B4042:B4057,""RU"",""UK"")"),"Термометр ртутний лабор. ТЛ4 +200 - +255*С (ц.п.0,1)")</f>
        <v>Термометр ртутний лабор. ТЛ4 +200 - +255*С (ц.п.0,1)</v>
      </c>
      <c r="C30" s="59" t="s">
        <v>6</v>
      </c>
      <c r="D30" s="59">
        <v>9</v>
      </c>
      <c r="E30" s="91">
        <v>550</v>
      </c>
    </row>
    <row r="31" spans="1:5">
      <c r="A31" s="21">
        <v>30</v>
      </c>
      <c r="B31" s="198" t="str">
        <f ca="1">IFERROR(__xludf.DUMMYFUNCTION("GOOGLETRANSLATE(B4042:B4057,""RU"",""UK"")"),"Термометр ртутний лабор. ТЛ4 +250 - +305*С (ц.п.0,1)")</f>
        <v>Термометр ртутний лабор. ТЛ4 +250 - +305*С (ц.п.0,1)</v>
      </c>
      <c r="C31" s="59" t="s">
        <v>6</v>
      </c>
      <c r="D31" s="59">
        <v>8</v>
      </c>
      <c r="E31" s="91">
        <v>550</v>
      </c>
    </row>
    <row r="32" spans="1:5">
      <c r="A32" s="21">
        <v>31</v>
      </c>
      <c r="B32" s="213" t="s">
        <v>6179</v>
      </c>
      <c r="C32" s="59" t="s">
        <v>1031</v>
      </c>
      <c r="D32" s="59">
        <v>1</v>
      </c>
      <c r="E32" s="91">
        <v>1150</v>
      </c>
    </row>
    <row r="33" spans="1:5">
      <c r="A33" s="21">
        <v>32</v>
      </c>
      <c r="B33" s="213" t="s">
        <v>6180</v>
      </c>
      <c r="C33" s="59" t="s">
        <v>1031</v>
      </c>
      <c r="D33" s="59">
        <v>1</v>
      </c>
      <c r="E33" s="91">
        <v>1000</v>
      </c>
    </row>
    <row r="34" spans="1:5">
      <c r="A34" s="21">
        <v>33</v>
      </c>
      <c r="B34" s="213" t="s">
        <v>6178</v>
      </c>
      <c r="C34" s="59" t="s">
        <v>1031</v>
      </c>
      <c r="D34" s="59">
        <v>1</v>
      </c>
      <c r="E34" s="91">
        <v>1400</v>
      </c>
    </row>
    <row r="35" spans="1:5">
      <c r="A35" s="21">
        <v>34</v>
      </c>
      <c r="B35" s="198" t="s">
        <v>6245</v>
      </c>
      <c r="C35" s="59" t="s">
        <v>6</v>
      </c>
      <c r="D35" s="59">
        <v>2</v>
      </c>
      <c r="E35" s="91">
        <v>500</v>
      </c>
    </row>
    <row r="36" spans="1:5">
      <c r="A36" s="21">
        <v>35</v>
      </c>
      <c r="B36" s="198" t="s">
        <v>6246</v>
      </c>
      <c r="C36" s="59" t="s">
        <v>6</v>
      </c>
      <c r="D36" s="59">
        <v>3</v>
      </c>
      <c r="E36" s="91">
        <v>500</v>
      </c>
    </row>
    <row r="37" spans="1:5">
      <c r="A37" s="21">
        <v>36</v>
      </c>
      <c r="B37" s="198" t="s">
        <v>6247</v>
      </c>
      <c r="C37" s="59" t="s">
        <v>6</v>
      </c>
      <c r="D37" s="59">
        <v>11</v>
      </c>
      <c r="E37" s="91">
        <v>500</v>
      </c>
    </row>
    <row r="38" spans="1:5">
      <c r="A38" s="21">
        <v>37</v>
      </c>
      <c r="B38" s="205" t="s">
        <v>6248</v>
      </c>
      <c r="C38" s="59" t="s">
        <v>6</v>
      </c>
      <c r="D38" s="59">
        <v>3</v>
      </c>
      <c r="E38" s="91">
        <v>500</v>
      </c>
    </row>
    <row r="39" spans="1:5">
      <c r="A39" s="21">
        <v>38</v>
      </c>
      <c r="B39" s="205" t="s">
        <v>6249</v>
      </c>
      <c r="C39" s="59" t="s">
        <v>6</v>
      </c>
      <c r="D39" s="59">
        <v>2</v>
      </c>
      <c r="E39" s="91">
        <v>500</v>
      </c>
    </row>
    <row r="40" spans="1:5">
      <c r="A40" s="21">
        <v>39</v>
      </c>
      <c r="B40" s="205" t="s">
        <v>6250</v>
      </c>
      <c r="C40" s="59" t="s">
        <v>6</v>
      </c>
      <c r="D40" s="59">
        <v>2</v>
      </c>
      <c r="E40" s="91">
        <v>500</v>
      </c>
    </row>
    <row r="41" spans="1:5">
      <c r="A41" s="21">
        <v>40</v>
      </c>
      <c r="B41" s="205" t="s">
        <v>6244</v>
      </c>
      <c r="C41" s="59" t="s">
        <v>6</v>
      </c>
      <c r="D41" s="59">
        <v>1</v>
      </c>
      <c r="E41" s="91">
        <v>500</v>
      </c>
    </row>
    <row r="42" spans="1:5">
      <c r="A42" s="21">
        <v>41</v>
      </c>
      <c r="B42" s="198" t="s">
        <v>6291</v>
      </c>
      <c r="C42" s="59" t="s">
        <v>6</v>
      </c>
      <c r="D42" s="59">
        <v>1</v>
      </c>
      <c r="E42" s="91">
        <v>450</v>
      </c>
    </row>
    <row r="43" spans="1:5">
      <c r="A43" s="21">
        <v>42</v>
      </c>
      <c r="B43" s="198" t="s">
        <v>6141</v>
      </c>
      <c r="C43" s="59" t="s">
        <v>6</v>
      </c>
      <c r="D43" s="59">
        <v>12</v>
      </c>
      <c r="E43" s="91">
        <v>450</v>
      </c>
    </row>
    <row r="44" spans="1:5">
      <c r="A44" s="21">
        <v>43</v>
      </c>
      <c r="B44" s="198" t="s">
        <v>6222</v>
      </c>
      <c r="C44" s="59" t="s">
        <v>6</v>
      </c>
      <c r="D44" s="59">
        <v>1</v>
      </c>
      <c r="E44" s="91">
        <v>200</v>
      </c>
    </row>
    <row r="45" spans="1:5">
      <c r="A45" s="21">
        <v>44</v>
      </c>
      <c r="B45" s="198" t="s">
        <v>6251</v>
      </c>
      <c r="C45" s="59" t="s">
        <v>6</v>
      </c>
      <c r="D45" s="59">
        <v>29</v>
      </c>
      <c r="E45" s="91">
        <v>480</v>
      </c>
    </row>
    <row r="46" spans="1:5">
      <c r="A46" s="21">
        <v>45</v>
      </c>
      <c r="B46" s="198" t="s">
        <v>6252</v>
      </c>
      <c r="C46" s="59" t="s">
        <v>6</v>
      </c>
      <c r="D46" s="59">
        <v>1</v>
      </c>
      <c r="E46" s="91">
        <v>480</v>
      </c>
    </row>
    <row r="47" spans="1:5">
      <c r="A47" s="21">
        <v>46</v>
      </c>
      <c r="B47" s="198" t="s">
        <v>6253</v>
      </c>
      <c r="C47" s="59" t="s">
        <v>6</v>
      </c>
      <c r="D47" s="59">
        <v>2</v>
      </c>
      <c r="E47" s="91">
        <v>480</v>
      </c>
    </row>
    <row r="48" spans="1:5">
      <c r="A48" s="21">
        <v>47</v>
      </c>
      <c r="B48" s="198" t="str">
        <f ca="1">IFERROR(__xludf.DUMMYFUNCTION("GOOGLETRANSLATE(B4047:B4062,""RU"",""UK"")"),"Термометр спіртовий 0 - +50*")</f>
        <v>Термометр спіртовий 0 - +50*</v>
      </c>
      <c r="C48" s="59" t="s">
        <v>6</v>
      </c>
      <c r="D48" s="59">
        <v>1</v>
      </c>
      <c r="E48" s="91">
        <v>240</v>
      </c>
    </row>
    <row r="49" spans="1:5">
      <c r="A49" s="21">
        <v>48</v>
      </c>
      <c r="B49" s="198" t="s">
        <v>6183</v>
      </c>
      <c r="C49" s="59" t="s">
        <v>1031</v>
      </c>
      <c r="D49" s="59">
        <v>1</v>
      </c>
      <c r="E49" s="91">
        <v>1900</v>
      </c>
    </row>
    <row r="50" spans="1:5">
      <c r="A50" s="21">
        <v>49</v>
      </c>
      <c r="B50" s="198" t="s">
        <v>6186</v>
      </c>
      <c r="C50" s="59" t="s">
        <v>6</v>
      </c>
      <c r="D50" s="59">
        <v>1</v>
      </c>
      <c r="E50" s="91">
        <v>420</v>
      </c>
    </row>
    <row r="51" spans="1:5">
      <c r="A51" s="21">
        <v>50</v>
      </c>
      <c r="B51" s="198" t="s">
        <v>6185</v>
      </c>
      <c r="C51" s="59" t="s">
        <v>6</v>
      </c>
      <c r="D51" s="59">
        <v>1</v>
      </c>
      <c r="E51" s="91">
        <v>420</v>
      </c>
    </row>
    <row r="52" spans="1:5">
      <c r="A52" s="21">
        <v>51</v>
      </c>
      <c r="B52" s="85" t="str">
        <f ca="1">IFERROR(__xludf.DUMMYFUNCTION("GOOGLETRANSLATE(B4048:B4063,""RU"",""UK"")"),"Ареометр для спирту АСПт-1 (Діапазон вим. 0-105%) Загальна довж. 350мм")</f>
        <v>Ареометр для спирту АСПт-1 (Діапазон вим. 0-105%) Загальна довж. 350мм</v>
      </c>
      <c r="C52" s="59" t="s">
        <v>6</v>
      </c>
      <c r="D52" s="59">
        <v>1</v>
      </c>
      <c r="E52" s="91" t="s">
        <v>272</v>
      </c>
    </row>
  </sheetData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9"/>
  <sheetViews>
    <sheetView topLeftCell="A43" zoomScale="260" zoomScaleNormal="260" workbookViewId="0">
      <selection activeCell="D54" sqref="D54"/>
    </sheetView>
  </sheetViews>
  <sheetFormatPr defaultRowHeight="12.75"/>
  <cols>
    <col min="2" max="2" width="47.140625" customWidth="1"/>
    <col min="3" max="3" width="9.42578125" customWidth="1"/>
    <col min="4" max="4" width="10.5703125" customWidth="1"/>
  </cols>
  <sheetData>
    <row r="1" spans="1:5">
      <c r="A1" s="68"/>
      <c r="B1" s="119" t="s">
        <v>6048</v>
      </c>
      <c r="C1" s="69"/>
      <c r="D1" s="69"/>
      <c r="E1" s="106"/>
    </row>
    <row r="2" spans="1:5">
      <c r="A2" s="21">
        <v>1</v>
      </c>
      <c r="B2" s="47" t="str">
        <f ca="1">IFERROR(__xludf.DUMMYFUNCTION("GOOGLETRANSLATE(B3308:B3323,""RU"",""UK"")"),"Мітчик М - 1")</f>
        <v>Мітчик М - 1</v>
      </c>
      <c r="C2" s="59" t="s">
        <v>4370</v>
      </c>
      <c r="D2" s="59">
        <v>49</v>
      </c>
      <c r="E2" s="91" t="s">
        <v>292</v>
      </c>
    </row>
    <row r="3" spans="1:5">
      <c r="A3" s="21">
        <v>2</v>
      </c>
      <c r="B3" s="85" t="str">
        <f ca="1">IFERROR(__xludf.DUMMYFUNCTION("GOOGLETRANSLATE(B3311:B3326,""RU"",""UK"")"),"Мітчик М - 1")</f>
        <v>Мітчик М - 1</v>
      </c>
      <c r="C3" s="59" t="s">
        <v>6</v>
      </c>
      <c r="D3" s="59">
        <v>5</v>
      </c>
      <c r="E3" s="91">
        <v>18</v>
      </c>
    </row>
    <row r="4" spans="1:5">
      <c r="A4" s="21">
        <v>3</v>
      </c>
      <c r="B4" s="47" t="str">
        <f ca="1">IFERROR(__xludf.DUMMYFUNCTION("GOOGLETRANSLATE(B3308:B3323,""RU"",""UK"")"),"Мітчик М - 1,2")</f>
        <v>Мітчик М - 1,2</v>
      </c>
      <c r="C4" s="59" t="s">
        <v>4370</v>
      </c>
      <c r="D4" s="59">
        <v>5</v>
      </c>
      <c r="E4" s="91" t="s">
        <v>292</v>
      </c>
    </row>
    <row r="5" spans="1:5">
      <c r="A5" s="21">
        <v>4</v>
      </c>
      <c r="B5" s="47" t="str">
        <f ca="1">IFERROR(__xludf.DUMMYFUNCTION("GOOGLETRANSLATE(B3308:B3323,""RU"",""UK"")"),"Мітчик М - 1.4")</f>
        <v>Мітчик М - 1.4</v>
      </c>
      <c r="C5" s="59" t="s">
        <v>4370</v>
      </c>
      <c r="D5" s="59">
        <v>64</v>
      </c>
      <c r="E5" s="91" t="s">
        <v>292</v>
      </c>
    </row>
    <row r="6" spans="1:5">
      <c r="A6" s="21">
        <v>5</v>
      </c>
      <c r="B6" s="85" t="str">
        <f ca="1">IFERROR(__xludf.DUMMYFUNCTION("GOOGLETRANSLATE(B3311:B3326,""RU"",""UK"")"),"Мітчик М - 1,6")</f>
        <v>Мітчик М - 1,6</v>
      </c>
      <c r="C6" s="59" t="s">
        <v>6</v>
      </c>
      <c r="D6" s="59">
        <v>79</v>
      </c>
      <c r="E6" s="91">
        <v>21</v>
      </c>
    </row>
    <row r="7" spans="1:5">
      <c r="A7" s="21">
        <v>6</v>
      </c>
      <c r="B7" s="85" t="str">
        <f ca="1">IFERROR(__xludf.DUMMYFUNCTION("GOOGLETRANSLATE(B3309:B3324,""RU"",""UK"")"),"Мітчик М - 1.8")</f>
        <v>Мітчик М - 1.8</v>
      </c>
      <c r="C7" s="59" t="s">
        <v>4370</v>
      </c>
      <c r="D7" s="59">
        <v>49</v>
      </c>
      <c r="E7" s="91" t="s">
        <v>366</v>
      </c>
    </row>
    <row r="8" spans="1:5">
      <c r="A8" s="21">
        <v>7</v>
      </c>
      <c r="B8" s="85" t="str">
        <f ca="1">IFERROR(__xludf.DUMMYFUNCTION("GOOGLETRANSLATE(B3309:B3324,""RU"",""UK"")"),"Мітчик М - 1.8х0.35")</f>
        <v>Мітчик М - 1.8х0.35</v>
      </c>
      <c r="C8" s="59" t="s">
        <v>4370</v>
      </c>
      <c r="D8" s="59">
        <v>3</v>
      </c>
      <c r="E8" s="91" t="s">
        <v>366</v>
      </c>
    </row>
    <row r="9" spans="1:5">
      <c r="A9" s="21">
        <v>8</v>
      </c>
      <c r="B9" s="85" t="str">
        <f ca="1">IFERROR(__xludf.DUMMYFUNCTION("GOOGLETRANSLATE(B3310:B3325,""RU"",""UK"")"),"Мітчик М - 2")</f>
        <v>Мітчик М - 2</v>
      </c>
      <c r="C9" s="59" t="s">
        <v>4370</v>
      </c>
      <c r="D9" s="59">
        <v>252</v>
      </c>
      <c r="E9" s="91" t="s">
        <v>134</v>
      </c>
    </row>
    <row r="10" spans="1:5">
      <c r="A10" s="21">
        <v>9</v>
      </c>
      <c r="B10" s="85" t="str">
        <f ca="1">IFERROR(__xludf.DUMMYFUNCTION("GOOGLETRANSLATE(B3311:B3326,""RU"",""UK"")"),"Мітчик М - 2")</f>
        <v>Мітчик М - 2</v>
      </c>
      <c r="C10" s="59" t="s">
        <v>6</v>
      </c>
      <c r="D10" s="59">
        <v>540</v>
      </c>
      <c r="E10" s="91">
        <v>21</v>
      </c>
    </row>
    <row r="11" spans="1:5">
      <c r="A11" s="21">
        <f t="shared" ref="A11:A119" si="0">A10+1</f>
        <v>10</v>
      </c>
      <c r="B11" s="85" t="str">
        <f ca="1">IFERROR(__xludf.DUMMYFUNCTION("GOOGLETRANSLATE(B3312:B3327,""RU"",""UK"")"),"Мітчик М - 2.2х0.45")</f>
        <v>Мітчик М - 2.2х0.45</v>
      </c>
      <c r="C11" s="59" t="s">
        <v>4370</v>
      </c>
      <c r="D11" s="59">
        <v>21</v>
      </c>
      <c r="E11" s="91" t="s">
        <v>134</v>
      </c>
    </row>
    <row r="12" spans="1:5">
      <c r="A12" s="21">
        <f t="shared" si="0"/>
        <v>11</v>
      </c>
      <c r="B12" s="85" t="str">
        <f ca="1">IFERROR(__xludf.DUMMYFUNCTION("GOOGLETRANSLATE(B3313:B3328,""RU"",""UK"")"),"Мітчик М - 2.5")</f>
        <v>Мітчик М - 2.5</v>
      </c>
      <c r="C12" s="59" t="s">
        <v>6</v>
      </c>
      <c r="D12" s="59">
        <v>105</v>
      </c>
      <c r="E12" s="91">
        <v>22.2</v>
      </c>
    </row>
    <row r="13" spans="1:5">
      <c r="A13" s="21">
        <f t="shared" si="0"/>
        <v>12</v>
      </c>
      <c r="B13" s="85" t="str">
        <f ca="1">IFERROR(__xludf.DUMMYFUNCTION("GOOGLETRANSLATE(B3313:B3328,""RU"",""UK"")"),"Мітчик М - 2.5гаєч")</f>
        <v>Мітчик М - 2.5гаєч</v>
      </c>
      <c r="C13" s="59" t="s">
        <v>6</v>
      </c>
      <c r="D13" s="59">
        <v>3</v>
      </c>
      <c r="E13" s="91">
        <v>22.2</v>
      </c>
    </row>
    <row r="14" spans="1:5">
      <c r="A14" s="21">
        <f t="shared" si="0"/>
        <v>13</v>
      </c>
      <c r="B14" s="85" t="str">
        <f ca="1">IFERROR(__xludf.DUMMYFUNCTION("GOOGLETRANSLATE(B3314:B3329,""RU"",""UK"")"),"Мітчик М - 2.5")</f>
        <v>Мітчик М - 2.5</v>
      </c>
      <c r="C14" s="59" t="s">
        <v>4370</v>
      </c>
      <c r="D14" s="59">
        <v>969</v>
      </c>
      <c r="E14" s="91" t="s">
        <v>167</v>
      </c>
    </row>
    <row r="15" spans="1:5">
      <c r="A15" s="21">
        <f t="shared" si="0"/>
        <v>14</v>
      </c>
      <c r="B15" s="85" t="str">
        <f ca="1">IFERROR(__xludf.DUMMYFUNCTION("GOOGLETRANSLATE(B3314:B3329,""RU"",""UK"")"),"Мітчик М - 2.5х0.45")</f>
        <v>Мітчик М - 2.5х0.45</v>
      </c>
      <c r="C15" s="59" t="s">
        <v>4370</v>
      </c>
      <c r="D15" s="59">
        <v>590</v>
      </c>
      <c r="E15" s="91" t="s">
        <v>167</v>
      </c>
    </row>
    <row r="16" spans="1:5">
      <c r="A16" s="21">
        <f t="shared" si="0"/>
        <v>15</v>
      </c>
      <c r="B16" s="85" t="str">
        <f ca="1">IFERROR(__xludf.DUMMYFUNCTION("GOOGLETRANSLATE(B3315:B3330,""RU"",""UK"")"),"Мітчик М - 2.6х0.45")</f>
        <v>Мітчик М - 2.6х0.45</v>
      </c>
      <c r="C16" s="59" t="s">
        <v>4370</v>
      </c>
      <c r="D16" s="59">
        <v>197</v>
      </c>
      <c r="E16" s="91" t="s">
        <v>167</v>
      </c>
    </row>
    <row r="17" spans="1:5">
      <c r="A17" s="21">
        <f t="shared" si="0"/>
        <v>16</v>
      </c>
      <c r="B17" s="85" t="str">
        <f ca="1">IFERROR(__xludf.DUMMYFUNCTION("GOOGLETRANSLATE(B3316:B3331,""RU"",""UK"")"),"Мітчик М - 3")</f>
        <v>Мітчик М - 3</v>
      </c>
      <c r="C17" s="59" t="s">
        <v>6</v>
      </c>
      <c r="D17" s="59">
        <v>92</v>
      </c>
      <c r="E17" s="91">
        <v>27</v>
      </c>
    </row>
    <row r="18" spans="1:5">
      <c r="A18" s="21">
        <f t="shared" si="0"/>
        <v>17</v>
      </c>
      <c r="B18" s="85" t="str">
        <f ca="1">IFERROR(__xludf.DUMMYFUNCTION("GOOGLETRANSLATE(B3316:B3331,""RU"",""UK"")"),"Мітчик М - 3х0,35")</f>
        <v>Мітчик М - 3х0,35</v>
      </c>
      <c r="C18" s="59" t="s">
        <v>6</v>
      </c>
      <c r="D18" s="59">
        <v>55</v>
      </c>
      <c r="E18" s="91">
        <v>27</v>
      </c>
    </row>
    <row r="19" spans="1:5">
      <c r="A19" s="21">
        <f t="shared" si="0"/>
        <v>18</v>
      </c>
      <c r="B19" s="85" t="str">
        <f ca="1">IFERROR(__xludf.DUMMYFUNCTION("GOOGLETRANSLATE(B3317:B3332,""RU"",""UK"")"),"Мітчик М - 3 гаєч. нурка")</f>
        <v>Мітчик М - 3 гаєч. нурка</v>
      </c>
      <c r="C19" s="59" t="s">
        <v>6</v>
      </c>
      <c r="D19" s="59">
        <v>14</v>
      </c>
      <c r="E19" s="91">
        <v>30</v>
      </c>
    </row>
    <row r="20" spans="1:5">
      <c r="A20" s="21">
        <f t="shared" si="0"/>
        <v>19</v>
      </c>
      <c r="B20" s="85" t="str">
        <f ca="1">IFERROR(__xludf.DUMMYFUNCTION("GOOGLETRANSLATE(B3317:B3332,""RU"",""UK"")"),"Мітчик М - 3 гаєч.")</f>
        <v>Мітчик М - 3 гаєч.</v>
      </c>
      <c r="C20" s="59" t="s">
        <v>6</v>
      </c>
      <c r="D20" s="59">
        <v>434</v>
      </c>
      <c r="E20" s="91">
        <v>30</v>
      </c>
    </row>
    <row r="21" spans="1:5">
      <c r="A21" s="21">
        <f t="shared" si="0"/>
        <v>20</v>
      </c>
      <c r="B21" s="85" t="str">
        <f ca="1">IFERROR(__xludf.DUMMYFUNCTION("GOOGLETRANSLATE(B3318:B3333,""RU"",""UK"")"),"Мітчик М - 3")</f>
        <v>Мітчик М - 3</v>
      </c>
      <c r="C21" s="59" t="s">
        <v>4370</v>
      </c>
      <c r="D21" s="59">
        <v>87</v>
      </c>
      <c r="E21" s="91" t="s">
        <v>169</v>
      </c>
    </row>
    <row r="22" spans="1:5">
      <c r="A22" s="21">
        <f t="shared" si="0"/>
        <v>21</v>
      </c>
      <c r="B22" s="85" t="str">
        <f ca="1">IFERROR(__xludf.DUMMYFUNCTION("GOOGLETRANSLATE(B3318:B3333,""RU"",""UK"")"),"Мітчик М - 3х0,35")</f>
        <v>Мітчик М - 3х0,35</v>
      </c>
      <c r="C22" s="59" t="s">
        <v>4370</v>
      </c>
      <c r="D22" s="59">
        <v>63</v>
      </c>
      <c r="E22" s="91" t="s">
        <v>169</v>
      </c>
    </row>
    <row r="23" spans="1:5">
      <c r="A23" s="21">
        <f t="shared" si="0"/>
        <v>22</v>
      </c>
      <c r="B23" s="85" t="str">
        <f ca="1">IFERROR(__xludf.DUMMYFUNCTION("GOOGLETRANSLATE(B3319:B3334,""RU"",""UK"")"),"Мітчик М - 3,5")</f>
        <v>Мітчик М - 3,5</v>
      </c>
      <c r="C23" s="59" t="s">
        <v>4370</v>
      </c>
      <c r="D23" s="59">
        <v>130</v>
      </c>
      <c r="E23" s="91" t="s">
        <v>314</v>
      </c>
    </row>
    <row r="24" spans="1:5">
      <c r="A24" s="21">
        <f t="shared" si="0"/>
        <v>23</v>
      </c>
      <c r="B24" s="85" t="str">
        <f ca="1">IFERROR(__xludf.DUMMYFUNCTION("GOOGLETRANSLATE(B3319:B3334,""RU"",""UK"")"),"Мітчик М - 3,5х0,6")</f>
        <v>Мітчик М - 3,5х0,6</v>
      </c>
      <c r="C24" s="59" t="s">
        <v>4370</v>
      </c>
      <c r="D24" s="59">
        <v>100</v>
      </c>
      <c r="E24" s="91" t="s">
        <v>314</v>
      </c>
    </row>
    <row r="25" spans="1:5">
      <c r="A25" s="21">
        <f t="shared" si="0"/>
        <v>24</v>
      </c>
      <c r="B25" s="85" t="str">
        <f ca="1">IFERROR(__xludf.DUMMYFUNCTION("GOOGLETRANSLATE(B3320:B3335,""RU"",""UK"")"),"Мітчик М - 4")</f>
        <v>Мітчик М - 4</v>
      </c>
      <c r="C25" s="37" t="s">
        <v>6</v>
      </c>
      <c r="D25" s="37">
        <v>0</v>
      </c>
      <c r="E25" s="92">
        <v>51</v>
      </c>
    </row>
    <row r="26" spans="1:5">
      <c r="A26" s="21">
        <f t="shared" si="0"/>
        <v>25</v>
      </c>
      <c r="B26" s="85" t="str">
        <f ca="1">IFERROR(__xludf.DUMMYFUNCTION("GOOGLETRANSLATE(B3320:B3335,""RU"",""UK"")"),"Мітчик М - 4 Р18 удл. L110мм")</f>
        <v>Мітчик М - 4 Р18 удл. L110мм</v>
      </c>
      <c r="C26" s="37" t="s">
        <v>6</v>
      </c>
      <c r="D26" s="37">
        <v>52</v>
      </c>
      <c r="E26" s="92">
        <v>60</v>
      </c>
    </row>
    <row r="27" spans="1:5">
      <c r="A27" s="21">
        <f t="shared" si="0"/>
        <v>26</v>
      </c>
      <c r="B27" s="85" t="str">
        <f ca="1">IFERROR(__xludf.DUMMYFUNCTION("GOOGLETRANSLATE(B3321:B3336,""RU"",""UK"")"),"Мітчик М - 4гаєч.")</f>
        <v>Мітчик М - 4гаєч.</v>
      </c>
      <c r="C27" s="59" t="s">
        <v>6</v>
      </c>
      <c r="D27" s="59">
        <v>1544</v>
      </c>
      <c r="E27" s="91">
        <v>60</v>
      </c>
    </row>
    <row r="28" spans="1:5">
      <c r="A28" s="21">
        <f t="shared" si="0"/>
        <v>27</v>
      </c>
      <c r="B28" s="85" t="str">
        <f ca="1">IFERROR(__xludf.DUMMYFUNCTION("GOOGLETRANSLATE(B3321:B3336,""RU"",""UK"")"),"Мітчик М - 4гаєч. Нурка")</f>
        <v>Мітчик М - 4гаєч. Нурка</v>
      </c>
      <c r="C28" s="59" t="s">
        <v>6</v>
      </c>
      <c r="D28" s="59">
        <v>23</v>
      </c>
      <c r="E28" s="91">
        <v>60</v>
      </c>
    </row>
    <row r="29" spans="1:5">
      <c r="A29" s="21">
        <f t="shared" si="0"/>
        <v>28</v>
      </c>
      <c r="B29" s="85" t="str">
        <f ca="1">IFERROR(__xludf.DUMMYFUNCTION("GOOGLETRANSLATE(B3322:B3337,""RU"",""UK"")"),"Мітчик М - 4")</f>
        <v>Мітчик М - 4</v>
      </c>
      <c r="C29" s="59" t="s">
        <v>4370</v>
      </c>
      <c r="D29" s="59">
        <v>37</v>
      </c>
      <c r="E29" s="91">
        <v>75</v>
      </c>
    </row>
    <row r="30" spans="1:5">
      <c r="A30" s="21">
        <f t="shared" si="0"/>
        <v>29</v>
      </c>
      <c r="B30" s="85" t="str">
        <f ca="1">IFERROR(__xludf.DUMMYFUNCTION("GOOGLETRANSLATE(B3323:B3338,""RU"",""UK"")"),"Мітчик М - 4,5х0,5")</f>
        <v>Мітчик М - 4,5х0,5</v>
      </c>
      <c r="C30" s="59" t="s">
        <v>4370</v>
      </c>
      <c r="D30" s="59">
        <v>4</v>
      </c>
      <c r="E30" s="91" t="s">
        <v>183</v>
      </c>
    </row>
    <row r="31" spans="1:5">
      <c r="A31" s="21">
        <f t="shared" si="0"/>
        <v>30</v>
      </c>
      <c r="B31" s="85" t="str">
        <f ca="1">IFERROR(__xludf.DUMMYFUNCTION("GOOGLETRANSLATE(B3324:B3339,""RU"",""UK"")"),"Мітчик М - 5")</f>
        <v>Мітчик М - 5</v>
      </c>
      <c r="C31" s="59" t="s">
        <v>6</v>
      </c>
      <c r="D31" s="59">
        <v>97</v>
      </c>
      <c r="E31" s="91" t="s">
        <v>598</v>
      </c>
    </row>
    <row r="32" spans="1:5">
      <c r="A32" s="21">
        <f t="shared" si="0"/>
        <v>31</v>
      </c>
      <c r="B32" s="85" t="str">
        <f ca="1">IFERROR(__xludf.DUMMYFUNCTION("GOOGLETRANSLATE(B3324:B3339,""RU"",""UK"")"),"Мітчик М - 5х0,5")</f>
        <v>Мітчик М - 5х0,5</v>
      </c>
      <c r="C32" s="59" t="s">
        <v>6</v>
      </c>
      <c r="D32" s="59">
        <v>20</v>
      </c>
      <c r="E32" s="91" t="s">
        <v>598</v>
      </c>
    </row>
    <row r="33" spans="1:5">
      <c r="A33" s="21">
        <f t="shared" si="0"/>
        <v>32</v>
      </c>
      <c r="B33" s="85" t="str">
        <f ca="1">IFERROR(__xludf.DUMMYFUNCTION("GOOGLETRANSLATE(B3326:B3341,""RU"",""UK"")"),"Мітчик М - 5 лев.")</f>
        <v>Мітчик М - 5 лев.</v>
      </c>
      <c r="C33" s="37" t="s">
        <v>6</v>
      </c>
      <c r="D33" s="37">
        <v>1</v>
      </c>
      <c r="E33" s="92">
        <v>75</v>
      </c>
    </row>
    <row r="34" spans="1:5">
      <c r="A34" s="21">
        <f t="shared" si="0"/>
        <v>33</v>
      </c>
      <c r="B34" s="85" t="str">
        <f ca="1">IFERROR(__xludf.DUMMYFUNCTION("GOOGLETRANSLATE(B3325:B3340,""RU"",""UK"")"),"Мітчик М - 5гаєч.")</f>
        <v>Мітчик М - 5гаєч.</v>
      </c>
      <c r="C34" s="59" t="s">
        <v>6</v>
      </c>
      <c r="D34" s="59">
        <v>67</v>
      </c>
      <c r="E34" s="91">
        <v>75</v>
      </c>
    </row>
    <row r="35" spans="1:5">
      <c r="A35" s="21">
        <f t="shared" si="0"/>
        <v>34</v>
      </c>
      <c r="B35" s="85" t="str">
        <f ca="1">IFERROR(__xludf.DUMMYFUNCTION("GOOGLETRANSLATE(B3325:B3340,""RU"",""UK"")"),"Мітчик М - 5гаєч. Нурка ")</f>
        <v xml:space="preserve">Мітчик М - 5гаєч. Нурка </v>
      </c>
      <c r="C35" s="59" t="s">
        <v>6</v>
      </c>
      <c r="D35" s="59">
        <v>41</v>
      </c>
      <c r="E35" s="91">
        <v>75</v>
      </c>
    </row>
    <row r="36" spans="1:5">
      <c r="A36" s="21">
        <f t="shared" si="0"/>
        <v>35</v>
      </c>
      <c r="B36" s="85" t="str">
        <f ca="1">IFERROR(__xludf.DUMMYFUNCTION("GOOGLETRANSLATE(B3325:B3340,""RU"",""UK"")"),"Мітчик М - 5х0, 5гаєч")</f>
        <v>Мітчик М - 5х0, 5гаєч</v>
      </c>
      <c r="C36" s="59" t="s">
        <v>6</v>
      </c>
      <c r="D36" s="59">
        <v>7</v>
      </c>
      <c r="E36" s="91">
        <v>75</v>
      </c>
    </row>
    <row r="37" spans="1:5">
      <c r="A37" s="21">
        <f t="shared" si="0"/>
        <v>36</v>
      </c>
      <c r="B37" s="85" t="str">
        <f ca="1">IFERROR(__xludf.DUMMYFUNCTION("GOOGLETRANSLATE(B3327:B3342,""RU"",""UK"")"),"Мітчик М - 5")</f>
        <v>Мітчик М - 5</v>
      </c>
      <c r="C37" s="59" t="s">
        <v>4370</v>
      </c>
      <c r="D37" s="59">
        <v>87</v>
      </c>
      <c r="E37" s="91">
        <v>114</v>
      </c>
    </row>
    <row r="38" spans="1:5">
      <c r="A38" s="21">
        <f t="shared" si="0"/>
        <v>37</v>
      </c>
      <c r="B38" s="85" t="str">
        <f ca="1">IFERROR(__xludf.DUMMYFUNCTION("GOOGLETRANSLATE(B3327:B3342,""RU"",""UK"")"),"Мітчик М - 5х0,5")</f>
        <v>Мітчик М - 5х0,5</v>
      </c>
      <c r="C38" s="59" t="s">
        <v>4370</v>
      </c>
      <c r="D38" s="59">
        <v>40</v>
      </c>
      <c r="E38" s="91">
        <v>114</v>
      </c>
    </row>
    <row r="39" spans="1:5">
      <c r="A39" s="21">
        <f t="shared" si="0"/>
        <v>38</v>
      </c>
      <c r="B39" s="85" t="str">
        <f ca="1">IFERROR(__xludf.DUMMYFUNCTION("GOOGLETRANSLATE(B3328:B3343,""RU"",""UK"")"),"Мітчик М - 6 Р6М5")</f>
        <v>Мітчик М - 6 Р6М5</v>
      </c>
      <c r="C39" s="59" t="s">
        <v>6</v>
      </c>
      <c r="D39" s="26">
        <v>121</v>
      </c>
      <c r="E39" s="91">
        <v>81</v>
      </c>
    </row>
    <row r="40" spans="1:5">
      <c r="A40" s="21">
        <f t="shared" si="0"/>
        <v>39</v>
      </c>
      <c r="B40" s="85" t="str">
        <f ca="1">IFERROR(__xludf.DUMMYFUNCTION("GOOGLETRANSLATE(B3329:B3344,""RU"",""UK"")"),"Мітчик М - 6лев")</f>
        <v>Мітчик М - 6лев</v>
      </c>
      <c r="C40" s="59" t="s">
        <v>6</v>
      </c>
      <c r="D40" s="59">
        <v>6</v>
      </c>
      <c r="E40" s="91" t="s">
        <v>338</v>
      </c>
    </row>
    <row r="41" spans="1:5">
      <c r="A41" s="21">
        <f t="shared" si="0"/>
        <v>40</v>
      </c>
      <c r="B41" s="85" t="str">
        <f ca="1">IFERROR(__xludf.DUMMYFUNCTION("GOOGLETRANSLATE(B3330:B3345,""RU"",""UK"")"),"Мітчик М - 6 ВК8 мон")</f>
        <v>Мітчик М - 6 ВК8 мон</v>
      </c>
      <c r="C41" s="59" t="s">
        <v>6</v>
      </c>
      <c r="D41" s="59">
        <v>6</v>
      </c>
      <c r="E41" s="91" t="s">
        <v>136</v>
      </c>
    </row>
    <row r="42" spans="1:5">
      <c r="A42" s="21">
        <f t="shared" si="0"/>
        <v>41</v>
      </c>
      <c r="B42" s="85" t="str">
        <f ca="1">IFERROR(__xludf.DUMMYFUNCTION("GOOGLETRANSLATE(B3331:B3346,""RU"",""UK"")"),"Мітчик М - 6гаєч.")</f>
        <v>Мітчик М - 6гаєч.</v>
      </c>
      <c r="C42" s="59" t="s">
        <v>6</v>
      </c>
      <c r="D42" s="59">
        <v>490</v>
      </c>
      <c r="E42" s="91" t="s">
        <v>185</v>
      </c>
    </row>
    <row r="43" spans="1:5">
      <c r="A43" s="21">
        <f t="shared" si="0"/>
        <v>42</v>
      </c>
      <c r="B43" s="85" t="str">
        <f ca="1">IFERROR(__xludf.DUMMYFUNCTION("GOOGLETRANSLATE(B3331:B3346,""RU"",""UK"")"),"Мітчик М - 6гаєч. Нурка")</f>
        <v>Мітчик М - 6гаєч. Нурка</v>
      </c>
      <c r="C43" s="59" t="s">
        <v>6</v>
      </c>
      <c r="D43" s="59">
        <v>8</v>
      </c>
      <c r="E43" s="91" t="s">
        <v>185</v>
      </c>
    </row>
    <row r="44" spans="1:5">
      <c r="A44" s="21">
        <f t="shared" si="0"/>
        <v>43</v>
      </c>
      <c r="B44" s="85" t="str">
        <f ca="1">IFERROR(__xludf.DUMMYFUNCTION("GOOGLETRANSLATE(B3332:B3347,""RU"",""UK"")"),"Мітчик М - 6гаєч. Р18")</f>
        <v>Мітчик М - 6гаєч. Р18</v>
      </c>
      <c r="C44" s="59" t="s">
        <v>6</v>
      </c>
      <c r="D44" s="59">
        <v>1</v>
      </c>
      <c r="E44" s="91">
        <v>84</v>
      </c>
    </row>
    <row r="45" spans="1:5">
      <c r="A45" s="21">
        <f t="shared" si="0"/>
        <v>44</v>
      </c>
      <c r="B45" s="85" t="str">
        <f ca="1">IFERROR(__xludf.DUMMYFUNCTION("GOOGLETRANSLATE(B3333:B3348,""RU"",""UK"")"),"Мітчик М - 6х0,75гаеч")</f>
        <v>Мітчик М - 6х0,75гаеч</v>
      </c>
      <c r="C45" s="59" t="s">
        <v>6</v>
      </c>
      <c r="D45" s="59">
        <v>85</v>
      </c>
      <c r="E45" s="91">
        <v>81</v>
      </c>
    </row>
    <row r="46" spans="1:5">
      <c r="A46" s="21">
        <f t="shared" si="0"/>
        <v>45</v>
      </c>
      <c r="B46" s="85" t="str">
        <f ca="1">IFERROR(__xludf.DUMMYFUNCTION("GOOGLETRANSLATE(B3333:B3348,""RU"",""UK"")"),"Мітчик М - 6х0,5гаєч.")</f>
        <v>Мітчик М - 6х0,5гаєч.</v>
      </c>
      <c r="C46" s="59" t="s">
        <v>6</v>
      </c>
      <c r="D46" s="59">
        <v>86</v>
      </c>
      <c r="E46" s="91">
        <v>81</v>
      </c>
    </row>
    <row r="47" spans="1:5">
      <c r="A47" s="21">
        <f t="shared" si="0"/>
        <v>46</v>
      </c>
      <c r="B47" s="85" t="str">
        <f ca="1">IFERROR(__xludf.DUMMYFUNCTION("GOOGLETRANSLATE(B3334:B3349,""RU"",""UK"")"),"Мітчик М - 6")</f>
        <v>Мітчик М - 6</v>
      </c>
      <c r="C47" s="59" t="s">
        <v>4370</v>
      </c>
      <c r="D47" s="59">
        <v>29</v>
      </c>
      <c r="E47" s="91">
        <v>120</v>
      </c>
    </row>
    <row r="48" spans="1:5">
      <c r="A48" s="21">
        <f t="shared" si="0"/>
        <v>47</v>
      </c>
      <c r="B48" s="164" t="str">
        <f ca="1">IFERROR(__xludf.DUMMYFUNCTION("GOOGLETRANSLATE(B3335:B3350,""RU"",""UK"")"),"Мітчик М - 6 лев")</f>
        <v>Мітчик М - 6 лев</v>
      </c>
      <c r="C48" s="59" t="s">
        <v>4370</v>
      </c>
      <c r="D48" s="59">
        <v>0</v>
      </c>
      <c r="E48" s="91">
        <v>120</v>
      </c>
    </row>
    <row r="49" spans="1:5">
      <c r="A49" s="21">
        <f t="shared" si="0"/>
        <v>48</v>
      </c>
      <c r="B49" s="85" t="str">
        <f ca="1">IFERROR(__xludf.DUMMYFUNCTION("GOOGLETRANSLATE(B3336:B3351,""RU"",""UK"")"),"Мітчик М - 6х0,5")</f>
        <v>Мітчик М - 6х0,5</v>
      </c>
      <c r="C49" s="59" t="s">
        <v>4370</v>
      </c>
      <c r="D49" s="59">
        <v>90</v>
      </c>
      <c r="E49" s="91">
        <v>120</v>
      </c>
    </row>
    <row r="50" spans="1:5">
      <c r="A50" s="21">
        <f t="shared" si="0"/>
        <v>49</v>
      </c>
      <c r="B50" s="85" t="str">
        <f ca="1">IFERROR(__xludf.DUMMYFUNCTION("GOOGLETRANSLATE(B3336:B3351,""RU"",""UK"")"),"Мітчик М - 6х0.75")</f>
        <v>Мітчик М - 6х0.75</v>
      </c>
      <c r="C50" s="59" t="s">
        <v>4370</v>
      </c>
      <c r="D50" s="59">
        <v>132</v>
      </c>
      <c r="E50" s="91">
        <v>120</v>
      </c>
    </row>
    <row r="51" spans="1:5">
      <c r="A51" s="21">
        <f t="shared" si="0"/>
        <v>50</v>
      </c>
      <c r="B51" s="85" t="str">
        <f ca="1">IFERROR(__xludf.DUMMYFUNCTION("GOOGLETRANSLATE(B3337:B3352,""RU"",""UK"")"),"Мітчик М - 7")</f>
        <v>Мітчик М - 7</v>
      </c>
      <c r="C51" s="59" t="s">
        <v>6</v>
      </c>
      <c r="D51" s="59">
        <v>11</v>
      </c>
      <c r="E51" s="91" t="s">
        <v>136</v>
      </c>
    </row>
    <row r="52" spans="1:5">
      <c r="A52" s="21">
        <f t="shared" si="0"/>
        <v>51</v>
      </c>
      <c r="B52" s="85" t="str">
        <f ca="1">IFERROR(__xludf.DUMMYFUNCTION("GOOGLETRANSLATE(B3337:B3352,""RU"",""UK"")"),"Мітчик М - 7 гаєч")</f>
        <v>Мітчик М - 7 гаєч</v>
      </c>
      <c r="C52" s="59" t="s">
        <v>6</v>
      </c>
      <c r="D52" s="59">
        <v>1</v>
      </c>
      <c r="E52" s="91" t="s">
        <v>136</v>
      </c>
    </row>
    <row r="53" spans="1:5">
      <c r="A53" s="21">
        <f t="shared" si="0"/>
        <v>52</v>
      </c>
      <c r="B53" s="85" t="str">
        <f ca="1">IFERROR(__xludf.DUMMYFUNCTION("GOOGLETRANSLATE(B3338:B3353,""RU"",""UK"")"),"Мітчик М - 7")</f>
        <v>Мітчик М - 7</v>
      </c>
      <c r="C53" s="37" t="s">
        <v>4370</v>
      </c>
      <c r="D53" s="37">
        <v>10</v>
      </c>
      <c r="E53" s="91">
        <v>188</v>
      </c>
    </row>
    <row r="54" spans="1:5">
      <c r="A54" s="21">
        <f t="shared" si="0"/>
        <v>53</v>
      </c>
      <c r="B54" s="169" t="s">
        <v>6231</v>
      </c>
      <c r="C54" s="59" t="s">
        <v>6</v>
      </c>
      <c r="D54" s="59">
        <v>15</v>
      </c>
      <c r="E54" s="91">
        <v>125</v>
      </c>
    </row>
    <row r="55" spans="1:5">
      <c r="A55" s="21">
        <f t="shared" si="0"/>
        <v>54</v>
      </c>
      <c r="B55" s="229" t="s">
        <v>6271</v>
      </c>
      <c r="C55" s="59" t="s">
        <v>6</v>
      </c>
      <c r="D55" s="59">
        <v>39</v>
      </c>
      <c r="E55" s="91">
        <v>135</v>
      </c>
    </row>
    <row r="56" spans="1:5">
      <c r="A56" s="21">
        <f t="shared" si="0"/>
        <v>55</v>
      </c>
      <c r="B56" s="169" t="str">
        <f ca="1">IFERROR(__xludf.DUMMYFUNCTION("GOOGLETRANSLATE(B3346:B3361,""RU"",""UK"")"),"Мітчик М - 8х0, 5маш.")</f>
        <v>Мітчик М - 8х0, 5маш.</v>
      </c>
      <c r="C56" s="59" t="s">
        <v>6</v>
      </c>
      <c r="D56" s="59">
        <v>18</v>
      </c>
      <c r="E56" s="91">
        <v>120</v>
      </c>
    </row>
    <row r="57" spans="1:5">
      <c r="A57" s="21">
        <f t="shared" si="0"/>
        <v>56</v>
      </c>
      <c r="B57" s="85" t="s">
        <v>6109</v>
      </c>
      <c r="C57" s="59" t="s">
        <v>6</v>
      </c>
      <c r="D57" s="59">
        <v>96</v>
      </c>
      <c r="E57" s="91">
        <v>120</v>
      </c>
    </row>
    <row r="58" spans="1:5">
      <c r="A58" s="21">
        <f t="shared" si="0"/>
        <v>57</v>
      </c>
      <c r="B58" s="85" t="str">
        <f ca="1">IFERROR(__xludf.DUMMYFUNCTION("GOOGLETRANSLATE(B3340:B3355,""RU"",""UK"")"),"Мітчик М - 8лев.")</f>
        <v>Мітчик М - 8лев.</v>
      </c>
      <c r="C58" s="37" t="s">
        <v>6</v>
      </c>
      <c r="D58" s="37">
        <v>5</v>
      </c>
      <c r="E58" s="91">
        <v>132</v>
      </c>
    </row>
    <row r="59" spans="1:5">
      <c r="A59" s="21">
        <f t="shared" si="0"/>
        <v>58</v>
      </c>
      <c r="B59" s="169" t="str">
        <f ca="1">IFERROR(__xludf.DUMMYFUNCTION("GOOGLETRANSLATE(B3340:B3355,""RU"",""UK"")"),"Мітчик М - 8х1лев.")</f>
        <v>Мітчик М - 8х1лев.</v>
      </c>
      <c r="C59" s="37" t="s">
        <v>6</v>
      </c>
      <c r="D59" s="37">
        <v>5</v>
      </c>
      <c r="E59" s="91">
        <v>132</v>
      </c>
    </row>
    <row r="60" spans="1:5">
      <c r="A60" s="21">
        <f t="shared" si="0"/>
        <v>59</v>
      </c>
      <c r="B60" s="85" t="str">
        <f ca="1">IFERROR(__xludf.DUMMYFUNCTION("GOOGLETRANSLATE(B3341:B3356,""RU"",""UK"")"),"Мітчик М - 8лев. Р18")</f>
        <v>Мітчик М - 8лев. Р18</v>
      </c>
      <c r="C60" s="59" t="s">
        <v>6</v>
      </c>
      <c r="D60" s="59">
        <v>1</v>
      </c>
      <c r="E60" s="91" t="s">
        <v>119</v>
      </c>
    </row>
    <row r="61" spans="1:5">
      <c r="A61" s="21">
        <f t="shared" si="0"/>
        <v>60</v>
      </c>
      <c r="B61" s="85" t="str">
        <f ca="1">IFERROR(__xludf.DUMMYFUNCTION("GOOGLETRANSLATE(B3342:B3357,""RU"",""UK"")"),"Мітчик М - 8")</f>
        <v>Мітчик М - 8</v>
      </c>
      <c r="C61" s="59" t="s">
        <v>4370</v>
      </c>
      <c r="D61" s="59">
        <v>12</v>
      </c>
      <c r="E61" s="91">
        <v>145</v>
      </c>
    </row>
    <row r="62" spans="1:5">
      <c r="A62" s="21">
        <f t="shared" si="0"/>
        <v>61</v>
      </c>
      <c r="B62" s="85" t="str">
        <f ca="1">IFERROR(__xludf.DUMMYFUNCTION("GOOGLETRANSLATE(B3343:B3358,""RU"",""UK"")"),"Мітчик М - 8х0,5")</f>
        <v>Мітчик М - 8х0,5</v>
      </c>
      <c r="C62" s="59" t="s">
        <v>4370</v>
      </c>
      <c r="D62" s="59">
        <v>4</v>
      </c>
      <c r="E62" s="91">
        <v>145</v>
      </c>
    </row>
    <row r="63" spans="1:5">
      <c r="A63" s="21">
        <f t="shared" si="0"/>
        <v>62</v>
      </c>
      <c r="B63" s="85" t="str">
        <f ca="1">IFERROR(__xludf.DUMMYFUNCTION("GOOGLETRANSLATE(B3343:B3358,""RU"",""UK"")"),"Мітчик М - 8х0,75")</f>
        <v>Мітчик М - 8х0,75</v>
      </c>
      <c r="C63" s="59" t="s">
        <v>4370</v>
      </c>
      <c r="D63" s="59">
        <v>7</v>
      </c>
      <c r="E63" s="91">
        <v>145</v>
      </c>
    </row>
    <row r="64" spans="1:5">
      <c r="A64" s="21">
        <f t="shared" si="0"/>
        <v>63</v>
      </c>
      <c r="B64" s="85" t="str">
        <f ca="1">IFERROR(__xludf.DUMMYFUNCTION("GOOGLETRANSLATE(B3343:B3358,""RU"",""UK"")"),"Мітчик М - 8х1")</f>
        <v>Мітчик М - 8х1</v>
      </c>
      <c r="C64" s="59" t="s">
        <v>4370</v>
      </c>
      <c r="D64" s="59">
        <v>25</v>
      </c>
      <c r="E64" s="91">
        <v>145</v>
      </c>
    </row>
    <row r="65" spans="1:5">
      <c r="A65" s="21">
        <f t="shared" si="0"/>
        <v>64</v>
      </c>
      <c r="B65" s="85" t="str">
        <f ca="1">IFERROR(__xludf.DUMMYFUNCTION("GOOGLETRANSLATE(B3343:B3358,""RU"",""UK"")"),"Мітчик М - 8х1 лів")</f>
        <v>Мітчик М - 8х1 лів</v>
      </c>
      <c r="C65" s="59" t="s">
        <v>4370</v>
      </c>
      <c r="D65" s="59">
        <v>2</v>
      </c>
      <c r="E65" s="91">
        <v>195</v>
      </c>
    </row>
    <row r="66" spans="1:5">
      <c r="A66" s="21">
        <f t="shared" si="0"/>
        <v>65</v>
      </c>
      <c r="B66" s="164" t="str">
        <f ca="1">IFERROR(__xludf.DUMMYFUNCTION("GOOGLETRANSLATE(B3344:B3359,""RU"",""UK"")"),"Мітчик М - 8гаєч.")</f>
        <v>Мітчик М - 8гаєч.</v>
      </c>
      <c r="C66" s="59" t="s">
        <v>6</v>
      </c>
      <c r="D66" s="160">
        <v>0</v>
      </c>
      <c r="E66" s="91">
        <v>150</v>
      </c>
    </row>
    <row r="67" spans="1:5">
      <c r="A67" s="21">
        <f t="shared" si="0"/>
        <v>66</v>
      </c>
      <c r="B67" s="164" t="str">
        <f ca="1">IFERROR(__xludf.DUMMYFUNCTION("GOOGLETRANSLATE(B3344:B3359,""RU"",""UK"")"),"Мітчик М - 8гаєч. нурка.")</f>
        <v>Мітчик М - 8гаєч. нурка.</v>
      </c>
      <c r="C67" s="59" t="s">
        <v>6</v>
      </c>
      <c r="D67" s="160">
        <v>5</v>
      </c>
      <c r="E67" s="91">
        <v>150</v>
      </c>
    </row>
    <row r="68" spans="1:5">
      <c r="A68" s="21">
        <f t="shared" si="0"/>
        <v>67</v>
      </c>
      <c r="B68" s="85" t="str">
        <f ca="1">IFERROR(__xludf.DUMMYFUNCTION("GOOGLETRANSLATE(B3344:B3359,""RU"",""UK"")"),"Мітчик М - 8х0,75гаєч.")</f>
        <v>Мітчик М - 8х0,75гаєч.</v>
      </c>
      <c r="C68" s="59" t="s">
        <v>6</v>
      </c>
      <c r="D68" s="160">
        <v>70</v>
      </c>
      <c r="E68" s="91">
        <v>120</v>
      </c>
    </row>
    <row r="69" spans="1:5">
      <c r="A69" s="21">
        <f t="shared" si="0"/>
        <v>68</v>
      </c>
      <c r="B69" s="85" t="str">
        <f ca="1">IFERROR(__xludf.DUMMYFUNCTION("GOOGLETRANSLATE(B3345:B3360,""RU"",""UK"")"),"Мітчик М - 8х1гаеч.")</f>
        <v>Мітчик М - 8х1гаеч.</v>
      </c>
      <c r="C69" s="59" t="s">
        <v>6</v>
      </c>
      <c r="D69" s="59">
        <v>51</v>
      </c>
      <c r="E69" s="91" t="s">
        <v>136</v>
      </c>
    </row>
    <row r="70" spans="1:5">
      <c r="A70" s="21">
        <f t="shared" si="0"/>
        <v>69</v>
      </c>
      <c r="B70" s="85" t="str">
        <f ca="1">IFERROR(__xludf.DUMMYFUNCTION("GOOGLETRANSLATE(B3345:B3360,""RU"",""UK"")"),"Мітчик М - 8х1гаєч. нурка")</f>
        <v>Мітчик М - 8х1гаєч. нурка</v>
      </c>
      <c r="C70" s="59" t="s">
        <v>6</v>
      </c>
      <c r="D70" s="59">
        <v>66</v>
      </c>
      <c r="E70" s="91" t="s">
        <v>136</v>
      </c>
    </row>
    <row r="71" spans="1:5">
      <c r="A71" s="21">
        <f t="shared" si="0"/>
        <v>70</v>
      </c>
      <c r="B71" s="85" t="str">
        <f ca="1">IFERROR(__xludf.DUMMYFUNCTION("GOOGLETRANSLATE(B3347:B3362,""RU"",""UK"")"),"Мітчик М - 9х0, 5маш. гаєчн.")</f>
        <v>Мітчик М - 9х0, 5маш. гаєчн.</v>
      </c>
      <c r="C71" s="59" t="s">
        <v>6</v>
      </c>
      <c r="D71" s="59">
        <v>10</v>
      </c>
      <c r="E71" s="91" t="s">
        <v>194</v>
      </c>
    </row>
    <row r="72" spans="1:5">
      <c r="A72" s="21">
        <f t="shared" si="0"/>
        <v>71</v>
      </c>
      <c r="B72" s="169" t="str">
        <f ca="1">IFERROR(__xludf.DUMMYFUNCTION("GOOGLETRANSLATE(B3348:B3363,""RU"",""UK"")"),"Мітчик М - 9х1маш/руч")</f>
        <v>Мітчик М - 9х1маш/руч</v>
      </c>
      <c r="C72" s="59" t="s">
        <v>4370</v>
      </c>
      <c r="D72" s="59">
        <v>2</v>
      </c>
      <c r="E72" s="91">
        <v>189</v>
      </c>
    </row>
    <row r="73" spans="1:5">
      <c r="A73" s="21">
        <f t="shared" si="0"/>
        <v>72</v>
      </c>
      <c r="B73" s="169" t="str">
        <f ca="1">IFERROR(__xludf.DUMMYFUNCTION("GOOGLETRANSLATE(B3349:B3364,""RU"",""UK"")"),"Мітчик М - 9маш/руч.")</f>
        <v>Мітчик М - 9маш/руч.</v>
      </c>
      <c r="C73" s="59" t="s">
        <v>4370</v>
      </c>
      <c r="D73" s="171">
        <v>2</v>
      </c>
      <c r="E73" s="91" t="s">
        <v>515</v>
      </c>
    </row>
    <row r="74" spans="1:5">
      <c r="A74" s="21">
        <f t="shared" si="0"/>
        <v>73</v>
      </c>
      <c r="B74" s="85" t="str">
        <f ca="1">IFERROR(__xludf.DUMMYFUNCTION("GOOGLETRANSLATE(B3350:B3365,""RU"",""UK"")"),"Мітчик М - 10 маш.")</f>
        <v>Мітчик М - 10 маш.</v>
      </c>
      <c r="C74" s="59" t="s">
        <v>6</v>
      </c>
      <c r="D74" s="59">
        <v>108</v>
      </c>
      <c r="E74" s="91" t="s">
        <v>348</v>
      </c>
    </row>
    <row r="75" spans="1:5">
      <c r="A75" s="21">
        <f t="shared" si="0"/>
        <v>74</v>
      </c>
      <c r="B75" s="85" t="str">
        <f ca="1">IFERROR(__xludf.DUMMYFUNCTION("GOOGLETRANSLATE(B3351:B3366,""RU"",""UK"")"),"Мітчик М - 10 лев")</f>
        <v>Мітчик М - 10 лев</v>
      </c>
      <c r="C75" s="59" t="s">
        <v>6</v>
      </c>
      <c r="D75" s="160">
        <v>16</v>
      </c>
      <c r="E75" s="91">
        <v>200</v>
      </c>
    </row>
    <row r="76" spans="1:5">
      <c r="A76" s="21">
        <f t="shared" si="0"/>
        <v>75</v>
      </c>
      <c r="B76" s="169" t="str">
        <f ca="1">IFERROR(__xludf.DUMMYFUNCTION("GOOGLETRANSLATE(B3351:B3366,""RU"",""UK"")"),"Мітчик М - 10х1лев")</f>
        <v>Мітчик М - 10х1лев</v>
      </c>
      <c r="C76" s="59" t="s">
        <v>6</v>
      </c>
      <c r="D76" s="160">
        <v>3</v>
      </c>
      <c r="E76" s="91">
        <v>200</v>
      </c>
    </row>
    <row r="77" spans="1:5">
      <c r="A77" s="21">
        <f t="shared" si="0"/>
        <v>76</v>
      </c>
      <c r="B77" s="85" t="str">
        <f ca="1">IFERROR(__xludf.DUMMYFUNCTION("GOOGLETRANSLATE(B3352:B3367,""RU"",""UK"")"),"Мітчик М - 10 маш./руч.")</f>
        <v>Мітчик М - 10 маш./руч.</v>
      </c>
      <c r="C77" s="59" t="s">
        <v>4370</v>
      </c>
      <c r="D77" s="59">
        <v>22</v>
      </c>
      <c r="E77" s="91">
        <v>165</v>
      </c>
    </row>
    <row r="78" spans="1:5">
      <c r="A78" s="21">
        <f t="shared" si="0"/>
        <v>77</v>
      </c>
      <c r="B78" s="85" t="str">
        <f ca="1">IFERROR(__xludf.DUMMYFUNCTION("GOOGLETRANSLATE(B3353:B3368,""RU"",""UK"")"),"Мітчик М - 10х1 маш/руч.")</f>
        <v>Мітчик М - 10х1 маш/руч.</v>
      </c>
      <c r="C78" s="59" t="s">
        <v>4370</v>
      </c>
      <c r="D78" s="59">
        <v>8</v>
      </c>
      <c r="E78" s="91">
        <v>165</v>
      </c>
    </row>
    <row r="79" spans="1:5">
      <c r="A79" s="21">
        <f t="shared" si="0"/>
        <v>78</v>
      </c>
      <c r="B79" s="85" t="str">
        <f ca="1">IFERROR(__xludf.DUMMYFUNCTION("GOOGLETRANSLATE(B3354:B3369,""RU"",""UK"")"),"Мітчик М - 10х1,25 маш/руч.")</f>
        <v>Мітчик М - 10х1,25 маш/руч.</v>
      </c>
      <c r="C79" s="59" t="s">
        <v>4370</v>
      </c>
      <c r="D79" s="59">
        <v>7</v>
      </c>
      <c r="E79" s="91">
        <v>165</v>
      </c>
    </row>
    <row r="80" spans="1:5">
      <c r="A80" s="21">
        <f t="shared" si="0"/>
        <v>79</v>
      </c>
      <c r="B80" s="169" t="str">
        <f ca="1">IFERROR(__xludf.DUMMYFUNCTION("GOOGLETRANSLATE(B3355:B3370,""RU"",""UK"")"),"Мітчик М - 10 гаєч.")</f>
        <v>Мітчик М - 10 гаєч.</v>
      </c>
      <c r="C80" s="59" t="s">
        <v>6</v>
      </c>
      <c r="D80" s="160">
        <v>23</v>
      </c>
      <c r="E80" s="91">
        <v>165</v>
      </c>
    </row>
    <row r="81" spans="1:5">
      <c r="A81" s="21">
        <f t="shared" si="0"/>
        <v>80</v>
      </c>
      <c r="B81" s="85" t="str">
        <f ca="1">IFERROR(__xludf.DUMMYFUNCTION("GOOGLETRANSLATE(B3355:B3370,""RU"",""UK"")"),"Мітчик М - 10гаєч.нурка")</f>
        <v>Мітчик М - 10гаєч.нурка</v>
      </c>
      <c r="C81" s="59" t="s">
        <v>6</v>
      </c>
      <c r="D81" s="160">
        <v>23</v>
      </c>
      <c r="E81" s="91">
        <v>165</v>
      </c>
    </row>
    <row r="82" spans="1:5">
      <c r="A82" s="21">
        <f t="shared" si="0"/>
        <v>81</v>
      </c>
      <c r="B82" s="85" t="str">
        <f ca="1">IFERROR(__xludf.DUMMYFUNCTION("GOOGLETRANSLATE(B3355:B3370,""RU"",""UK"")"),"Мітчик М - 10х0.75гаєч")</f>
        <v>Мітчик М - 10х0.75гаєч</v>
      </c>
      <c r="C82" s="59" t="s">
        <v>6</v>
      </c>
      <c r="D82" s="160">
        <v>1</v>
      </c>
      <c r="E82" s="91">
        <v>165</v>
      </c>
    </row>
    <row r="83" spans="1:5">
      <c r="A83" s="21">
        <f>A80+1</f>
        <v>80</v>
      </c>
      <c r="B83" s="85" t="str">
        <f ca="1">IFERROR(__xludf.DUMMYFUNCTION("GOOGLETRANSLATE(B3356:B3371,""RU"",""UK"")"),"Мітчик М - 10х1 гаєч")</f>
        <v>Мітчик М - 10х1 гаєч</v>
      </c>
      <c r="C83" s="59" t="s">
        <v>6</v>
      </c>
      <c r="D83" s="59">
        <v>61</v>
      </c>
      <c r="E83" s="91">
        <v>165</v>
      </c>
    </row>
    <row r="84" spans="1:5">
      <c r="A84" s="21">
        <f t="shared" ref="A84:A91" si="1">A81+1</f>
        <v>81</v>
      </c>
      <c r="B84" s="85" t="str">
        <f ca="1">IFERROR(__xludf.DUMMYFUNCTION("GOOGLETRANSLATE(B3356:B3371,""RU"",""UK"")"),"Мітчик М - 10х1,25гаєч")</f>
        <v>Мітчик М - 10х1,25гаєч</v>
      </c>
      <c r="C84" s="59" t="s">
        <v>6</v>
      </c>
      <c r="D84" s="59">
        <v>25</v>
      </c>
      <c r="E84" s="91">
        <v>165</v>
      </c>
    </row>
    <row r="85" spans="1:5">
      <c r="A85" s="21">
        <f t="shared" si="1"/>
        <v>82</v>
      </c>
      <c r="B85" s="85" t="str">
        <f ca="1">IFERROR(__xludf.DUMMYFUNCTION("GOOGLETRANSLATE(B3357:B3372,""RU"",""UK"")"),"Мітчик М - 10х0.5Р18")</f>
        <v>Мітчик М - 10х0.5Р18</v>
      </c>
      <c r="C85" s="59" t="s">
        <v>6</v>
      </c>
      <c r="D85" s="59">
        <v>5</v>
      </c>
      <c r="E85" s="91" t="s">
        <v>348</v>
      </c>
    </row>
    <row r="86" spans="1:5">
      <c r="A86" s="21">
        <f t="shared" si="1"/>
        <v>81</v>
      </c>
      <c r="B86" s="85" t="str">
        <f ca="1">IFERROR(__xludf.DUMMYFUNCTION("GOOGLETRANSLATE(B3357:B3372,""RU"",""UK"")"),"Мітчик М - 10х0,75")</f>
        <v>Мітчик М - 10х0,75</v>
      </c>
      <c r="C86" s="59" t="s">
        <v>6</v>
      </c>
      <c r="D86" s="59">
        <v>4</v>
      </c>
      <c r="E86" s="91" t="s">
        <v>348</v>
      </c>
    </row>
    <row r="87" spans="1:5">
      <c r="A87" s="21">
        <f t="shared" si="1"/>
        <v>82</v>
      </c>
      <c r="B87" s="85" t="str">
        <f ca="1">IFERROR(__xludf.DUMMYFUNCTION("GOOGLETRANSLATE(B3358:B3373,""RU"",""UK"")"),"Мітчик М - 10х1")</f>
        <v>Мітчик М - 10х1</v>
      </c>
      <c r="C87" s="59" t="s">
        <v>6</v>
      </c>
      <c r="D87" s="59">
        <v>11</v>
      </c>
      <c r="E87" s="91" t="s">
        <v>348</v>
      </c>
    </row>
    <row r="88" spans="1:5">
      <c r="A88" s="21">
        <f t="shared" si="1"/>
        <v>83</v>
      </c>
      <c r="B88" s="85" t="str">
        <f ca="1">IFERROR(__xludf.DUMMYFUNCTION("GOOGLETRANSLATE(B3358:B3373,""RU"",""UK"")"),"Мітчик М - 10х1,25")</f>
        <v>Мітчик М - 10х1,25</v>
      </c>
      <c r="C88" s="59" t="s">
        <v>6</v>
      </c>
      <c r="D88" s="59">
        <v>221</v>
      </c>
      <c r="E88" s="91" t="s">
        <v>348</v>
      </c>
    </row>
    <row r="89" spans="1:5">
      <c r="A89" s="21">
        <f t="shared" si="1"/>
        <v>82</v>
      </c>
      <c r="B89" s="85" t="str">
        <f ca="1">IFERROR(__xludf.DUMMYFUNCTION("GOOGLETRANSLATE(B3359:B3374,""RU"",""UK"")"),"Мітчик М - 10х0,5 м/р")</f>
        <v>Мітчик М - 10х0,5 м/р</v>
      </c>
      <c r="C89" s="59" t="s">
        <v>4370</v>
      </c>
      <c r="D89" s="160">
        <v>16</v>
      </c>
      <c r="E89" s="91" t="s">
        <v>218</v>
      </c>
    </row>
    <row r="90" spans="1:5">
      <c r="A90" s="21">
        <f t="shared" si="1"/>
        <v>83</v>
      </c>
      <c r="B90" s="85" t="str">
        <f ca="1">IFERROR(__xludf.DUMMYFUNCTION("GOOGLETRANSLATE(B3359:B3374,""RU"",""UK"")"),"Мітчик М - 10х0,75 м/р")</f>
        <v>Мітчик М - 10х0,75 м/р</v>
      </c>
      <c r="C90" s="59" t="s">
        <v>4370</v>
      </c>
      <c r="D90" s="160">
        <v>10</v>
      </c>
      <c r="E90" s="91" t="s">
        <v>218</v>
      </c>
    </row>
    <row r="91" spans="1:5">
      <c r="A91" s="21">
        <f t="shared" si="1"/>
        <v>84</v>
      </c>
      <c r="B91" s="85" t="str">
        <f ca="1">IFERROR(__xludf.DUMMYFUNCTION("GOOGLETRANSLATE(B3360:B3375,""RU"",""UK"")"),"Мітчик М - 10х1 ВК8 моноліт")</f>
        <v>Мітчик М - 10х1 ВК8 моноліт</v>
      </c>
      <c r="C91" s="59" t="s">
        <v>6</v>
      </c>
      <c r="D91" s="59">
        <v>11</v>
      </c>
      <c r="E91" s="91" t="s">
        <v>119</v>
      </c>
    </row>
    <row r="92" spans="1:5">
      <c r="A92" s="21">
        <f t="shared" si="0"/>
        <v>85</v>
      </c>
      <c r="B92" s="85" t="str">
        <f ca="1">IFERROR(__xludf.DUMMYFUNCTION("GOOGLETRANSLATE(B3361:B3376,""RU"",""UK"")"),"Мітчик М - 11")</f>
        <v>Мітчик М - 11</v>
      </c>
      <c r="C92" s="59" t="s">
        <v>6</v>
      </c>
      <c r="D92" s="160">
        <v>3</v>
      </c>
      <c r="E92" s="91" t="s">
        <v>317</v>
      </c>
    </row>
    <row r="93" spans="1:5">
      <c r="A93" s="21">
        <f t="shared" si="0"/>
        <v>86</v>
      </c>
      <c r="B93" s="85" t="str">
        <f ca="1">IFERROR(__xludf.DUMMYFUNCTION("GOOGLETRANSLATE(B3359:B3374,""RU"",""UK"")"),"Мітчик М - 11х1,5")</f>
        <v>Мітчик М - 11х1,5</v>
      </c>
      <c r="C93" s="59" t="s">
        <v>4370</v>
      </c>
      <c r="D93" s="160">
        <v>2</v>
      </c>
      <c r="E93" s="91">
        <v>180</v>
      </c>
    </row>
    <row r="94" spans="1:5">
      <c r="A94" s="21">
        <f t="shared" si="0"/>
        <v>87</v>
      </c>
      <c r="B94" s="85" t="str">
        <f ca="1">IFERROR(__xludf.DUMMYFUNCTION("GOOGLETRANSLATE(B3362:B3377,""RU"",""UK"")"),"Мітчик М - 11х0,5гаєч.")</f>
        <v>Мітчик М - 11х0,5гаєч.</v>
      </c>
      <c r="C94" s="59" t="s">
        <v>6</v>
      </c>
      <c r="D94" s="59">
        <v>5</v>
      </c>
      <c r="E94" s="91" t="s">
        <v>317</v>
      </c>
    </row>
    <row r="95" spans="1:5">
      <c r="A95" s="21">
        <f t="shared" si="0"/>
        <v>88</v>
      </c>
      <c r="B95" s="85" t="str">
        <f ca="1">IFERROR(__xludf.DUMMYFUNCTION("GOOGLETRANSLATE(B3361:B3376,""RU"",""UK"")"),"Мітчик М - 11х1")</f>
        <v>Мітчик М - 11х1</v>
      </c>
      <c r="C95" s="59" t="s">
        <v>6</v>
      </c>
      <c r="D95" s="160">
        <v>17</v>
      </c>
      <c r="E95" s="91" t="s">
        <v>317</v>
      </c>
    </row>
    <row r="96" spans="1:5">
      <c r="A96" s="21">
        <f t="shared" si="0"/>
        <v>89</v>
      </c>
      <c r="B96" s="85" t="str">
        <f ca="1">IFERROR(__xludf.DUMMYFUNCTION("GOOGLETRANSLATE(B3362:B3377,""RU"",""UK"")"),"Мітчик М - 11х1 гаєч.")</f>
        <v>Мітчик М - 11х1 гаєч.</v>
      </c>
      <c r="C96" s="59" t="s">
        <v>6</v>
      </c>
      <c r="D96" s="59">
        <v>20</v>
      </c>
      <c r="E96" s="91" t="s">
        <v>317</v>
      </c>
    </row>
    <row r="97" spans="1:5">
      <c r="A97" s="21">
        <f t="shared" si="0"/>
        <v>90</v>
      </c>
      <c r="B97" s="85" t="str">
        <f ca="1">IFERROR(__xludf.DUMMYFUNCTION("GOOGLETRANSLATE(B3363:B3378,""RU"",""UK"")"),"Мітчик М - 12 маш./руч Р6М5")</f>
        <v>Мітчик М - 12 маш./руч Р6М5</v>
      </c>
      <c r="C97" s="59" t="s">
        <v>6</v>
      </c>
      <c r="D97" s="59">
        <v>72</v>
      </c>
      <c r="E97" s="91" t="s">
        <v>319</v>
      </c>
    </row>
    <row r="98" spans="1:5">
      <c r="A98" s="21">
        <f t="shared" si="0"/>
        <v>91</v>
      </c>
      <c r="B98" s="85" t="str">
        <f ca="1">IFERROR(__xludf.DUMMYFUNCTION("GOOGLETRANSLATE(B3363:B3378,""RU"",""UK"")"),"Мітчик М - 12х0,5 маш.")</f>
        <v>Мітчик М - 12х0,5 маш.</v>
      </c>
      <c r="C98" s="59" t="s">
        <v>6</v>
      </c>
      <c r="D98" s="59">
        <v>1</v>
      </c>
      <c r="E98" s="91" t="s">
        <v>319</v>
      </c>
    </row>
    <row r="99" spans="1:5">
      <c r="A99" s="21">
        <f t="shared" si="0"/>
        <v>92</v>
      </c>
      <c r="B99" s="85" t="str">
        <f ca="1">IFERROR(__xludf.DUMMYFUNCTION("GOOGLETRANSLATE(B3363:B3378,""RU"",""UK"")"),"Мітчик М - 12х0,75 маш.")</f>
        <v>Мітчик М - 12х0,75 маш.</v>
      </c>
      <c r="C99" s="59" t="s">
        <v>6</v>
      </c>
      <c r="D99" s="59">
        <v>10</v>
      </c>
      <c r="E99" s="91" t="s">
        <v>319</v>
      </c>
    </row>
    <row r="100" spans="1:5">
      <c r="A100" s="21">
        <f t="shared" si="0"/>
        <v>93</v>
      </c>
      <c r="B100" s="85" t="str">
        <f ca="1">IFERROR(__xludf.DUMMYFUNCTION("GOOGLETRANSLATE(B3363:B3378,""RU"",""UK"")"),"Мітчик М - 12х1 маш.")</f>
        <v>Мітчик М - 12х1 маш.</v>
      </c>
      <c r="C100" s="59" t="s">
        <v>6</v>
      </c>
      <c r="D100" s="59">
        <v>136</v>
      </c>
      <c r="E100" s="91" t="s">
        <v>319</v>
      </c>
    </row>
    <row r="101" spans="1:5">
      <c r="A101" s="21">
        <f t="shared" si="0"/>
        <v>94</v>
      </c>
      <c r="B101" s="228" t="str">
        <f ca="1">IFERROR(__xludf.DUMMYFUNCTION("GOOGLETRANSLATE(B3364:B3379,""RU"",""UK"")"),"Мітчик М - 12 гаєч. Р6М5")</f>
        <v>Мітчик М - 12 гаєч. Р6М5</v>
      </c>
      <c r="C101" s="59" t="s">
        <v>6</v>
      </c>
      <c r="D101" s="59">
        <v>26</v>
      </c>
      <c r="E101" s="91" t="s">
        <v>119</v>
      </c>
    </row>
    <row r="102" spans="1:5">
      <c r="A102" s="21">
        <f t="shared" si="0"/>
        <v>95</v>
      </c>
      <c r="B102" s="85" t="str">
        <f ca="1">IFERROR(__xludf.DUMMYFUNCTION("GOOGLETRANSLATE(B3364:B3379,""RU"",""UK"")"),"Мітчик М - 12 гаєч. Нурка")</f>
        <v>Мітчик М - 12 гаєч. Нурка</v>
      </c>
      <c r="C102" s="59" t="s">
        <v>6</v>
      </c>
      <c r="D102" s="59">
        <v>58</v>
      </c>
      <c r="E102" s="91" t="s">
        <v>119</v>
      </c>
    </row>
    <row r="103" spans="1:5">
      <c r="A103" s="21">
        <f t="shared" si="0"/>
        <v>96</v>
      </c>
      <c r="B103" s="85" t="str">
        <f ca="1">IFERROR(__xludf.DUMMYFUNCTION("GOOGLETRANSLATE(B3365:B3380,""RU"",""UK"")"),"Мітчик М - 12х1 гаєч.")</f>
        <v>Мітчик М - 12х1 гаєч.</v>
      </c>
      <c r="C103" s="59" t="s">
        <v>6</v>
      </c>
      <c r="D103" s="59">
        <v>61</v>
      </c>
      <c r="E103" s="91" t="s">
        <v>319</v>
      </c>
    </row>
    <row r="104" spans="1:5">
      <c r="A104" s="21">
        <f t="shared" si="0"/>
        <v>97</v>
      </c>
      <c r="B104" s="85" t="str">
        <f ca="1">IFERROR(__xludf.DUMMYFUNCTION("GOOGLETRANSLATE(B3365:B3380,""RU"",""UK"")"),"Мітчик М - 12х1 гаєч. Нурка")</f>
        <v>Мітчик М - 12х1 гаєч. Нурка</v>
      </c>
      <c r="C104" s="59" t="s">
        <v>6</v>
      </c>
      <c r="D104" s="59">
        <v>2</v>
      </c>
      <c r="E104" s="91" t="s">
        <v>319</v>
      </c>
    </row>
    <row r="105" spans="1:5">
      <c r="A105" s="21">
        <f t="shared" si="0"/>
        <v>98</v>
      </c>
      <c r="B105" s="85" t="str">
        <f ca="1">IFERROR(__xludf.DUMMYFUNCTION("GOOGLETRANSLATE(B3366:B3381,""RU"",""UK"")"),"Мітчик М - 12х1, 25 гаєч.")</f>
        <v>Мітчик М - 12х1, 25 гаєч.</v>
      </c>
      <c r="C105" s="59" t="s">
        <v>6</v>
      </c>
      <c r="D105" s="59">
        <v>70</v>
      </c>
      <c r="E105" s="91" t="s">
        <v>319</v>
      </c>
    </row>
    <row r="106" spans="1:5">
      <c r="A106" s="21">
        <f t="shared" si="0"/>
        <v>99</v>
      </c>
      <c r="B106" s="85" t="str">
        <f ca="1">IFERROR(__xludf.DUMMYFUNCTION("GOOGLETRANSLATE(B3366:B3381,""RU"",""UK"")"),"Мітчик М - 12х1, 5 гаєч.")</f>
        <v>Мітчик М - 12х1, 5 гаєч.</v>
      </c>
      <c r="C106" s="59" t="s">
        <v>6</v>
      </c>
      <c r="D106" s="59">
        <v>14</v>
      </c>
      <c r="E106" s="91" t="s">
        <v>319</v>
      </c>
    </row>
    <row r="107" spans="1:5">
      <c r="A107" s="21">
        <f t="shared" si="0"/>
        <v>100</v>
      </c>
      <c r="B107" s="85" t="str">
        <f ca="1">IFERROR(__xludf.DUMMYFUNCTION("GOOGLETRANSLATE(B3367:B3382,""RU"",""UK"")"),"Мітчик М - 12х1, 25 маш.")</f>
        <v>Мітчик М - 12х1, 25 маш.</v>
      </c>
      <c r="C107" s="59" t="s">
        <v>6</v>
      </c>
      <c r="D107" s="59">
        <v>127</v>
      </c>
      <c r="E107" s="91" t="s">
        <v>317</v>
      </c>
    </row>
    <row r="108" spans="1:5">
      <c r="A108" s="21">
        <f t="shared" si="0"/>
        <v>101</v>
      </c>
      <c r="B108" s="85" t="str">
        <f ca="1">IFERROR(__xludf.DUMMYFUNCTION("GOOGLETRANSLATE(B3367:B3382,""RU"",""UK"")"),"Мітчик М - 12х1, 5 маш.")</f>
        <v>Мітчик М - 12х1, 5 маш.</v>
      </c>
      <c r="C108" s="59" t="s">
        <v>6</v>
      </c>
      <c r="D108" s="59">
        <v>304</v>
      </c>
      <c r="E108" s="91" t="s">
        <v>317</v>
      </c>
    </row>
    <row r="109" spans="1:5">
      <c r="A109" s="21">
        <f t="shared" si="0"/>
        <v>102</v>
      </c>
      <c r="B109" s="85" t="str">
        <f ca="1">IFERROR(__xludf.DUMMYFUNCTION("GOOGLETRANSLATE(B3368:B3383,""RU"",""UK"")"),"Мітчик М - 12х1, 5ВК8 маш.")</f>
        <v>Мітчик М - 12х1, 5ВК8 маш.</v>
      </c>
      <c r="C109" s="59" t="s">
        <v>6</v>
      </c>
      <c r="D109" s="59">
        <v>11</v>
      </c>
      <c r="E109" s="91" t="s">
        <v>327</v>
      </c>
    </row>
    <row r="110" spans="1:5">
      <c r="A110" s="21">
        <f t="shared" si="0"/>
        <v>103</v>
      </c>
      <c r="B110" s="85" t="str">
        <f ca="1">IFERROR(__xludf.DUMMYFUNCTION("GOOGLETRANSLATE(B3369:B3384,""RU"",""UK"")"),"Мітчик М - 12 маш./руч.")</f>
        <v>Мітчик М - 12 маш./руч.</v>
      </c>
      <c r="C110" s="59" t="s">
        <v>4370</v>
      </c>
      <c r="D110" s="160">
        <v>22</v>
      </c>
      <c r="E110" s="91" t="s">
        <v>196</v>
      </c>
    </row>
    <row r="111" spans="1:5">
      <c r="A111" s="21">
        <f t="shared" si="0"/>
        <v>104</v>
      </c>
      <c r="B111" s="85" t="str">
        <f ca="1">IFERROR(__xludf.DUMMYFUNCTION("GOOGLETRANSLATE(B3369:B3384,""RU"",""UK"")"),"Мітчик М - 12х0.75 маш./руч.")</f>
        <v>Мітчик М - 12х0.75 маш./руч.</v>
      </c>
      <c r="C111" s="59" t="s">
        <v>4370</v>
      </c>
      <c r="D111" s="160">
        <v>7</v>
      </c>
      <c r="E111" s="91" t="s">
        <v>196</v>
      </c>
    </row>
    <row r="112" spans="1:5">
      <c r="A112" s="21">
        <f t="shared" si="0"/>
        <v>105</v>
      </c>
      <c r="B112" s="85" t="str">
        <f ca="1">IFERROR(__xludf.DUMMYFUNCTION("GOOGLETRANSLATE(B3370:B3385,""RU"",""UK"")"),"Мітчик М - 12х1маш./руч.")</f>
        <v>Мітчик М - 12х1маш./руч.</v>
      </c>
      <c r="C112" s="59" t="s">
        <v>4370</v>
      </c>
      <c r="D112" s="59">
        <v>24</v>
      </c>
      <c r="E112" s="91" t="s">
        <v>196</v>
      </c>
    </row>
    <row r="113" spans="1:5">
      <c r="A113" s="21">
        <f t="shared" si="0"/>
        <v>106</v>
      </c>
      <c r="B113" s="85" t="str">
        <f ca="1">IFERROR(__xludf.DUMMYFUNCTION("GOOGLETRANSLATE(B3370:B3385,""RU"",""UK"")"),"Мітчик М - 12х1,25маш./руч.")</f>
        <v>Мітчик М - 12х1,25маш./руч.</v>
      </c>
      <c r="C113" s="59" t="s">
        <v>4370</v>
      </c>
      <c r="D113" s="59">
        <v>8</v>
      </c>
      <c r="E113" s="91" t="s">
        <v>196</v>
      </c>
    </row>
    <row r="114" spans="1:5">
      <c r="A114" s="21">
        <f t="shared" si="0"/>
        <v>107</v>
      </c>
      <c r="B114" s="85" t="str">
        <f ca="1">IFERROR(__xludf.DUMMYFUNCTION("GOOGLETRANSLATE(B3370:B3385,""RU"",""UK"")"),"Мітчик М - 12х1,5маш./руч.")</f>
        <v>Мітчик М - 12х1,5маш./руч.</v>
      </c>
      <c r="C114" s="59" t="s">
        <v>4370</v>
      </c>
      <c r="D114" s="59">
        <v>64</v>
      </c>
      <c r="E114" s="91" t="s">
        <v>196</v>
      </c>
    </row>
    <row r="115" spans="1:5">
      <c r="A115" s="21">
        <f t="shared" si="0"/>
        <v>108</v>
      </c>
      <c r="B115" s="164" t="str">
        <f ca="1">IFERROR(__xludf.DUMMYFUNCTION("GOOGLETRANSLATE(B3371:B3386,""RU"",""UK"")"),"Мітчик М - 12лев")</f>
        <v>Мітчик М - 12лев</v>
      </c>
      <c r="C115" s="59" t="s">
        <v>4370</v>
      </c>
      <c r="D115" s="59">
        <v>0</v>
      </c>
      <c r="E115" s="91">
        <v>270</v>
      </c>
    </row>
    <row r="116" spans="1:5">
      <c r="A116" s="21">
        <f t="shared" si="0"/>
        <v>109</v>
      </c>
      <c r="B116" s="85" t="str">
        <f ca="1">IFERROR(__xludf.DUMMYFUNCTION("GOOGLETRANSLATE(B3371:B3386,""RU"",""UK"")"),"Мітчик М - 12х1лев")</f>
        <v>Мітчик М - 12х1лев</v>
      </c>
      <c r="C116" s="59" t="s">
        <v>4370</v>
      </c>
      <c r="D116" s="59">
        <v>2</v>
      </c>
      <c r="E116" s="91">
        <v>270</v>
      </c>
    </row>
    <row r="117" spans="1:5">
      <c r="A117" s="21">
        <f t="shared" si="0"/>
        <v>110</v>
      </c>
      <c r="B117" s="85" t="str">
        <f ca="1">IFERROR(__xludf.DUMMYFUNCTION("GOOGLETRANSLATE(B3371:B3386,""RU"",""UK"")"),"Мітчик М - 12х1,5лев Р18")</f>
        <v>Мітчик М - 12х1,5лев Р18</v>
      </c>
      <c r="C117" s="59" t="s">
        <v>4370</v>
      </c>
      <c r="D117" s="59">
        <v>1</v>
      </c>
      <c r="E117" s="91">
        <v>330</v>
      </c>
    </row>
    <row r="118" spans="1:5">
      <c r="A118" s="21">
        <f t="shared" si="0"/>
        <v>111</v>
      </c>
      <c r="B118" s="85" t="str">
        <f ca="1">IFERROR(__xludf.DUMMYFUNCTION("GOOGLETRANSLATE(B3372:B3387,""RU"",""UK"")"),"Мітчик М - 12 лев")</f>
        <v>Мітчик М - 12 лев</v>
      </c>
      <c r="C118" s="59" t="s">
        <v>6</v>
      </c>
      <c r="D118" s="160">
        <v>5</v>
      </c>
      <c r="E118" s="91">
        <v>210</v>
      </c>
    </row>
    <row r="119" spans="1:5">
      <c r="A119" s="21">
        <f t="shared" si="0"/>
        <v>112</v>
      </c>
      <c r="B119" s="85" t="str">
        <f ca="1">IFERROR(__xludf.DUMMYFUNCTION("GOOGLETRANSLATE(B3372:B3387,""RU"",""UK"")"),"Мітчик М - 12х1,0лев")</f>
        <v>Мітчик М - 12х1,0лев</v>
      </c>
      <c r="C119" s="59" t="s">
        <v>6</v>
      </c>
      <c r="D119" s="160">
        <v>1</v>
      </c>
      <c r="E119" s="91">
        <v>210</v>
      </c>
    </row>
    <row r="120" spans="1:5">
      <c r="A120" s="21">
        <f t="shared" ref="A120" si="2">A119+1</f>
        <v>113</v>
      </c>
      <c r="B120" s="85" t="str">
        <f ca="1">IFERROR(__xludf.DUMMYFUNCTION("GOOGLETRANSLATE(B3372:B3387,""RU"",""UK"")"),"Мітчик М - 12х1, 25лев")</f>
        <v>Мітчик М - 12х1, 25лев</v>
      </c>
      <c r="C120" s="59" t="s">
        <v>6</v>
      </c>
      <c r="D120" s="160">
        <v>8</v>
      </c>
      <c r="E120" s="91">
        <v>210</v>
      </c>
    </row>
    <row r="121" spans="1:5">
      <c r="A121" s="21">
        <f t="shared" ref="A121:A124" si="3">A120+1</f>
        <v>114</v>
      </c>
      <c r="B121" s="85" t="str">
        <f ca="1">IFERROR(__xludf.DUMMYFUNCTION("GOOGLETRANSLATE(B3372:B3387,""RU"",""UK"")"),"Мітчик М - 12х1, 5лев")</f>
        <v>Мітчик М - 12х1, 5лев</v>
      </c>
      <c r="C121" s="59" t="s">
        <v>6</v>
      </c>
      <c r="D121" s="160">
        <v>3</v>
      </c>
      <c r="E121" s="91">
        <v>210</v>
      </c>
    </row>
    <row r="122" spans="1:5">
      <c r="A122" s="21">
        <f t="shared" si="3"/>
        <v>115</v>
      </c>
      <c r="B122" s="224" t="str">
        <f ca="1">IFERROR(__xludf.DUMMYFUNCTION("GOOGLETRANSLATE(B3373:B3388,""RU"",""UK"")"),"Мітчик М12х2 трапеція правий Р6М5, довжина 165мм")</f>
        <v>Мітчик М12х2 трапеція правий Р6М5, довжина 165мм</v>
      </c>
      <c r="C122" s="59" t="s">
        <v>6</v>
      </c>
      <c r="D122" s="37">
        <v>1</v>
      </c>
      <c r="E122" s="92">
        <v>500</v>
      </c>
    </row>
    <row r="123" spans="1:5">
      <c r="A123" s="21">
        <f t="shared" si="3"/>
        <v>116</v>
      </c>
      <c r="B123" s="224" t="s">
        <v>6416</v>
      </c>
      <c r="C123" s="59" t="s">
        <v>6</v>
      </c>
      <c r="D123" s="37">
        <v>1</v>
      </c>
      <c r="E123" s="92">
        <v>500</v>
      </c>
    </row>
    <row r="124" spans="1:5">
      <c r="A124" s="21">
        <f t="shared" si="3"/>
        <v>117</v>
      </c>
      <c r="B124" s="85" t="str">
        <f ca="1">IFERROR(__xludf.DUMMYFUNCTION("GOOGLETRANSLATE(B3374:B3389,""RU"",""UK"")"),"Мітчик М - 14 маш.")</f>
        <v>Мітчик М - 14 маш.</v>
      </c>
      <c r="C124" s="59" t="s">
        <v>6</v>
      </c>
      <c r="D124" s="59">
        <v>99</v>
      </c>
      <c r="E124" s="91" t="s">
        <v>1559</v>
      </c>
    </row>
    <row r="125" spans="1:5">
      <c r="A125" s="21">
        <f t="shared" ref="A125:A235" si="4">A124+1</f>
        <v>118</v>
      </c>
      <c r="B125" s="85" t="str">
        <f ca="1">IFERROR(__xludf.DUMMYFUNCTION("GOOGLETRANSLATE(B3375:B3390,""RU"",""UK"")"),"Мітчик М - 14лев. / 14х1, 5лев")</f>
        <v>Мітчик М - 14лев. / 14х1, 5лев</v>
      </c>
      <c r="C125" s="59" t="s">
        <v>6</v>
      </c>
      <c r="D125" s="59" t="s">
        <v>6366</v>
      </c>
      <c r="E125" s="91" t="s">
        <v>140</v>
      </c>
    </row>
    <row r="126" spans="1:5">
      <c r="A126" s="21">
        <f t="shared" si="4"/>
        <v>119</v>
      </c>
      <c r="B126" s="85" t="str">
        <f ca="1">IFERROR(__xludf.DUMMYFUNCTION("GOOGLETRANSLATE(B3376:B3391,""RU"",""UK"")"),"Мітчик М - 14гаєч.")</f>
        <v>Мітчик М - 14гаєч.</v>
      </c>
      <c r="C126" s="59" t="s">
        <v>6</v>
      </c>
      <c r="D126" s="59">
        <v>138</v>
      </c>
      <c r="E126" s="91" t="s">
        <v>515</v>
      </c>
    </row>
    <row r="127" spans="1:5">
      <c r="A127" s="21">
        <f t="shared" si="4"/>
        <v>120</v>
      </c>
      <c r="B127" s="85" t="str">
        <f ca="1">IFERROR(__xludf.DUMMYFUNCTION("GOOGLETRANSLATE(B3376:B3391,""RU"",""UK"")"),"Мітчик М - 14гаєч. нурка")</f>
        <v>Мітчик М - 14гаєч. нурка</v>
      </c>
      <c r="C127" s="59" t="s">
        <v>6</v>
      </c>
      <c r="D127" s="59">
        <v>2</v>
      </c>
      <c r="E127" s="91" t="s">
        <v>515</v>
      </c>
    </row>
    <row r="128" spans="1:5">
      <c r="A128" s="21">
        <f t="shared" si="4"/>
        <v>121</v>
      </c>
      <c r="B128" s="85" t="str">
        <f ca="1">IFERROR(__xludf.DUMMYFUNCTION("GOOGLETRANSLATE(B3377:B3392,""RU"",""UK"")"),"Мітчик М - 14 маш./руч.")</f>
        <v>Мітчик М - 14 маш./руч.</v>
      </c>
      <c r="C128" s="59" t="s">
        <v>4370</v>
      </c>
      <c r="D128" s="59">
        <v>10</v>
      </c>
      <c r="E128" s="91" t="s">
        <v>140</v>
      </c>
    </row>
    <row r="129" spans="1:5">
      <c r="A129" s="21">
        <f t="shared" si="4"/>
        <v>122</v>
      </c>
      <c r="B129" s="85" t="str">
        <f ca="1">IFERROR(__xludf.DUMMYFUNCTION("GOOGLETRANSLATE(B3377:B3392,""RU"",""UK"")"),"Мітчик М - 14 маш./руч. Р18")</f>
        <v>Мітчик М - 14 маш./руч. Р18</v>
      </c>
      <c r="C129" s="59" t="s">
        <v>4370</v>
      </c>
      <c r="D129" s="59">
        <v>1</v>
      </c>
      <c r="E129" s="91">
        <v>330</v>
      </c>
    </row>
    <row r="130" spans="1:5">
      <c r="A130" s="21">
        <f t="shared" si="4"/>
        <v>123</v>
      </c>
      <c r="B130" s="85" t="str">
        <f ca="1">IFERROR(__xludf.DUMMYFUNCTION("GOOGLETRANSLATE(B3378:B3393,""RU"",""UK"")"),"Мітчик М - 14х0,75 маш.")</f>
        <v>Мітчик М - 14х0,75 маш.</v>
      </c>
      <c r="C130" s="59" t="s">
        <v>6</v>
      </c>
      <c r="D130" s="59">
        <v>34</v>
      </c>
      <c r="E130" s="91" t="s">
        <v>1559</v>
      </c>
    </row>
    <row r="131" spans="1:5">
      <c r="A131" s="21">
        <f t="shared" si="4"/>
        <v>124</v>
      </c>
      <c r="B131" s="85" t="str">
        <f ca="1">IFERROR(__xludf.DUMMYFUNCTION("GOOGLETRANSLATE(B3378:B3393,""RU"",""UK"")"),"Мітчик М - 14х1 маш.")</f>
        <v>Мітчик М - 14х1 маш.</v>
      </c>
      <c r="C131" s="59" t="s">
        <v>6</v>
      </c>
      <c r="D131" s="59">
        <v>22</v>
      </c>
      <c r="E131" s="91" t="s">
        <v>1559</v>
      </c>
    </row>
    <row r="132" spans="1:5">
      <c r="A132" s="21">
        <f t="shared" si="4"/>
        <v>125</v>
      </c>
      <c r="B132" s="85" t="str">
        <f ca="1">IFERROR(__xludf.DUMMYFUNCTION("GOOGLETRANSLATE(B3379:B3394,""RU"",""UK"")"),"Мітчик М - 14х0,5 маш./руч.")</f>
        <v>Мітчик М - 14х0,5 маш./руч.</v>
      </c>
      <c r="C132" s="59" t="s">
        <v>4370</v>
      </c>
      <c r="D132" s="160">
        <v>10</v>
      </c>
      <c r="E132" s="91" t="s">
        <v>140</v>
      </c>
    </row>
    <row r="133" spans="1:5">
      <c r="A133" s="21">
        <f t="shared" si="4"/>
        <v>126</v>
      </c>
      <c r="B133" s="85" t="str">
        <f ca="1">IFERROR(__xludf.DUMMYFUNCTION("GOOGLETRANSLATE(B3379:B3394,""RU"",""UK"")"),"Мітчик М - 14х0,75маш./руч.")</f>
        <v>Мітчик М - 14х0,75маш./руч.</v>
      </c>
      <c r="C133" s="59" t="s">
        <v>4370</v>
      </c>
      <c r="D133" s="160">
        <v>12</v>
      </c>
      <c r="E133" s="91" t="s">
        <v>140</v>
      </c>
    </row>
    <row r="134" spans="1:5">
      <c r="A134" s="21">
        <f t="shared" si="4"/>
        <v>127</v>
      </c>
      <c r="B134" s="85" t="str">
        <f ca="1">IFERROR(__xludf.DUMMYFUNCTION("GOOGLETRANSLATE(B3380:B3395,""RU"",""UK"")"),"Мітчик М - 14лев.")</f>
        <v>Мітчик М - 14лев.</v>
      </c>
      <c r="C134" s="59" t="s">
        <v>4370</v>
      </c>
      <c r="D134" s="59">
        <v>7</v>
      </c>
      <c r="E134" s="91" t="s">
        <v>20</v>
      </c>
    </row>
    <row r="135" spans="1:5">
      <c r="A135" s="21">
        <f t="shared" si="4"/>
        <v>128</v>
      </c>
      <c r="B135" s="85" t="str">
        <f ca="1">IFERROR(__xludf.DUMMYFUNCTION("GOOGLETRANSLATE(B3381:B3396,""RU"",""UK"")"),"Мітчик М - 14х1 маш./руч.")</f>
        <v>Мітчик М - 14х1 маш./руч.</v>
      </c>
      <c r="C135" s="59" t="s">
        <v>4370</v>
      </c>
      <c r="D135" s="59">
        <v>8</v>
      </c>
      <c r="E135" s="91" t="s">
        <v>140</v>
      </c>
    </row>
    <row r="136" spans="1:5">
      <c r="A136" s="21">
        <f t="shared" si="4"/>
        <v>129</v>
      </c>
      <c r="B136" s="85" t="str">
        <f ca="1">IFERROR(__xludf.DUMMYFUNCTION("GOOGLETRANSLATE(B3381:B3396,""RU"",""UK"")"),"Мітчик М - 14х1,25 маш./руч.")</f>
        <v>Мітчик М - 14х1,25 маш./руч.</v>
      </c>
      <c r="C136" s="59" t="s">
        <v>4370</v>
      </c>
      <c r="D136" s="59">
        <v>4</v>
      </c>
      <c r="E136" s="91" t="s">
        <v>140</v>
      </c>
    </row>
    <row r="137" spans="1:5">
      <c r="A137" s="21">
        <f t="shared" si="4"/>
        <v>130</v>
      </c>
      <c r="B137" s="85" t="str">
        <f ca="1">IFERROR(__xludf.DUMMYFUNCTION("GOOGLETRANSLATE(B3382:B3397,""RU"",""UK"")"),"Мітчик М - 14х1,25 маш.")</f>
        <v>Мітчик М - 14х1,25 маш.</v>
      </c>
      <c r="C137" s="59" t="s">
        <v>6</v>
      </c>
      <c r="D137" s="59">
        <v>73</v>
      </c>
      <c r="E137" s="91" t="s">
        <v>319</v>
      </c>
    </row>
    <row r="138" spans="1:5">
      <c r="A138" s="21">
        <f t="shared" si="4"/>
        <v>131</v>
      </c>
      <c r="B138" s="85" t="str">
        <f ca="1">IFERROR(__xludf.DUMMYFUNCTION("GOOGLETRANSLATE(B3382:B3397,""RU"",""UK"")"),"Мітчик М - 14х1.5маш")</f>
        <v>Мітчик М - 14х1.5маш</v>
      </c>
      <c r="C138" s="59" t="s">
        <v>6</v>
      </c>
      <c r="D138" s="59">
        <v>137</v>
      </c>
      <c r="E138" s="91" t="s">
        <v>319</v>
      </c>
    </row>
    <row r="139" spans="1:5">
      <c r="A139" s="21">
        <f t="shared" si="4"/>
        <v>132</v>
      </c>
      <c r="B139" s="85" t="str">
        <f ca="1">IFERROR(__xludf.DUMMYFUNCTION("GOOGLETRANSLATE(B3383:B3398,""RU"",""UK"")"),"Мітчик М - 14х1 гаєч.")</f>
        <v>Мітчик М - 14х1 гаєч.</v>
      </c>
      <c r="C139" s="59" t="s">
        <v>6</v>
      </c>
      <c r="D139" s="59">
        <v>46</v>
      </c>
      <c r="E139" s="91" t="s">
        <v>515</v>
      </c>
    </row>
    <row r="140" spans="1:5">
      <c r="A140" s="21">
        <f t="shared" si="4"/>
        <v>133</v>
      </c>
      <c r="B140" s="85" t="str">
        <f ca="1">IFERROR(__xludf.DUMMYFUNCTION("GOOGLETRANSLATE(B3383:B3398,""RU"",""UK"")"),"Мітчик М - 14х1,5 гаєч.")</f>
        <v>Мітчик М - 14х1,5 гаєч.</v>
      </c>
      <c r="C140" s="59" t="s">
        <v>6</v>
      </c>
      <c r="D140" s="59">
        <v>212</v>
      </c>
      <c r="E140" s="91" t="s">
        <v>515</v>
      </c>
    </row>
    <row r="141" spans="1:5">
      <c r="A141" s="21">
        <f t="shared" si="4"/>
        <v>134</v>
      </c>
      <c r="B141" s="85" t="str">
        <f ca="1">IFERROR(__xludf.DUMMYFUNCTION("GOOGLETRANSLATE(B3384:B3399,""RU"",""UK"")"),"Мітчик М - 14х1, 5 маш. / Руч.")</f>
        <v>Мітчик М - 14х1, 5 маш. / Руч.</v>
      </c>
      <c r="C141" s="59" t="s">
        <v>4370</v>
      </c>
      <c r="D141" s="59">
        <v>104</v>
      </c>
      <c r="E141" s="91" t="s">
        <v>140</v>
      </c>
    </row>
    <row r="142" spans="1:5">
      <c r="A142" s="21">
        <f t="shared" si="4"/>
        <v>135</v>
      </c>
      <c r="B142" s="85" t="str">
        <f ca="1">IFERROR(__xludf.DUMMYFUNCTION("GOOGLETRANSLATE(B3385:B3400,""RU"",""UK"")"),"Мітчик М - 14х3 трапеція (б/в)")</f>
        <v>Мітчик М - 14х3 трапеція (б/в)</v>
      </c>
      <c r="C142" s="59" t="s">
        <v>6</v>
      </c>
      <c r="D142" s="37">
        <v>1</v>
      </c>
      <c r="E142" s="92" t="s">
        <v>102</v>
      </c>
    </row>
    <row r="143" spans="1:5">
      <c r="A143" s="21">
        <f t="shared" si="4"/>
        <v>136</v>
      </c>
      <c r="B143" s="85" t="str">
        <f ca="1">IFERROR(__xludf.DUMMYFUNCTION("GOOGLETRANSLATE(B3386:B3401,""RU"",""UK"")"),"Мітчик М - 16 маш. Р6М5 ")</f>
        <v xml:space="preserve">Мітчик М - 16 маш. Р6М5 </v>
      </c>
      <c r="C143" s="59" t="s">
        <v>6</v>
      </c>
      <c r="D143" s="167">
        <v>24</v>
      </c>
      <c r="E143" s="91">
        <v>250</v>
      </c>
    </row>
    <row r="144" spans="1:5">
      <c r="A144" s="21">
        <f t="shared" si="4"/>
        <v>137</v>
      </c>
      <c r="B144" s="85" t="str">
        <f ca="1">IFERROR(__xludf.DUMMYFUNCTION("GOOGLETRANSLATE(B3386:B3401,""RU"",""UK"")"),"Мітчик М - 16 маш.  ВК8")</f>
        <v>Мітчик М - 16 маш.  ВК8</v>
      </c>
      <c r="C144" s="59" t="s">
        <v>6</v>
      </c>
      <c r="D144" s="167">
        <v>2</v>
      </c>
      <c r="E144" s="91" t="s">
        <v>140</v>
      </c>
    </row>
    <row r="145" spans="1:5">
      <c r="A145" s="21">
        <f t="shared" si="4"/>
        <v>138</v>
      </c>
      <c r="B145" s="85" t="str">
        <f ca="1">IFERROR(__xludf.DUMMYFUNCTION("GOOGLETRANSLATE(B3387:B3402,""RU"",""UK"")"),"Мітчик М - 16 маш. Р6М5 гвинтовий")</f>
        <v>Мітчик М - 16 маш. Р6М5 гвинтовий</v>
      </c>
      <c r="C145" s="71" t="s">
        <v>6</v>
      </c>
      <c r="D145" s="71">
        <v>19</v>
      </c>
      <c r="E145" s="107" t="s">
        <v>106</v>
      </c>
    </row>
    <row r="146" spans="1:5">
      <c r="A146" s="21">
        <f t="shared" si="4"/>
        <v>139</v>
      </c>
      <c r="B146" s="85" t="str">
        <f ca="1">IFERROR(__xludf.DUMMYFUNCTION("GOOGLETRANSLATE(B3388:B3403,""RU"",""UK"")"),"Мітчик М - 16 9ХС")</f>
        <v>Мітчик М - 16 9ХС</v>
      </c>
      <c r="C146" s="59" t="s">
        <v>4370</v>
      </c>
      <c r="D146" s="59">
        <v>78</v>
      </c>
      <c r="E146" s="91" t="s">
        <v>20</v>
      </c>
    </row>
    <row r="147" spans="1:5">
      <c r="A147" s="21">
        <f t="shared" si="4"/>
        <v>140</v>
      </c>
      <c r="B147" s="164" t="str">
        <f ca="1">IFERROR(__xludf.DUMMYFUNCTION("GOOGLETRANSLATE(B3389:B3404,""RU"",""UK"")"),"Мітчик М - 16 Р6М5 маш/руч")</f>
        <v>Мітчик М - 16 Р6М5 маш/руч</v>
      </c>
      <c r="C147" s="59" t="s">
        <v>4370</v>
      </c>
      <c r="D147" s="59">
        <v>0</v>
      </c>
      <c r="E147" s="91">
        <v>330</v>
      </c>
    </row>
    <row r="148" spans="1:5">
      <c r="A148" s="21">
        <f t="shared" si="4"/>
        <v>141</v>
      </c>
      <c r="B148" s="85" t="str">
        <f ca="1">IFERROR(__xludf.DUMMYFUNCTION("GOOGLETRANSLATE(B3390:B3405,""RU"",""UK"")"),"Мітчик М - 16х0,5 маш./руч.")</f>
        <v>Мітчик М - 16х0,5 маш./руч.</v>
      </c>
      <c r="C148" s="59" t="s">
        <v>4370</v>
      </c>
      <c r="D148" s="59">
        <v>5</v>
      </c>
      <c r="E148" s="91" t="s">
        <v>24</v>
      </c>
    </row>
    <row r="149" spans="1:5">
      <c r="A149" s="21">
        <f t="shared" si="4"/>
        <v>142</v>
      </c>
      <c r="B149" s="85" t="str">
        <f ca="1">IFERROR(__xludf.DUMMYFUNCTION("GOOGLETRANSLATE(B3390:B3405,""RU"",""UK"")"),"Мітчик М - 16х0.75 маш./руч.")</f>
        <v>Мітчик М - 16х0.75 маш./руч.</v>
      </c>
      <c r="C149" s="59" t="s">
        <v>4370</v>
      </c>
      <c r="D149" s="59">
        <v>3</v>
      </c>
      <c r="E149" s="91" t="s">
        <v>24</v>
      </c>
    </row>
    <row r="150" spans="1:5">
      <c r="A150" s="21">
        <f t="shared" si="4"/>
        <v>143</v>
      </c>
      <c r="B150" s="85" t="str">
        <f ca="1">IFERROR(__xludf.DUMMYFUNCTION("GOOGLETRANSLATE(B3391:B3406,""RU"",""UK"")"),"Мітчик М - 16 гаєч. ")</f>
        <v xml:space="preserve">Мітчик М - 16 гаєч. </v>
      </c>
      <c r="C150" s="59" t="s">
        <v>6</v>
      </c>
      <c r="D150" s="59">
        <v>80</v>
      </c>
      <c r="E150" s="91" t="s">
        <v>20</v>
      </c>
    </row>
    <row r="151" spans="1:5">
      <c r="A151" s="21">
        <f t="shared" si="4"/>
        <v>144</v>
      </c>
      <c r="B151" s="85" t="str">
        <f ca="1">IFERROR(__xludf.DUMMYFUNCTION("GOOGLETRANSLATE(B3391:B3406,""RU"",""UK"")"),"Мітчик М - 16 гаєч. нурка")</f>
        <v>Мітчик М - 16 гаєч. нурка</v>
      </c>
      <c r="C151" s="59" t="s">
        <v>6</v>
      </c>
      <c r="D151" s="59">
        <v>12</v>
      </c>
      <c r="E151" s="91" t="s">
        <v>20</v>
      </c>
    </row>
    <row r="152" spans="1:5">
      <c r="A152" s="21">
        <f t="shared" si="4"/>
        <v>145</v>
      </c>
      <c r="B152" s="85" t="str">
        <f ca="1">IFERROR(__xludf.DUMMYFUNCTION("GOOGLETRANSLATE(B3392:B3407,""RU"",""UK"")"),"Мітчик М - 16х1гаеч.")</f>
        <v>Мітчик М - 16х1гаеч.</v>
      </c>
      <c r="C152" s="59" t="s">
        <v>6</v>
      </c>
      <c r="D152" s="59">
        <v>36</v>
      </c>
      <c r="E152" s="91" t="s">
        <v>20</v>
      </c>
    </row>
    <row r="153" spans="1:5">
      <c r="A153" s="21">
        <f t="shared" si="4"/>
        <v>146</v>
      </c>
      <c r="B153" s="85" t="str">
        <f ca="1">IFERROR(__xludf.DUMMYFUNCTION("GOOGLETRANSLATE(B3392:B3407,""RU"",""UK"")"),"Мітчик М - 16х1, 5гаєч.")</f>
        <v>Мітчик М - 16х1, 5гаєч.</v>
      </c>
      <c r="C153" s="59" t="s">
        <v>6</v>
      </c>
      <c r="D153" s="59">
        <v>61</v>
      </c>
      <c r="E153" s="91" t="s">
        <v>20</v>
      </c>
    </row>
    <row r="154" spans="1:5">
      <c r="A154" s="21">
        <f t="shared" si="4"/>
        <v>147</v>
      </c>
      <c r="B154" s="85" t="str">
        <f ca="1">IFERROR(__xludf.DUMMYFUNCTION("GOOGLETRANSLATE(B3393:B3408,""RU"",""UK"")"),"Мітчик М - 16х1,0 маш./руч.")</f>
        <v>Мітчик М - 16х1,0 маш./руч.</v>
      </c>
      <c r="C154" s="59" t="s">
        <v>4370</v>
      </c>
      <c r="D154" s="59">
        <v>102</v>
      </c>
      <c r="E154" s="91" t="s">
        <v>24</v>
      </c>
    </row>
    <row r="155" spans="1:5">
      <c r="A155" s="21">
        <f t="shared" si="4"/>
        <v>148</v>
      </c>
      <c r="B155" s="85" t="str">
        <f ca="1">IFERROR(__xludf.DUMMYFUNCTION("GOOGLETRANSLATE(B3393:B3408,""RU"",""UK"")"),"Мітчик М - 16х1, 5 маш./руч.")</f>
        <v>Мітчик М - 16х1, 5 маш./руч.</v>
      </c>
      <c r="C155" s="59" t="s">
        <v>4370</v>
      </c>
      <c r="D155" s="59">
        <v>3</v>
      </c>
      <c r="E155" s="91" t="s">
        <v>24</v>
      </c>
    </row>
    <row r="156" spans="1:5">
      <c r="A156" s="21">
        <f t="shared" si="4"/>
        <v>149</v>
      </c>
      <c r="B156" s="85" t="str">
        <f ca="1">IFERROR(__xludf.DUMMYFUNCTION("GOOGLETRANSLATE(B3394:B3409,""RU"",""UK"")"),"Мітчик М - 16лев.")</f>
        <v>Мітчик М - 16лев.</v>
      </c>
      <c r="C156" s="59" t="s">
        <v>6</v>
      </c>
      <c r="D156" s="191">
        <v>3</v>
      </c>
      <c r="E156" s="91" t="s">
        <v>760</v>
      </c>
    </row>
    <row r="157" spans="1:5">
      <c r="A157" s="21">
        <f t="shared" si="4"/>
        <v>150</v>
      </c>
      <c r="B157" s="85" t="str">
        <f ca="1">IFERROR(__xludf.DUMMYFUNCTION("GOOGLETRANSLATE(B3394:B3409,""RU"",""UK"")"),"Мітчик М - 16х1,0 Р6М5 маш/руч лівий")</f>
        <v>Мітчик М - 16х1,0 Р6М5 маш/руч лівий</v>
      </c>
      <c r="C157" s="59" t="s">
        <v>6</v>
      </c>
      <c r="D157" s="191">
        <v>3</v>
      </c>
      <c r="E157" s="91" t="s">
        <v>760</v>
      </c>
    </row>
    <row r="158" spans="1:5">
      <c r="A158" s="21">
        <f t="shared" si="4"/>
        <v>151</v>
      </c>
      <c r="B158" s="85" t="str">
        <f ca="1">IFERROR(__xludf.DUMMYFUNCTION("GOOGLETRANSLATE(B3394:B3409,""RU"",""UK"")"),"Мітчик М - 16х1, 5лев ")</f>
        <v xml:space="preserve">Мітчик М - 16х1, 5лев </v>
      </c>
      <c r="C158" s="59" t="s">
        <v>6</v>
      </c>
      <c r="D158" s="191">
        <v>2</v>
      </c>
      <c r="E158" s="91" t="s">
        <v>760</v>
      </c>
    </row>
    <row r="159" spans="1:5">
      <c r="A159" s="21">
        <f t="shared" si="4"/>
        <v>152</v>
      </c>
      <c r="B159" s="85" t="str">
        <f ca="1">IFERROR(__xludf.DUMMYFUNCTION("GOOGLETRANSLATE(B3394:B3409,""RU"",""UK"")"),"Мітчик М - 16х1, 5лев.гаеч.")</f>
        <v>Мітчик М - 16х1, 5лев.гаеч.</v>
      </c>
      <c r="C159" s="59" t="s">
        <v>6</v>
      </c>
      <c r="D159" s="191">
        <v>1</v>
      </c>
      <c r="E159" s="91" t="s">
        <v>760</v>
      </c>
    </row>
    <row r="160" spans="1:5">
      <c r="A160" s="21">
        <f t="shared" si="4"/>
        <v>153</v>
      </c>
      <c r="B160" s="85" t="str">
        <f ca="1">IFERROR(__xludf.DUMMYFUNCTION("GOOGLETRANSLATE(B3395:B3410,""RU"",""UK"")"),"Мітчик М - 16х0, 75 маш.")</f>
        <v>Мітчик М - 16х0, 75 маш.</v>
      </c>
      <c r="C160" s="59" t="s">
        <v>6</v>
      </c>
      <c r="D160" s="59">
        <v>6</v>
      </c>
      <c r="E160" s="91" t="s">
        <v>140</v>
      </c>
    </row>
    <row r="161" spans="1:5">
      <c r="A161" s="21">
        <f t="shared" si="4"/>
        <v>154</v>
      </c>
      <c r="B161" s="85" t="str">
        <f ca="1">IFERROR(__xludf.DUMMYFUNCTION("GOOGLETRANSLATE(B3395:B3410,""RU"",""UK"")"),"Мітчик М - 16х1 маш.")</f>
        <v>Мітчик М - 16х1 маш.</v>
      </c>
      <c r="C161" s="59" t="s">
        <v>6</v>
      </c>
      <c r="D161" s="59">
        <v>43</v>
      </c>
      <c r="E161" s="91" t="s">
        <v>140</v>
      </c>
    </row>
    <row r="162" spans="1:5">
      <c r="A162" s="21">
        <f t="shared" si="4"/>
        <v>155</v>
      </c>
      <c r="B162" s="85" t="str">
        <f ca="1">IFERROR(__xludf.DUMMYFUNCTION("GOOGLETRANSLATE(B3395:B3410,""RU"",""UK"")"),"Мітчик М - 16х1, 5 маш.")</f>
        <v>Мітчик М - 16х1, 5 маш.</v>
      </c>
      <c r="C162" s="59" t="s">
        <v>6</v>
      </c>
      <c r="D162" s="59">
        <v>229</v>
      </c>
      <c r="E162" s="91" t="s">
        <v>140</v>
      </c>
    </row>
    <row r="163" spans="1:5">
      <c r="A163" s="21">
        <f t="shared" si="4"/>
        <v>156</v>
      </c>
      <c r="B163" s="85" t="str">
        <f ca="1">IFERROR(__xludf.DUMMYFUNCTION("GOOGLETRANSLATE(B3396:B3411,""RU"",""UK"")"),"Мітчик М - 16х1,0 ВК8 маш./руч.")</f>
        <v>Мітчик М - 16х1,0 ВК8 маш./руч.</v>
      </c>
      <c r="C163" s="59" t="s">
        <v>6</v>
      </c>
      <c r="D163" s="59">
        <v>6</v>
      </c>
      <c r="E163" s="91" t="s">
        <v>140</v>
      </c>
    </row>
    <row r="164" spans="1:5">
      <c r="A164" s="21">
        <f t="shared" si="4"/>
        <v>157</v>
      </c>
      <c r="B164" s="85" t="str">
        <f ca="1">IFERROR(__xludf.DUMMYFUNCTION("GOOGLETRANSLATE(B3396:B3411,""RU"",""UK"")"),"Мітчик М - 16х1,5 ВК8 маш./руч.")</f>
        <v>Мітчик М - 16х1,5 ВК8 маш./руч.</v>
      </c>
      <c r="C164" s="59" t="s">
        <v>6</v>
      </c>
      <c r="D164" s="59">
        <v>3</v>
      </c>
      <c r="E164" s="91" t="s">
        <v>140</v>
      </c>
    </row>
    <row r="165" spans="1:5">
      <c r="A165" s="21">
        <f t="shared" si="4"/>
        <v>158</v>
      </c>
      <c r="B165" s="85" t="str">
        <f ca="1">IFERROR(__xludf.DUMMYFUNCTION("GOOGLETRANSLATE(B3398:B3413,""RU"",""UK"")"),"Мітчик М - 18 маш.")</f>
        <v>Мітчик М - 18 маш.</v>
      </c>
      <c r="C165" s="59" t="s">
        <v>6</v>
      </c>
      <c r="D165" s="59">
        <v>440</v>
      </c>
      <c r="E165" s="91" t="s">
        <v>140</v>
      </c>
    </row>
    <row r="166" spans="1:5">
      <c r="A166" s="21">
        <f t="shared" si="4"/>
        <v>159</v>
      </c>
      <c r="B166" s="85" t="str">
        <f ca="1">IFERROR(__xludf.DUMMYFUNCTION("GOOGLETRANSLATE(B3399:B3414,""RU"",""UK"")"),"Мітчик М - 18 гаєч.")</f>
        <v>Мітчик М - 18 гаєч.</v>
      </c>
      <c r="C166" s="59" t="s">
        <v>6</v>
      </c>
      <c r="D166" s="59">
        <v>115</v>
      </c>
      <c r="E166" s="91" t="s">
        <v>20</v>
      </c>
    </row>
    <row r="167" spans="1:5">
      <c r="A167" s="21">
        <f t="shared" si="4"/>
        <v>160</v>
      </c>
      <c r="B167" s="85" t="str">
        <f ca="1">IFERROR(__xludf.DUMMYFUNCTION("GOOGLETRANSLATE(B3399:B3414,""RU"",""UK"")"),"Мітчик М - 18х1 гаєч.")</f>
        <v>Мітчик М - 18х1 гаєч.</v>
      </c>
      <c r="C167" s="59" t="s">
        <v>6</v>
      </c>
      <c r="D167" s="59">
        <v>25</v>
      </c>
      <c r="E167" s="91" t="s">
        <v>20</v>
      </c>
    </row>
    <row r="168" spans="1:5">
      <c r="A168" s="21">
        <f t="shared" si="4"/>
        <v>161</v>
      </c>
      <c r="B168" s="85" t="str">
        <f ca="1">IFERROR(__xludf.DUMMYFUNCTION("GOOGLETRANSLATE(B3400:B3415,""RU"",""UK"")"),"Мітчик М - 18х1,5 гаєч.")</f>
        <v>Мітчик М - 18х1,5 гаєч.</v>
      </c>
      <c r="C168" s="59" t="s">
        <v>6</v>
      </c>
      <c r="D168" s="59">
        <v>106</v>
      </c>
      <c r="E168" s="91" t="s">
        <v>20</v>
      </c>
    </row>
    <row r="169" spans="1:5">
      <c r="A169" s="21">
        <f t="shared" si="4"/>
        <v>162</v>
      </c>
      <c r="B169" s="85" t="str">
        <f ca="1">IFERROR(__xludf.DUMMYFUNCTION("GOOGLETRANSLATE(B3400:B3415,""RU"",""UK"")"),"Мітчик М - 18х2 гаєч.")</f>
        <v>Мітчик М - 18х2 гаєч.</v>
      </c>
      <c r="C169" s="59" t="s">
        <v>6</v>
      </c>
      <c r="D169" s="59">
        <v>40</v>
      </c>
      <c r="E169" s="91" t="s">
        <v>20</v>
      </c>
    </row>
    <row r="170" spans="1:5">
      <c r="A170" s="21">
        <f t="shared" si="4"/>
        <v>163</v>
      </c>
      <c r="B170" s="85" t="str">
        <f ca="1">IFERROR(__xludf.DUMMYFUNCTION("GOOGLETRANSLATE(B3403:B3418,""RU"",""UK"")"),"Мітчик М - 18х1 маш.")</f>
        <v>Мітчик М - 18х1 маш.</v>
      </c>
      <c r="C170" s="59" t="s">
        <v>6</v>
      </c>
      <c r="D170" s="59">
        <v>31</v>
      </c>
      <c r="E170" s="91" t="s">
        <v>140</v>
      </c>
    </row>
    <row r="171" spans="1:5">
      <c r="A171" s="21">
        <f t="shared" si="4"/>
        <v>164</v>
      </c>
      <c r="B171" s="85" t="str">
        <f ca="1">IFERROR(__xludf.DUMMYFUNCTION("GOOGLETRANSLATE(B3403:B3418,""RU"",""UK"")"),"Мітчик М - 18х1,25маш.")</f>
        <v>Мітчик М - 18х1,25маш.</v>
      </c>
      <c r="C171" s="59" t="s">
        <v>6</v>
      </c>
      <c r="D171" s="59">
        <v>5</v>
      </c>
      <c r="E171" s="91" t="s">
        <v>140</v>
      </c>
    </row>
    <row r="172" spans="1:5">
      <c r="A172" s="21">
        <f t="shared" si="4"/>
        <v>165</v>
      </c>
      <c r="B172" s="85" t="str">
        <f ca="1">IFERROR(__xludf.DUMMYFUNCTION("GOOGLETRANSLATE(B3404:B3419,""RU"",""UK"")"),"Мітчик М - 18х1, 5 маш.")</f>
        <v>Мітчик М - 18х1, 5 маш.</v>
      </c>
      <c r="C172" s="59" t="s">
        <v>6</v>
      </c>
      <c r="D172" s="59">
        <v>20</v>
      </c>
      <c r="E172" s="91" t="s">
        <v>140</v>
      </c>
    </row>
    <row r="173" spans="1:5">
      <c r="A173" s="21">
        <f t="shared" si="4"/>
        <v>166</v>
      </c>
      <c r="B173" s="85" t="str">
        <f ca="1">IFERROR(__xludf.DUMMYFUNCTION("GOOGLETRANSLATE(B3401:B3416,""RU"",""UK"")"),"Мітчик М - 18 маш.руч.")</f>
        <v>Мітчик М - 18 маш.руч.</v>
      </c>
      <c r="C173" s="59" t="s">
        <v>4370</v>
      </c>
      <c r="D173" s="59">
        <v>300</v>
      </c>
      <c r="E173" s="91" t="s">
        <v>224</v>
      </c>
    </row>
    <row r="174" spans="1:5">
      <c r="A174" s="21">
        <f t="shared" si="4"/>
        <v>167</v>
      </c>
      <c r="B174" s="85" t="str">
        <f ca="1">IFERROR(__xludf.DUMMYFUNCTION("GOOGLETRANSLATE(B3402:B3417,""RU"",""UK"")"),"Мітчик М - 18х0,75 маш.руч. ")</f>
        <v xml:space="preserve">Мітчик М - 18х0,75 маш.руч. </v>
      </c>
      <c r="C174" s="59" t="s">
        <v>4370</v>
      </c>
      <c r="D174" s="59">
        <v>36</v>
      </c>
      <c r="E174" s="91" t="s">
        <v>4513</v>
      </c>
    </row>
    <row r="175" spans="1:5">
      <c r="A175" s="21">
        <f t="shared" si="4"/>
        <v>168</v>
      </c>
      <c r="B175" s="85" t="str">
        <f ca="1">IFERROR(__xludf.DUMMYFUNCTION("GOOGLETRANSLATE(B3402:B3417,""RU"",""UK"")"),"Мітчик М - 18х1,0 маш.руч.")</f>
        <v>Мітчик М - 18х1,0 маш.руч.</v>
      </c>
      <c r="C175" s="59" t="s">
        <v>4370</v>
      </c>
      <c r="D175" s="59">
        <v>154</v>
      </c>
      <c r="E175" s="91" t="s">
        <v>4513</v>
      </c>
    </row>
    <row r="176" spans="1:5">
      <c r="A176" s="21">
        <f t="shared" si="4"/>
        <v>169</v>
      </c>
      <c r="B176" s="85" t="str">
        <f ca="1">IFERROR(__xludf.DUMMYFUNCTION("GOOGLETRANSLATE(B3405:B3420,""RU"",""UK"")"),"Мітчик М - 18х1,5 м/р.")</f>
        <v>Мітчик М - 18х1,5 м/р.</v>
      </c>
      <c r="C176" s="59" t="s">
        <v>4370</v>
      </c>
      <c r="D176" s="59">
        <v>88</v>
      </c>
      <c r="E176" s="91">
        <v>375</v>
      </c>
    </row>
    <row r="177" spans="1:5">
      <c r="A177" s="21">
        <f t="shared" si="4"/>
        <v>170</v>
      </c>
      <c r="B177" s="85" t="str">
        <f ca="1">IFERROR(__xludf.DUMMYFUNCTION("GOOGLETRANSLATE(B3405:B3420,""RU"",""UK"")"),"Мітчик М - 18х2 м/р")</f>
        <v>Мітчик М - 18х2 м/р</v>
      </c>
      <c r="C177" s="59" t="s">
        <v>4370</v>
      </c>
      <c r="D177" s="59">
        <v>11</v>
      </c>
      <c r="E177" s="91">
        <v>375</v>
      </c>
    </row>
    <row r="178" spans="1:5">
      <c r="A178" s="21">
        <f t="shared" si="4"/>
        <v>171</v>
      </c>
      <c r="B178" s="164" t="str">
        <f ca="1">IFERROR(__xludf.DUMMYFUNCTION("GOOGLETRANSLATE(B3406:B3421,""RU"",""UK"")"),"Мітчик М - 18лев. / 18х1,5 лев")</f>
        <v>Мітчик М - 18лев. / 18х1,5 лев</v>
      </c>
      <c r="C178" s="59" t="s">
        <v>6</v>
      </c>
      <c r="D178" s="59" t="s">
        <v>6125</v>
      </c>
      <c r="E178" s="91" t="s">
        <v>20</v>
      </c>
    </row>
    <row r="179" spans="1:5">
      <c r="A179" s="21">
        <f t="shared" si="4"/>
        <v>172</v>
      </c>
      <c r="B179" s="85" t="str">
        <f ca="1">IFERROR(__xludf.DUMMYFUNCTION("GOOGLETRANSLATE(B3407:B3422,""RU"",""UK"")"),"Мітчик М - 18х2 маш.")</f>
        <v>Мітчик М - 18х2 маш.</v>
      </c>
      <c r="C179" s="59" t="s">
        <v>6</v>
      </c>
      <c r="D179" s="59">
        <v>69</v>
      </c>
      <c r="E179" s="91" t="s">
        <v>140</v>
      </c>
    </row>
    <row r="180" spans="1:5">
      <c r="A180" s="21">
        <f t="shared" si="4"/>
        <v>173</v>
      </c>
      <c r="B180" s="224" t="str">
        <f ca="1">IFERROR(__xludf.DUMMYFUNCTION("GOOGLETRANSLATE(B3407:B3422,""RU"",""UK"")"),"Мітчик М - 18х4 трапеція")</f>
        <v>Мітчик М - 18х4 трапеція</v>
      </c>
      <c r="C180" s="59" t="s">
        <v>6</v>
      </c>
      <c r="D180" s="59">
        <v>1</v>
      </c>
      <c r="E180" s="91">
        <v>1200</v>
      </c>
    </row>
    <row r="181" spans="1:5">
      <c r="A181" s="21">
        <f t="shared" si="4"/>
        <v>174</v>
      </c>
      <c r="B181" s="85" t="str">
        <f ca="1">IFERROR(__xludf.DUMMYFUNCTION("GOOGLETRANSLATE(B3408:B3423,""RU"",""UK"")"),"Мітчик М - 20 маш.руч.")</f>
        <v>Мітчик М - 20 маш.руч.</v>
      </c>
      <c r="C181" s="59" t="s">
        <v>6</v>
      </c>
      <c r="D181" s="59">
        <v>96</v>
      </c>
      <c r="E181" s="91" t="s">
        <v>20</v>
      </c>
    </row>
    <row r="182" spans="1:5">
      <c r="A182" s="21">
        <f t="shared" si="4"/>
        <v>175</v>
      </c>
      <c r="B182" s="85" t="str">
        <f ca="1">IFERROR(__xludf.DUMMYFUNCTION("GOOGLETRANSLATE(B3409:B3424,""RU"",""UK"")"),"Мітчик М - 20 гаєч.")</f>
        <v>Мітчик М - 20 гаєч.</v>
      </c>
      <c r="C182" s="59" t="s">
        <v>6</v>
      </c>
      <c r="D182" s="59">
        <v>80</v>
      </c>
      <c r="E182" s="91" t="s">
        <v>20</v>
      </c>
    </row>
    <row r="183" spans="1:5">
      <c r="A183" s="21">
        <f t="shared" si="4"/>
        <v>176</v>
      </c>
      <c r="B183" s="85" t="str">
        <f ca="1">IFERROR(__xludf.DUMMYFUNCTION("GOOGLETRANSLATE(B3409:B3424,""RU"",""UK"")"),"Мітчик М - 20 гаєч. Нурка")</f>
        <v>Мітчик М - 20 гаєч. Нурка</v>
      </c>
      <c r="C183" s="59" t="s">
        <v>6</v>
      </c>
      <c r="D183" s="59">
        <v>11</v>
      </c>
      <c r="E183" s="91" t="s">
        <v>20</v>
      </c>
    </row>
    <row r="184" spans="1:5">
      <c r="A184" s="21">
        <f t="shared" si="4"/>
        <v>177</v>
      </c>
      <c r="B184" s="85" t="str">
        <f ca="1">IFERROR(__xludf.DUMMYFUNCTION("GOOGLETRANSLATE(B3410:B3425,""RU"",""UK"")"),"Мітчик М - 20х1 гаєч.")</f>
        <v>Мітчик М - 20х1 гаєч.</v>
      </c>
      <c r="C184" s="59" t="s">
        <v>6</v>
      </c>
      <c r="D184" s="59">
        <v>16</v>
      </c>
      <c r="E184" s="91" t="s">
        <v>20</v>
      </c>
    </row>
    <row r="185" spans="1:5">
      <c r="A185" s="21">
        <f t="shared" si="4"/>
        <v>178</v>
      </c>
      <c r="B185" s="85" t="str">
        <f ca="1">IFERROR(__xludf.DUMMYFUNCTION("GOOGLETRANSLATE(B3410:B3425,""RU"",""UK"")"),"Мітчик М - 20х1,5 гаєч.")</f>
        <v>Мітчик М - 20х1,5 гаєч.</v>
      </c>
      <c r="C185" s="59" t="s">
        <v>6</v>
      </c>
      <c r="D185" s="59">
        <v>133</v>
      </c>
      <c r="E185" s="91" t="s">
        <v>20</v>
      </c>
    </row>
    <row r="186" spans="1:5">
      <c r="A186" s="21">
        <f t="shared" si="4"/>
        <v>179</v>
      </c>
      <c r="B186" s="85" t="str">
        <f ca="1">IFERROR(__xludf.DUMMYFUNCTION("GOOGLETRANSLATE(B3411:B3426,""RU"",""UK"")"),"Мітчик М - 20мм 9ХС Ручной ")</f>
        <v xml:space="preserve">Мітчик М - 20мм 9ХС Ручной </v>
      </c>
      <c r="C186" s="59" t="s">
        <v>4370</v>
      </c>
      <c r="D186" s="59">
        <v>76</v>
      </c>
      <c r="E186" s="91">
        <v>350</v>
      </c>
    </row>
    <row r="187" spans="1:5">
      <c r="A187" s="21">
        <f t="shared" si="4"/>
        <v>180</v>
      </c>
      <c r="B187" s="85" t="str">
        <f ca="1">IFERROR(__xludf.DUMMYFUNCTION("GOOGLETRANSLATE(B3411:B3426,""RU"",""UK"")"),"Мітчик М - 20 маш./руч. Р6М5 ")</f>
        <v xml:space="preserve">Мітчик М - 20 маш./руч. Р6М5 </v>
      </c>
      <c r="C187" s="59" t="s">
        <v>4370</v>
      </c>
      <c r="D187" s="59">
        <v>6</v>
      </c>
      <c r="E187" s="91">
        <v>390</v>
      </c>
    </row>
    <row r="188" spans="1:5">
      <c r="A188" s="21">
        <f t="shared" si="4"/>
        <v>181</v>
      </c>
      <c r="B188" s="85" t="str">
        <f ca="1">IFERROR(__xludf.DUMMYFUNCTION("GOOGLETRANSLATE(B3411:B3426,""RU"",""UK"")"),"Мітчик М - 20х0.75")</f>
        <v>Мітчик М - 20х0.75</v>
      </c>
      <c r="C188" s="59" t="s">
        <v>4370</v>
      </c>
      <c r="D188" s="59">
        <v>9</v>
      </c>
      <c r="E188" s="91">
        <v>375</v>
      </c>
    </row>
    <row r="189" spans="1:5">
      <c r="A189" s="21">
        <f t="shared" si="4"/>
        <v>182</v>
      </c>
      <c r="B189" s="85" t="str">
        <f ca="1">IFERROR(__xludf.DUMMYFUNCTION("GOOGLETRANSLATE(B3412:B3427,""RU"",""UK"")"),"Мітчик М - 20х0,5 маш.")</f>
        <v>Мітчик М - 20х0,5 маш.</v>
      </c>
      <c r="C189" s="59" t="s">
        <v>6</v>
      </c>
      <c r="D189" s="59">
        <v>1</v>
      </c>
      <c r="E189" s="91" t="s">
        <v>20</v>
      </c>
    </row>
    <row r="190" spans="1:5">
      <c r="A190" s="21">
        <f t="shared" si="4"/>
        <v>183</v>
      </c>
      <c r="B190" s="85" t="str">
        <f ca="1">IFERROR(__xludf.DUMMYFUNCTION("GOOGLETRANSLATE(B3412:B3427,""RU"",""UK"")"),"Мітчик М - 20х1 маш.")</f>
        <v>Мітчик М - 20х1 маш.</v>
      </c>
      <c r="C190" s="59" t="s">
        <v>6</v>
      </c>
      <c r="D190" s="59">
        <v>73</v>
      </c>
      <c r="E190" s="91" t="s">
        <v>20</v>
      </c>
    </row>
    <row r="191" spans="1:5">
      <c r="A191" s="21">
        <f t="shared" si="4"/>
        <v>184</v>
      </c>
      <c r="B191" s="85" t="str">
        <f ca="1">IFERROR(__xludf.DUMMYFUNCTION("GOOGLETRANSLATE(B3413:B3428,""RU"",""UK"")"),"Мітчик М - 20х2гаєч.")</f>
        <v>Мітчик М - 20х2гаєч.</v>
      </c>
      <c r="C191" s="59" t="s">
        <v>6</v>
      </c>
      <c r="D191" s="59">
        <v>21</v>
      </c>
      <c r="E191" s="91" t="s">
        <v>20</v>
      </c>
    </row>
    <row r="192" spans="1:5">
      <c r="A192" s="21">
        <f t="shared" si="4"/>
        <v>185</v>
      </c>
      <c r="B192" s="85" t="str">
        <f ca="1">IFERROR(__xludf.DUMMYFUNCTION("GOOGLETRANSLATE(B3413:B3428,""RU"",""UK"")"),"Мітчик М - 20х2гаєч. Нурка")</f>
        <v>Мітчик М - 20х2гаєч. Нурка</v>
      </c>
      <c r="C192" s="59" t="s">
        <v>6</v>
      </c>
      <c r="D192" s="59">
        <v>3</v>
      </c>
      <c r="E192" s="91" t="s">
        <v>20</v>
      </c>
    </row>
    <row r="193" spans="1:5">
      <c r="A193" s="21">
        <f t="shared" si="4"/>
        <v>186</v>
      </c>
      <c r="B193" s="85" t="str">
        <f ca="1">IFERROR(__xludf.DUMMYFUNCTION("GOOGLETRANSLATE(B3414:B3429,""RU"",""UK"")"),"Мітчик М - 20х1,5 маш")</f>
        <v>Мітчик М - 20х1,5 маш</v>
      </c>
      <c r="C193" s="59" t="s">
        <v>6</v>
      </c>
      <c r="D193" s="59">
        <v>122</v>
      </c>
      <c r="E193" s="91" t="s">
        <v>20</v>
      </c>
    </row>
    <row r="194" spans="1:5">
      <c r="A194" s="21">
        <f t="shared" si="4"/>
        <v>187</v>
      </c>
      <c r="B194" s="85" t="str">
        <f ca="1">IFERROR(__xludf.DUMMYFUNCTION("GOOGLETRANSLATE(B3415:B3430,""RU"",""UK"")"),"Мітчик М - 20х1, 5ВК8 ")</f>
        <v xml:space="preserve">Мітчик М - 20х1, 5ВК8 </v>
      </c>
      <c r="C194" s="59" t="s">
        <v>6</v>
      </c>
      <c r="D194" s="59">
        <v>2</v>
      </c>
      <c r="E194" s="91" t="s">
        <v>24</v>
      </c>
    </row>
    <row r="195" spans="1:5">
      <c r="A195" s="21">
        <f t="shared" si="4"/>
        <v>188</v>
      </c>
      <c r="B195" s="85" t="str">
        <f ca="1">IFERROR(__xludf.DUMMYFUNCTION("GOOGLETRANSLATE(B3414:B3429,""RU"",""UK"")"),"Мітчик М - 20х2,0 маш")</f>
        <v>Мітчик М - 20х2,0 маш</v>
      </c>
      <c r="C195" s="59" t="s">
        <v>6</v>
      </c>
      <c r="D195" s="59">
        <v>74</v>
      </c>
      <c r="E195" s="91" t="s">
        <v>20</v>
      </c>
    </row>
    <row r="196" spans="1:5">
      <c r="A196" s="21">
        <f t="shared" si="4"/>
        <v>189</v>
      </c>
      <c r="B196" s="85" t="str">
        <f ca="1">IFERROR(__xludf.DUMMYFUNCTION("GOOGLETRANSLATE(B3415:B3430,""RU"",""UK"")"),"Мітчик М - 20х2,0 ВК8")</f>
        <v>Мітчик М - 20х2,0 ВК8</v>
      </c>
      <c r="C196" s="59" t="s">
        <v>6</v>
      </c>
      <c r="D196" s="59">
        <v>3</v>
      </c>
      <c r="E196" s="91" t="s">
        <v>24</v>
      </c>
    </row>
    <row r="197" spans="1:5">
      <c r="A197" s="21">
        <f t="shared" si="4"/>
        <v>190</v>
      </c>
      <c r="B197" s="85" t="str">
        <f ca="1">IFERROR(__xludf.DUMMYFUNCTION("GOOGLETRANSLATE(B3416:B3431,""RU"",""UK"")"),"Мітчик М - 20х1,0м/р")</f>
        <v>Мітчик М - 20х1,0м/р</v>
      </c>
      <c r="C197" s="59" t="s">
        <v>4370</v>
      </c>
      <c r="D197" s="59">
        <v>6</v>
      </c>
      <c r="E197" s="91">
        <v>375</v>
      </c>
    </row>
    <row r="198" spans="1:5">
      <c r="A198" s="21">
        <f t="shared" si="4"/>
        <v>191</v>
      </c>
      <c r="B198" s="85" t="str">
        <f ca="1">IFERROR(__xludf.DUMMYFUNCTION("GOOGLETRANSLATE(B3416:B3431,""RU"",""UK"")"),"Мітчик М - 20х1,5м/р 9ХС")</f>
        <v>Мітчик М - 20х1,5м/р 9ХС</v>
      </c>
      <c r="C198" s="59" t="s">
        <v>4370</v>
      </c>
      <c r="D198" s="59">
        <v>108</v>
      </c>
      <c r="E198" s="91">
        <v>375</v>
      </c>
    </row>
    <row r="199" spans="1:5">
      <c r="A199" s="21">
        <f t="shared" si="4"/>
        <v>192</v>
      </c>
      <c r="B199" s="85" t="str">
        <f ca="1">IFERROR(__xludf.DUMMYFUNCTION("GOOGLETRANSLATE(B3416:B3431,""RU"",""UK"")"),"Мітчик М - 20х2м/р")</f>
        <v>Мітчик М - 20х2м/р</v>
      </c>
      <c r="C199" s="59" t="s">
        <v>4370</v>
      </c>
      <c r="D199" s="59">
        <v>63</v>
      </c>
      <c r="E199" s="91">
        <v>375</v>
      </c>
    </row>
    <row r="200" spans="1:5">
      <c r="A200" s="21">
        <f t="shared" si="4"/>
        <v>193</v>
      </c>
      <c r="B200" s="169" t="str">
        <f ca="1">IFERROR(__xludf.DUMMYFUNCTION("GOOGLETRANSLATE(B3417:B3432,""RU"",""UK"")"),"Мітчик М - 20лев скрізн.отв.")</f>
        <v>Мітчик М - 20лев скрізн.отв.</v>
      </c>
      <c r="C200" s="59" t="s">
        <v>6</v>
      </c>
      <c r="D200" s="160">
        <v>2</v>
      </c>
      <c r="E200" s="91" t="s">
        <v>162</v>
      </c>
    </row>
    <row r="201" spans="1:5">
      <c r="A201" s="21">
        <f t="shared" si="4"/>
        <v>194</v>
      </c>
      <c r="B201" s="169" t="str">
        <f ca="1">IFERROR(__xludf.DUMMYFUNCTION("GOOGLETRANSLATE(B3417:B3432,""RU"",""UK"")"),"Мітчик М - 20х1, 5лев.")</f>
        <v>Мітчик М - 20х1, 5лев.</v>
      </c>
      <c r="C201" s="59" t="s">
        <v>6</v>
      </c>
      <c r="D201" s="160">
        <v>5</v>
      </c>
      <c r="E201" s="91" t="s">
        <v>162</v>
      </c>
    </row>
    <row r="202" spans="1:5">
      <c r="A202" s="21">
        <f t="shared" si="4"/>
        <v>195</v>
      </c>
      <c r="B202" s="164" t="str">
        <f ca="1">IFERROR(__xludf.DUMMYFUNCTION("GOOGLETRANSLATE(B3418:B3433,""RU"",""UK"")"),"Мітчик М - 20х1, 5лев.")</f>
        <v>Мітчик М - 20х1, 5лев.</v>
      </c>
      <c r="C202" s="59" t="s">
        <v>4370</v>
      </c>
      <c r="D202" s="59">
        <v>0</v>
      </c>
      <c r="E202" s="91" t="s">
        <v>272</v>
      </c>
    </row>
    <row r="203" spans="1:5">
      <c r="A203" s="21">
        <f t="shared" si="4"/>
        <v>196</v>
      </c>
      <c r="B203" s="224" t="str">
        <f ca="1">IFERROR(__xludf.DUMMYFUNCTION("GOOGLETRANSLATE(B3420:B3435,""RU"",""UK"")"),"Мітчик М20х3 правий трапеція Р6М5. Довжина 150мм")</f>
        <v>Мітчик М20х3 правий трапеція Р6М5. Довжина 150мм</v>
      </c>
      <c r="C203" s="59" t="s">
        <v>6</v>
      </c>
      <c r="D203" s="37">
        <v>1</v>
      </c>
      <c r="E203" s="92">
        <v>1300</v>
      </c>
    </row>
    <row r="204" spans="1:5">
      <c r="A204" s="21">
        <f t="shared" si="4"/>
        <v>197</v>
      </c>
      <c r="B204" s="224" t="s">
        <v>6418</v>
      </c>
      <c r="C204" s="59" t="s">
        <v>6</v>
      </c>
      <c r="D204" s="37">
        <v>3</v>
      </c>
      <c r="E204" s="92">
        <v>1500</v>
      </c>
    </row>
    <row r="205" spans="1:5">
      <c r="A205" s="21">
        <f t="shared" si="4"/>
        <v>198</v>
      </c>
      <c r="B205" s="224" t="str">
        <f ca="1">IFERROR(__xludf.DUMMYFUNCTION("GOOGLETRANSLATE(B3420:B3435,""RU"",""UK"")"),"Мітчик М20х4 правий трапеція мало вживаний довжина 150мм")</f>
        <v>Мітчик М20х4 правий трапеція мало вживаний довжина 150мм</v>
      </c>
      <c r="C205" s="59" t="s">
        <v>6</v>
      </c>
      <c r="D205" s="37">
        <v>1</v>
      </c>
      <c r="E205" s="92" t="s">
        <v>102</v>
      </c>
    </row>
    <row r="206" spans="1:5">
      <c r="A206" s="21">
        <f t="shared" si="4"/>
        <v>199</v>
      </c>
      <c r="B206" s="85" t="str">
        <f ca="1">IFERROR(__xludf.DUMMYFUNCTION("GOOGLETRANSLATE(B3421:B3436,""RU"",""UK"")"),"Мітчик М - 22")</f>
        <v>Мітчик М - 22</v>
      </c>
      <c r="C206" s="59" t="s">
        <v>6</v>
      </c>
      <c r="D206" s="59">
        <v>61</v>
      </c>
      <c r="E206" s="91" t="s">
        <v>140</v>
      </c>
    </row>
    <row r="207" spans="1:5">
      <c r="A207" s="21">
        <f t="shared" si="4"/>
        <v>200</v>
      </c>
      <c r="B207" s="85" t="str">
        <f ca="1">IFERROR(__xludf.DUMMYFUNCTION("GOOGLETRANSLATE(B3421:B3436,""RU"",""UK"")"),"Мітчик М - 22х1")</f>
        <v>Мітчик М - 22х1</v>
      </c>
      <c r="C207" s="59" t="s">
        <v>6</v>
      </c>
      <c r="D207" s="59">
        <v>24</v>
      </c>
      <c r="E207" s="91" t="s">
        <v>140</v>
      </c>
    </row>
    <row r="208" spans="1:5">
      <c r="A208" s="21">
        <f t="shared" si="4"/>
        <v>201</v>
      </c>
      <c r="B208" s="85" t="str">
        <f ca="1">IFERROR(__xludf.DUMMYFUNCTION("GOOGLETRANSLATE(B3422:B3437,""RU"",""UK"")"),"Мітчик М - 22х1гаеч.")</f>
        <v>Мітчик М - 22х1гаеч.</v>
      </c>
      <c r="C208" s="59" t="s">
        <v>6</v>
      </c>
      <c r="D208" s="59">
        <v>52</v>
      </c>
      <c r="E208" s="91" t="s">
        <v>24</v>
      </c>
    </row>
    <row r="209" spans="1:5">
      <c r="A209" s="21">
        <f t="shared" si="4"/>
        <v>202</v>
      </c>
      <c r="B209" s="85" t="str">
        <f ca="1">IFERROR(__xludf.DUMMYFUNCTION("GOOGLETRANSLATE(B3422:B3437,""RU"",""UK"")"),"Мітчик М - 22х1,5 гаєч.")</f>
        <v>Мітчик М - 22х1,5 гаєч.</v>
      </c>
      <c r="C209" s="59" t="s">
        <v>6</v>
      </c>
      <c r="D209" s="59">
        <v>61</v>
      </c>
      <c r="E209" s="91" t="s">
        <v>24</v>
      </c>
    </row>
    <row r="210" spans="1:5">
      <c r="A210" s="21">
        <f t="shared" si="4"/>
        <v>203</v>
      </c>
      <c r="B210" s="85" t="str">
        <f ca="1">IFERROR(__xludf.DUMMYFUNCTION("GOOGLETRANSLATE(B3422:B3437,""RU"",""UK"")"),"Мітчик М - 22гаєч.")</f>
        <v>Мітчик М - 22гаєч.</v>
      </c>
      <c r="C210" s="59" t="s">
        <v>6</v>
      </c>
      <c r="D210" s="59">
        <v>44</v>
      </c>
      <c r="E210" s="91" t="s">
        <v>24</v>
      </c>
    </row>
    <row r="211" spans="1:5">
      <c r="A211" s="21">
        <f t="shared" si="4"/>
        <v>204</v>
      </c>
      <c r="B211" s="85" t="str">
        <f ca="1">IFERROR(__xludf.DUMMYFUNCTION("GOOGLETRANSLATE(B3423:B3438,""RU"",""UK"")"),"Мітчик М - 22лів.")</f>
        <v>Мітчик М - 22лів.</v>
      </c>
      <c r="C211" s="59" t="s">
        <v>6</v>
      </c>
      <c r="D211" s="59">
        <v>2</v>
      </c>
      <c r="E211" s="91" t="s">
        <v>24</v>
      </c>
    </row>
    <row r="212" spans="1:5">
      <c r="A212" s="21">
        <f t="shared" si="4"/>
        <v>205</v>
      </c>
      <c r="B212" s="85" t="str">
        <f ca="1">IFERROR(__xludf.DUMMYFUNCTION("GOOGLETRANSLATE(B3423:B3438,""RU"",""UK"")"),"Мітчик М - 22х1,5лів")</f>
        <v>Мітчик М - 22х1,5лів</v>
      </c>
      <c r="C212" s="59" t="s">
        <v>6</v>
      </c>
      <c r="D212" s="59">
        <v>1</v>
      </c>
      <c r="E212" s="91" t="s">
        <v>24</v>
      </c>
    </row>
    <row r="213" spans="1:5">
      <c r="A213" s="21">
        <f t="shared" si="4"/>
        <v>206</v>
      </c>
      <c r="B213" s="85" t="str">
        <f ca="1">IFERROR(__xludf.DUMMYFUNCTION("GOOGLETRANSLATE(B3424:B3439,""RU"",""UK"")"),"Мітчик М - 22руч. 9ХС")</f>
        <v>Мітчик М - 22руч. 9ХС</v>
      </c>
      <c r="C213" s="59" t="s">
        <v>4370</v>
      </c>
      <c r="D213" s="59">
        <v>21</v>
      </c>
      <c r="E213" s="91">
        <v>360</v>
      </c>
    </row>
    <row r="214" spans="1:5">
      <c r="A214" s="21">
        <f t="shared" si="4"/>
        <v>207</v>
      </c>
      <c r="B214" s="85" t="str">
        <f ca="1">IFERROR(__xludf.DUMMYFUNCTION("GOOGLETRANSLATE(B3424:B3439,""RU"",""UK"")"),"Мітчик М - 22 маш/руч Р6М5")</f>
        <v>Мітчик М - 22 маш/руч Р6М5</v>
      </c>
      <c r="C214" s="59" t="s">
        <v>4370</v>
      </c>
      <c r="D214" s="59">
        <v>10</v>
      </c>
      <c r="E214" s="91" t="s">
        <v>16</v>
      </c>
    </row>
    <row r="215" spans="1:5">
      <c r="A215" s="21">
        <f t="shared" si="4"/>
        <v>208</v>
      </c>
      <c r="B215" s="85" t="str">
        <f ca="1">IFERROR(__xludf.DUMMYFUNCTION("GOOGLETRANSLATE(B3425:B3440,""RU"",""UK"")"),"Мітчик М - 22х0,75 м/р.")</f>
        <v>Мітчик М - 22х0,75 м/р.</v>
      </c>
      <c r="C215" s="37" t="s">
        <v>4370</v>
      </c>
      <c r="D215" s="37">
        <v>0</v>
      </c>
      <c r="E215" s="91" t="s">
        <v>16</v>
      </c>
    </row>
    <row r="216" spans="1:5">
      <c r="A216" s="21">
        <f t="shared" si="4"/>
        <v>209</v>
      </c>
      <c r="B216" s="85" t="str">
        <f ca="1">IFERROR(__xludf.DUMMYFUNCTION("GOOGLETRANSLATE(B3425:B3440,""RU"",""UK"")"),"Мітчик М - 22х1 руч. 9ХС")</f>
        <v>Мітчик М - 22х1 руч. 9ХС</v>
      </c>
      <c r="C216" s="37" t="s">
        <v>4370</v>
      </c>
      <c r="D216" s="37">
        <v>11</v>
      </c>
      <c r="E216" s="91" t="s">
        <v>16</v>
      </c>
    </row>
    <row r="217" spans="1:5">
      <c r="A217" s="21">
        <f t="shared" si="4"/>
        <v>210</v>
      </c>
      <c r="B217" s="85" t="str">
        <f ca="1">IFERROR(__xludf.DUMMYFUNCTION("GOOGLETRANSLATE(B3426:B3441,""RU"",""UK"")"),"Мітчик М - 22х1,5 м/р. ")</f>
        <v xml:space="preserve">Мітчик М - 22х1,5 м/р. </v>
      </c>
      <c r="C217" s="59" t="s">
        <v>4370</v>
      </c>
      <c r="D217" s="59">
        <v>1</v>
      </c>
      <c r="E217" s="91" t="s">
        <v>4549</v>
      </c>
    </row>
    <row r="218" spans="1:5">
      <c r="A218" s="21">
        <f t="shared" si="4"/>
        <v>211</v>
      </c>
      <c r="B218" s="85" t="str">
        <f ca="1">IFERROR(__xludf.DUMMYFUNCTION("GOOGLETRANSLATE(B3426:B3441,""RU"",""UK"")"),"Мітчик М - 22х2")</f>
        <v>Мітчик М - 22х2</v>
      </c>
      <c r="C218" s="59" t="s">
        <v>4370</v>
      </c>
      <c r="D218" s="59">
        <v>0</v>
      </c>
      <c r="E218" s="91" t="s">
        <v>4549</v>
      </c>
    </row>
    <row r="219" spans="1:5">
      <c r="A219" s="21">
        <f t="shared" si="4"/>
        <v>212</v>
      </c>
      <c r="B219" s="85" t="str">
        <f ca="1">IFERROR(__xludf.DUMMYFUNCTION("GOOGLETRANSLATE(B3427:B3442,""RU"",""UK"")"),"Мітчик М - 22х1, 5")</f>
        <v>Мітчик М - 22х1, 5</v>
      </c>
      <c r="C219" s="59" t="s">
        <v>6</v>
      </c>
      <c r="D219" s="59">
        <v>95</v>
      </c>
      <c r="E219" s="91" t="s">
        <v>16</v>
      </c>
    </row>
    <row r="220" spans="1:5">
      <c r="A220" s="21">
        <f t="shared" si="4"/>
        <v>213</v>
      </c>
      <c r="B220" s="85" t="str">
        <f ca="1">IFERROR(__xludf.DUMMYFUNCTION("GOOGLETRANSLATE(B3427:B3442,""RU"",""UK"")"),"Мітчик М - 22х2")</f>
        <v>Мітчик М - 22х2</v>
      </c>
      <c r="C220" s="59" t="s">
        <v>6</v>
      </c>
      <c r="D220" s="59">
        <v>22</v>
      </c>
      <c r="E220" s="91" t="s">
        <v>16</v>
      </c>
    </row>
    <row r="221" spans="1:5">
      <c r="A221" s="21">
        <f t="shared" si="4"/>
        <v>214</v>
      </c>
      <c r="B221" s="85" t="str">
        <f ca="1">IFERROR(__xludf.DUMMYFUNCTION("GOOGLETRANSLATE(B3428:B3443,""RU"",""UK"")"),"Мітчик М - 22лев")</f>
        <v>Мітчик М - 22лев</v>
      </c>
      <c r="C221" s="59" t="s">
        <v>4370</v>
      </c>
      <c r="D221" s="59">
        <v>1</v>
      </c>
      <c r="E221" s="91" t="s">
        <v>4553</v>
      </c>
    </row>
    <row r="222" spans="1:5">
      <c r="A222" s="21">
        <f t="shared" si="4"/>
        <v>215</v>
      </c>
      <c r="B222" s="85" t="str">
        <f ca="1">IFERROR(__xludf.DUMMYFUNCTION("GOOGLETRANSLATE(B3428:B3443,""RU"",""UK"")"),"Мітчик М - 22х1.5лев")</f>
        <v>Мітчик М - 22х1.5лев</v>
      </c>
      <c r="C222" s="59" t="s">
        <v>4370</v>
      </c>
      <c r="D222" s="59">
        <v>2</v>
      </c>
      <c r="E222" s="91" t="s">
        <v>4553</v>
      </c>
    </row>
    <row r="223" spans="1:5">
      <c r="A223" s="21">
        <f t="shared" si="4"/>
        <v>216</v>
      </c>
      <c r="B223" s="224" t="str">
        <f ca="1">IFERROR(__xludf.DUMMYFUNCTION("GOOGLETRANSLATE(B3429:B3444,""RU"",""UK"")"),"Мітчик М22х3 трапеція правий Р6М5 довжина 95мм")</f>
        <v>Мітчик М22х3 трапеція правий Р6М5 довжина 95мм</v>
      </c>
      <c r="C223" s="59" t="s">
        <v>6</v>
      </c>
      <c r="D223" s="59">
        <v>3</v>
      </c>
      <c r="E223" s="91">
        <v>1700</v>
      </c>
    </row>
    <row r="224" spans="1:5">
      <c r="A224" s="21">
        <f t="shared" si="4"/>
        <v>217</v>
      </c>
      <c r="B224" s="85" t="str">
        <f ca="1">IFERROR(__xludf.DUMMYFUNCTION("GOOGLETRANSLATE(B3430:B3445,""RU"",""UK"")"),"Мітчик М - 24 маш.")</f>
        <v>Мітчик М - 24 маш.</v>
      </c>
      <c r="C224" s="59" t="s">
        <v>6</v>
      </c>
      <c r="D224" s="59">
        <v>44</v>
      </c>
      <c r="E224" s="91" t="s">
        <v>16</v>
      </c>
    </row>
    <row r="225" spans="1:5">
      <c r="A225" s="21">
        <f t="shared" si="4"/>
        <v>218</v>
      </c>
      <c r="B225" s="85" t="str">
        <f ca="1">IFERROR(__xludf.DUMMYFUNCTION("GOOGLETRANSLATE(B3430:B3445,""RU"",""UK"")"),"Мітчик М - 24х1,0 маш.")</f>
        <v>Мітчик М - 24х1,0 маш.</v>
      </c>
      <c r="C225" s="59" t="s">
        <v>6</v>
      </c>
      <c r="D225" s="59">
        <v>35</v>
      </c>
      <c r="E225" s="91" t="s">
        <v>16</v>
      </c>
    </row>
    <row r="226" spans="1:5">
      <c r="A226" s="21">
        <f t="shared" si="4"/>
        <v>219</v>
      </c>
      <c r="B226" s="85" t="str">
        <f ca="1">IFERROR(__xludf.DUMMYFUNCTION("GOOGLETRANSLATE(B3431:B3446,""RU"",""UK"")"),"Мітчик М - 24 гвинтовий маш. Р6М5")</f>
        <v>Мітчик М - 24 гвинтовий маш. Р6М5</v>
      </c>
      <c r="C226" s="71" t="s">
        <v>6</v>
      </c>
      <c r="D226" s="71">
        <v>8</v>
      </c>
      <c r="E226" s="107" t="s">
        <v>272</v>
      </c>
    </row>
    <row r="227" spans="1:5">
      <c r="A227" s="21">
        <f t="shared" si="4"/>
        <v>220</v>
      </c>
      <c r="B227" s="85" t="str">
        <f ca="1">IFERROR(__xludf.DUMMYFUNCTION("GOOGLETRANSLATE(B3432:B3447,""RU"",""UK"")"),"Мітчик М - 24х1, 5маш.")</f>
        <v>Мітчик М - 24х1, 5маш.</v>
      </c>
      <c r="C227" s="59" t="s">
        <v>6</v>
      </c>
      <c r="D227" s="59">
        <v>117</v>
      </c>
      <c r="E227" s="91" t="s">
        <v>16</v>
      </c>
    </row>
    <row r="228" spans="1:5">
      <c r="A228" s="21">
        <f t="shared" si="4"/>
        <v>221</v>
      </c>
      <c r="B228" s="85" t="str">
        <f ca="1">IFERROR(__xludf.DUMMYFUNCTION("GOOGLETRANSLATE(B3432:B3447,""RU"",""UK"")"),"Мітчик М - 24х2маш.")</f>
        <v>Мітчик М - 24х2маш.</v>
      </c>
      <c r="C228" s="59" t="s">
        <v>6</v>
      </c>
      <c r="D228" s="59">
        <v>102</v>
      </c>
      <c r="E228" s="91" t="s">
        <v>16</v>
      </c>
    </row>
    <row r="229" spans="1:5">
      <c r="A229" s="21">
        <f t="shared" si="4"/>
        <v>222</v>
      </c>
      <c r="B229" s="85" t="str">
        <f ca="1">IFERROR(__xludf.DUMMYFUNCTION("GOOGLETRANSLATE(B3433:B3448,""RU"",""UK"")"),"Мітчик М - 24лев.")</f>
        <v>Мітчик М - 24лев.</v>
      </c>
      <c r="C229" s="59" t="s">
        <v>6</v>
      </c>
      <c r="D229" s="59">
        <v>2</v>
      </c>
      <c r="E229" s="91" t="s">
        <v>272</v>
      </c>
    </row>
    <row r="230" spans="1:5">
      <c r="A230" s="21">
        <f t="shared" si="4"/>
        <v>223</v>
      </c>
      <c r="B230" s="85" t="str">
        <f ca="1">IFERROR(__xludf.DUMMYFUNCTION("GOOGLETRANSLATE(B3433:B3448,""RU"",""UK"")"),"Мітчик М - 24х1лів.")</f>
        <v>Мітчик М - 24х1лів.</v>
      </c>
      <c r="C230" s="59" t="s">
        <v>6</v>
      </c>
      <c r="D230" s="59">
        <v>1</v>
      </c>
      <c r="E230" s="91" t="s">
        <v>272</v>
      </c>
    </row>
    <row r="231" spans="1:5">
      <c r="A231" s="21">
        <f t="shared" si="4"/>
        <v>224</v>
      </c>
      <c r="B231" s="85" t="str">
        <f ca="1">IFERROR(__xludf.DUMMYFUNCTION("GOOGLETRANSLATE(B3433:B3448,""RU"",""UK"")"),"Мітчик М - 24х1, 5лів. ")</f>
        <v xml:space="preserve">Мітчик М - 24х1, 5лів. </v>
      </c>
      <c r="C231" s="59" t="s">
        <v>6</v>
      </c>
      <c r="D231" s="59">
        <v>2</v>
      </c>
      <c r="E231" s="91" t="s">
        <v>272</v>
      </c>
    </row>
    <row r="232" spans="1:5">
      <c r="A232" s="21">
        <f t="shared" si="4"/>
        <v>225</v>
      </c>
      <c r="B232" s="85" t="str">
        <f ca="1">IFERROR(__xludf.DUMMYFUNCTION("GOOGLETRANSLATE(B3433:B3448,""RU"",""UK"")"),"Мітчик М - 24х2лів.")</f>
        <v>Мітчик М - 24х2лів.</v>
      </c>
      <c r="C232" s="59" t="s">
        <v>6</v>
      </c>
      <c r="D232" s="59">
        <v>4</v>
      </c>
      <c r="E232" s="91" t="s">
        <v>272</v>
      </c>
    </row>
    <row r="233" spans="1:5">
      <c r="A233" s="21">
        <f t="shared" si="4"/>
        <v>226</v>
      </c>
      <c r="B233" s="85" t="str">
        <f ca="1">IFERROR(__xludf.DUMMYFUNCTION("GOOGLETRANSLATE(B3434:B3449,""RU"",""UK"")"),"Мітчик М - 24х1, 5лів. Р18")</f>
        <v>Мітчик М - 24х1, 5лів. Р18</v>
      </c>
      <c r="C233" s="59" t="s">
        <v>6</v>
      </c>
      <c r="D233" s="59">
        <v>5</v>
      </c>
      <c r="E233" s="91" t="s">
        <v>53</v>
      </c>
    </row>
    <row r="234" spans="1:5">
      <c r="A234" s="21">
        <f t="shared" si="4"/>
        <v>227</v>
      </c>
      <c r="B234" s="85" t="str">
        <f ca="1">IFERROR(__xludf.DUMMYFUNCTION("GOOGLETRANSLATE(B3435:B3450,""RU"",""UK"")"),"Мітчик М - 24 м/р Р6М5")</f>
        <v>Мітчик М - 24 м/р Р6М5</v>
      </c>
      <c r="C234" s="59" t="s">
        <v>4370</v>
      </c>
      <c r="D234" s="59">
        <v>1</v>
      </c>
      <c r="E234" s="91">
        <v>480</v>
      </c>
    </row>
    <row r="235" spans="1:5">
      <c r="A235" s="21">
        <f t="shared" si="4"/>
        <v>228</v>
      </c>
      <c r="B235" s="85" t="str">
        <f ca="1">IFERROR(__xludf.DUMMYFUNCTION("GOOGLETRANSLATE(B3437:B3452,""RU"",""UK"")"),"Мітчик М - 24 м/р Р6М5 (з 3х шт)")</f>
        <v>Мітчик М - 24 м/р Р6М5 (з 3х шт)</v>
      </c>
      <c r="C235" s="59" t="s">
        <v>4370</v>
      </c>
      <c r="D235" s="59">
        <v>2</v>
      </c>
      <c r="E235" s="91">
        <v>540</v>
      </c>
    </row>
    <row r="236" spans="1:5">
      <c r="A236" s="21">
        <f t="shared" ref="A236:A346" si="5">A235+1</f>
        <v>229</v>
      </c>
      <c r="B236" s="85" t="str">
        <f ca="1">IFERROR(__xludf.DUMMYFUNCTION("GOOGLETRANSLATE(B3438:B3453,""RU"",""UK"")"),"Мітчик М - 24 м/р лев")</f>
        <v>Мітчик М - 24 м/р лев</v>
      </c>
      <c r="C236" s="59" t="s">
        <v>4370</v>
      </c>
      <c r="D236" s="59">
        <v>1</v>
      </c>
      <c r="E236" s="91">
        <v>600</v>
      </c>
    </row>
    <row r="237" spans="1:5">
      <c r="A237" s="21">
        <f t="shared" si="5"/>
        <v>230</v>
      </c>
      <c r="B237" s="85" t="str">
        <f ca="1">IFERROR(__xludf.DUMMYFUNCTION("GOOGLETRANSLATE(B3439:B3454,""RU"",""UK"")"),"Мітчик М - 24х0,75 маш./руч.")</f>
        <v>Мітчик М - 24х0,75 маш./руч.</v>
      </c>
      <c r="C237" s="59" t="s">
        <v>4370</v>
      </c>
      <c r="D237" s="59">
        <v>1</v>
      </c>
      <c r="E237" s="91" t="s">
        <v>53</v>
      </c>
    </row>
    <row r="238" spans="1:5">
      <c r="A238" s="21">
        <f t="shared" si="5"/>
        <v>231</v>
      </c>
      <c r="B238" s="85" t="str">
        <f ca="1">IFERROR(__xludf.DUMMYFUNCTION("GOOGLETRANSLATE(B3439:B3454,""RU"",""UK"")"),"Мітчик М - 24х1 маш./руч.")</f>
        <v>Мітчик М - 24х1 маш./руч.</v>
      </c>
      <c r="C238" s="59" t="s">
        <v>4370</v>
      </c>
      <c r="D238" s="59">
        <v>26</v>
      </c>
      <c r="E238" s="91" t="s">
        <v>53</v>
      </c>
    </row>
    <row r="239" spans="1:5">
      <c r="A239" s="21">
        <f t="shared" si="5"/>
        <v>232</v>
      </c>
      <c r="B239" s="228" t="str">
        <f ca="1">IFERROR(__xludf.DUMMYFUNCTION("GOOGLETRANSLATE(B3440:B3455,""RU"",""UK"")"),"Мітчик М - 24х1,5маш./руч.9ХС")</f>
        <v>Мітчик М - 24х1,5маш./руч.9ХС</v>
      </c>
      <c r="C239" s="59" t="s">
        <v>4370</v>
      </c>
      <c r="D239" s="59">
        <v>1</v>
      </c>
      <c r="E239" s="91">
        <v>420</v>
      </c>
    </row>
    <row r="240" spans="1:5">
      <c r="A240" s="21">
        <f t="shared" si="5"/>
        <v>233</v>
      </c>
      <c r="B240" s="228" t="str">
        <f ca="1">IFERROR(__xludf.DUMMYFUNCTION("GOOGLETRANSLATE(B3440:B3455,""RU"",""UK"")"),"Мітчик М - 24х1,5маш./руч.")</f>
        <v>Мітчик М - 24х1,5маш./руч.</v>
      </c>
      <c r="C240" s="59" t="s">
        <v>4370</v>
      </c>
      <c r="D240" s="59">
        <v>53</v>
      </c>
      <c r="E240" s="91" t="s">
        <v>53</v>
      </c>
    </row>
    <row r="241" spans="1:5">
      <c r="A241" s="21">
        <f t="shared" si="5"/>
        <v>234</v>
      </c>
      <c r="B241" s="85" t="str">
        <f ca="1">IFERROR(__xludf.DUMMYFUNCTION("GOOGLETRANSLATE(B3440:B3455,""RU"",""UK"")"),"Мітчик М - 24х2маш./руч.")</f>
        <v>Мітчик М - 24х2маш./руч.</v>
      </c>
      <c r="C241" s="59" t="s">
        <v>4370</v>
      </c>
      <c r="D241" s="59">
        <v>53</v>
      </c>
      <c r="E241" s="91" t="s">
        <v>53</v>
      </c>
    </row>
    <row r="242" spans="1:5">
      <c r="A242" s="21">
        <f t="shared" si="5"/>
        <v>235</v>
      </c>
      <c r="B242" s="85" t="str">
        <f ca="1">IFERROR(__xludf.DUMMYFUNCTION("GOOGLETRANSLATE(B3441:B3456,""RU"",""UK"")"),"Мітчик М - 24х2,0 Лев.")</f>
        <v>Мітчик М - 24х2,0 Лев.</v>
      </c>
      <c r="C242" s="59" t="s">
        <v>4370</v>
      </c>
      <c r="D242" s="59">
        <v>1</v>
      </c>
      <c r="E242" s="91" t="s">
        <v>138</v>
      </c>
    </row>
    <row r="243" spans="1:5">
      <c r="A243" s="21">
        <f t="shared" si="5"/>
        <v>236</v>
      </c>
      <c r="B243" s="85" t="str">
        <f ca="1">IFERROR(__xludf.DUMMYFUNCTION("GOOGLETRANSLATE(B3441:B3456,""RU"",""UK"")"),"Мітчик М - 24х1, 5 (їх 3х шт) Лев.")</f>
        <v>Мітчик М - 24х1, 5 (їх 3х шт) Лев.</v>
      </c>
      <c r="C243" s="59" t="s">
        <v>4370</v>
      </c>
      <c r="D243" s="59">
        <v>1</v>
      </c>
      <c r="E243" s="91" t="s">
        <v>138</v>
      </c>
    </row>
    <row r="244" spans="1:5">
      <c r="A244" s="21">
        <f t="shared" si="5"/>
        <v>237</v>
      </c>
      <c r="B244" s="169" t="str">
        <f ca="1">IFERROR(__xludf.DUMMYFUNCTION("GOOGLETRANSLATE(B3442:B3457,""RU"",""UK"")"),"Мітчик М - 24 Р6М5 гаєч.")</f>
        <v>Мітчик М - 24 Р6М5 гаєч.</v>
      </c>
      <c r="C244" s="59" t="s">
        <v>6</v>
      </c>
      <c r="D244" s="160">
        <v>9</v>
      </c>
      <c r="E244" s="91" t="s">
        <v>22</v>
      </c>
    </row>
    <row r="245" spans="1:5">
      <c r="A245" s="21">
        <f t="shared" si="5"/>
        <v>238</v>
      </c>
      <c r="B245" s="169" t="str">
        <f ca="1">IFERROR(__xludf.DUMMYFUNCTION("GOOGLETRANSLATE(B3442:B3457,""RU"",""UK"")"),"Мітчик М - 24 Р6М5 гаєч. нурка")</f>
        <v>Мітчик М - 24 Р6М5 гаєч. нурка</v>
      </c>
      <c r="C245" s="59" t="s">
        <v>6</v>
      </c>
      <c r="D245" s="160">
        <v>14</v>
      </c>
      <c r="E245" s="91" t="s">
        <v>22</v>
      </c>
    </row>
    <row r="246" spans="1:5">
      <c r="A246" s="21">
        <f t="shared" si="5"/>
        <v>239</v>
      </c>
      <c r="B246" s="85" t="str">
        <f ca="1">IFERROR(__xludf.DUMMYFUNCTION("GOOGLETRANSLATE(B3443:B3458,""RU"",""UK"")"),"Мітчик М - 24х1 гаєч.")</f>
        <v>Мітчик М - 24х1 гаєч.</v>
      </c>
      <c r="C246" s="59" t="s">
        <v>6</v>
      </c>
      <c r="D246" s="59">
        <v>24</v>
      </c>
      <c r="E246" s="91" t="s">
        <v>22</v>
      </c>
    </row>
    <row r="247" spans="1:5">
      <c r="A247" s="21">
        <f t="shared" si="5"/>
        <v>240</v>
      </c>
      <c r="B247" s="85" t="str">
        <f ca="1">IFERROR(__xludf.DUMMYFUNCTION("GOOGLETRANSLATE(B3443:B3458,""RU"",""UK"")"),"Мітчик М - 24х1,5 гаєч.")</f>
        <v>Мітчик М - 24х1,5 гаєч.</v>
      </c>
      <c r="C247" s="59" t="s">
        <v>6</v>
      </c>
      <c r="D247" s="59">
        <v>18</v>
      </c>
      <c r="E247" s="91" t="s">
        <v>22</v>
      </c>
    </row>
    <row r="248" spans="1:5">
      <c r="A248" s="21">
        <f t="shared" si="5"/>
        <v>241</v>
      </c>
      <c r="B248" s="85" t="str">
        <f ca="1">IFERROR(__xludf.DUMMYFUNCTION("GOOGLETRANSLATE(B3443:B3458,""RU"",""UK"")"),"Мітчик М - 24х2 гаєч. ")</f>
        <v xml:space="preserve">Мітчик М - 24х2 гаєч. </v>
      </c>
      <c r="C248" s="59" t="s">
        <v>6</v>
      </c>
      <c r="D248" s="59">
        <v>73</v>
      </c>
      <c r="E248" s="91" t="s">
        <v>22</v>
      </c>
    </row>
    <row r="249" spans="1:5">
      <c r="A249" s="21">
        <f t="shared" si="5"/>
        <v>242</v>
      </c>
      <c r="B249" s="224" t="str">
        <f ca="1">IFERROR(__xludf.DUMMYFUNCTION("GOOGLETRANSLATE(B3471:B3486,""RU"",""UK"")"),"Мітчик М24х5 трапеція правий Р6М5 довжина 110мм ")</f>
        <v xml:space="preserve">Мітчик М24х5 трапеція правий Р6М5 довжина 110мм </v>
      </c>
      <c r="C249" s="59" t="s">
        <v>6</v>
      </c>
      <c r="D249" s="59">
        <v>1</v>
      </c>
      <c r="E249" s="91">
        <v>1800</v>
      </c>
    </row>
    <row r="250" spans="1:5">
      <c r="A250" s="21">
        <f t="shared" si="5"/>
        <v>243</v>
      </c>
      <c r="B250" s="85" t="str">
        <f ca="1">IFERROR(__xludf.DUMMYFUNCTION("GOOGLETRANSLATE(B3445:B3460,""RU"",""UK"")"),"Мітчик М - 25х1,5 м/р")</f>
        <v>Мітчик М - 25х1,5 м/р</v>
      </c>
      <c r="C250" s="59" t="s">
        <v>4370</v>
      </c>
      <c r="D250" s="59">
        <v>1</v>
      </c>
      <c r="E250" s="91" t="s">
        <v>53</v>
      </c>
    </row>
    <row r="251" spans="1:5">
      <c r="A251" s="21">
        <f t="shared" si="5"/>
        <v>244</v>
      </c>
      <c r="B251" s="85" t="str">
        <f ca="1">IFERROR(__xludf.DUMMYFUNCTION("GOOGLETRANSLATE(B3446:B3461,""RU"",""UK"")"),"Мітчик М - 26х2 маш.")</f>
        <v>Мітчик М - 26х2 маш.</v>
      </c>
      <c r="C251" s="59" t="s">
        <v>6</v>
      </c>
      <c r="D251" s="59">
        <v>1</v>
      </c>
      <c r="E251" s="91" t="s">
        <v>18</v>
      </c>
    </row>
    <row r="252" spans="1:5">
      <c r="A252" s="21">
        <f t="shared" si="5"/>
        <v>245</v>
      </c>
      <c r="B252" s="85" t="str">
        <f ca="1">IFERROR(__xludf.DUMMYFUNCTION("GOOGLETRANSLATE(B3447:B3462,""RU"",""UK"")"),"Мітчик М - 27 Р6М5 ")</f>
        <v xml:space="preserve">Мітчик М - 27 Р6М5 </v>
      </c>
      <c r="C252" s="59" t="s">
        <v>6</v>
      </c>
      <c r="D252" s="59">
        <v>98</v>
      </c>
      <c r="E252" s="91" t="s">
        <v>22</v>
      </c>
    </row>
    <row r="253" spans="1:5">
      <c r="A253" s="21">
        <f t="shared" si="5"/>
        <v>246</v>
      </c>
      <c r="B253" s="85" t="str">
        <f ca="1">IFERROR(__xludf.DUMMYFUNCTION("GOOGLETRANSLATE(B3447:B3462,""RU"",""UK"")"),"Мітчик М - 27ВК8 ")</f>
        <v xml:space="preserve">Мітчик М - 27ВК8 </v>
      </c>
      <c r="C253" s="59" t="s">
        <v>6</v>
      </c>
      <c r="D253" s="59">
        <v>2</v>
      </c>
      <c r="E253" s="91" t="s">
        <v>22</v>
      </c>
    </row>
    <row r="254" spans="1:5">
      <c r="A254" s="21">
        <f t="shared" si="5"/>
        <v>247</v>
      </c>
      <c r="B254" s="85" t="str">
        <f ca="1">IFERROR(__xludf.DUMMYFUNCTION("GOOGLETRANSLATE(B3448:B3463,""RU"",""UK"")"),"Мітчик М - 27 гвинтовий маш. Р18")</f>
        <v>Мітчик М - 27 гвинтовий маш. Р18</v>
      </c>
      <c r="C254" s="71" t="s">
        <v>6</v>
      </c>
      <c r="D254" s="71">
        <v>5</v>
      </c>
      <c r="E254" s="107">
        <v>540</v>
      </c>
    </row>
    <row r="255" spans="1:5">
      <c r="A255" s="21">
        <f t="shared" si="5"/>
        <v>248</v>
      </c>
      <c r="B255" s="85" t="str">
        <f ca="1">IFERROR(__xludf.DUMMYFUNCTION("GOOGLETRANSLATE(B3449:B3464,""RU"",""UK"")"),"Мітчик М - 27 гаєч.")</f>
        <v>Мітчик М - 27 гаєч.</v>
      </c>
      <c r="C255" s="59" t="s">
        <v>6</v>
      </c>
      <c r="D255" s="59">
        <v>80</v>
      </c>
      <c r="E255" s="91" t="s">
        <v>272</v>
      </c>
    </row>
    <row r="256" spans="1:5">
      <c r="A256" s="21">
        <f t="shared" si="5"/>
        <v>249</v>
      </c>
      <c r="B256" s="85" t="str">
        <f ca="1">IFERROR(__xludf.DUMMYFUNCTION("GOOGLETRANSLATE(B3450:B3465,""RU"",""UK"")"),"Мітчик М - 27 маш/руч Р6М5 лівий")</f>
        <v>Мітчик М - 27 маш/руч Р6М5 лівий</v>
      </c>
      <c r="C256" s="162" t="s">
        <v>6</v>
      </c>
      <c r="D256" s="161">
        <v>3</v>
      </c>
      <c r="E256" s="163">
        <v>480</v>
      </c>
    </row>
    <row r="257" spans="1:5">
      <c r="A257" s="21">
        <f t="shared" si="5"/>
        <v>250</v>
      </c>
      <c r="B257" s="85" t="str">
        <f ca="1">IFERROR(__xludf.DUMMYFUNCTION("GOOGLETRANSLATE(B3447:B3462,""RU"",""UK"")"),"Мітчик М -  27х1,0")</f>
        <v>Мітчик М -  27х1,0</v>
      </c>
      <c r="C257" s="59" t="s">
        <v>6</v>
      </c>
      <c r="D257" s="59">
        <v>9</v>
      </c>
      <c r="E257" s="91" t="s">
        <v>22</v>
      </c>
    </row>
    <row r="258" spans="1:5">
      <c r="A258" s="21">
        <f t="shared" si="5"/>
        <v>251</v>
      </c>
      <c r="B258" s="85" t="str">
        <f ca="1">IFERROR(__xludf.DUMMYFUNCTION("GOOGLETRANSLATE(B3450:B3465,""RU"",""UK"")"),"Мітчик М - 27х2 маш/руч Р6М5 лівий")</f>
        <v>Мітчик М - 27х2 маш/руч Р6М5 лівий</v>
      </c>
      <c r="C258" s="162" t="s">
        <v>6</v>
      </c>
      <c r="D258" s="161">
        <v>2</v>
      </c>
      <c r="E258" s="163">
        <v>480</v>
      </c>
    </row>
    <row r="259" spans="1:5">
      <c r="A259" s="21">
        <f t="shared" si="5"/>
        <v>252</v>
      </c>
      <c r="B259" s="85" t="str">
        <f ca="1">IFERROR(__xludf.DUMMYFUNCTION("GOOGLETRANSLATE(B3450:B3465,""RU"",""UK"")"),"Мітчик М - 27х2 гаєч. лівий")</f>
        <v>Мітчик М - 27х2 гаєч. лівий</v>
      </c>
      <c r="C259" s="59" t="s">
        <v>6</v>
      </c>
      <c r="D259" s="59">
        <v>1</v>
      </c>
      <c r="E259" s="91" t="s">
        <v>18</v>
      </c>
    </row>
    <row r="260" spans="1:5">
      <c r="A260" s="21">
        <f t="shared" si="5"/>
        <v>253</v>
      </c>
      <c r="B260" s="85" t="str">
        <f ca="1">IFERROR(__xludf.DUMMYFUNCTION("GOOGLETRANSLATE(B3451:B3466,""RU"",""UK"")"),"Мітчик М - 27маш./руч.")</f>
        <v>Мітчик М - 27маш./руч.</v>
      </c>
      <c r="C260" s="59" t="s">
        <v>4370</v>
      </c>
      <c r="D260" s="59">
        <v>186</v>
      </c>
      <c r="E260" s="91" t="s">
        <v>36</v>
      </c>
    </row>
    <row r="261" spans="1:5">
      <c r="A261" s="21">
        <f t="shared" si="5"/>
        <v>254</v>
      </c>
      <c r="B261" s="85" t="str">
        <f ca="1">IFERROR(__xludf.DUMMYFUNCTION("GOOGLETRANSLATE(B3451:B3466,""RU"",""UK"")"),"Мітчик М - 27х0.75 маш./руч.")</f>
        <v>Мітчик М - 27х0.75 маш./руч.</v>
      </c>
      <c r="C261" s="59" t="s">
        <v>4370</v>
      </c>
      <c r="D261" s="59">
        <v>2</v>
      </c>
      <c r="E261" s="91" t="s">
        <v>36</v>
      </c>
    </row>
    <row r="262" spans="1:5">
      <c r="A262" s="21">
        <f t="shared" si="5"/>
        <v>255</v>
      </c>
      <c r="B262" s="85" t="str">
        <f ca="1">IFERROR(__xludf.DUMMYFUNCTION("GOOGLETRANSLATE(B3452:B3467,""RU"",""UK"")"),"Мітчик М - 27х1,0 маш./руч.")</f>
        <v>Мітчик М - 27х1,0 маш./руч.</v>
      </c>
      <c r="C262" s="59" t="s">
        <v>4370</v>
      </c>
      <c r="D262" s="160">
        <v>8</v>
      </c>
      <c r="E262" s="91" t="s">
        <v>36</v>
      </c>
    </row>
    <row r="263" spans="1:5">
      <c r="A263" s="21">
        <f t="shared" si="5"/>
        <v>256</v>
      </c>
      <c r="B263" s="85" t="str">
        <f ca="1">IFERROR(__xludf.DUMMYFUNCTION("GOOGLETRANSLATE(B3452:B3467,""RU"",""UK"")"),"Мітчик М - 27х1,5 маш./руч.")</f>
        <v>Мітчик М - 27х1,5 маш./руч.</v>
      </c>
      <c r="C263" s="59" t="s">
        <v>4370</v>
      </c>
      <c r="D263" s="160">
        <v>13</v>
      </c>
      <c r="E263" s="91" t="s">
        <v>36</v>
      </c>
    </row>
    <row r="264" spans="1:5">
      <c r="A264" s="21">
        <f t="shared" si="5"/>
        <v>257</v>
      </c>
      <c r="B264" s="85" t="str">
        <f ca="1">IFERROR(__xludf.DUMMYFUNCTION("GOOGLETRANSLATE(B3453:B3468,""RU"",""UK"")"),"Мітчик М - 27х1, 5маш.")</f>
        <v>Мітчик М - 27х1, 5маш.</v>
      </c>
      <c r="C264" s="59" t="s">
        <v>6</v>
      </c>
      <c r="D264" s="59">
        <v>18</v>
      </c>
      <c r="E264" s="91" t="s">
        <v>22</v>
      </c>
    </row>
    <row r="265" spans="1:5">
      <c r="A265" s="21">
        <f t="shared" si="5"/>
        <v>258</v>
      </c>
      <c r="B265" s="85" t="str">
        <f ca="1">IFERROR(__xludf.DUMMYFUNCTION("GOOGLETRANSLATE(B3453:B3468,""RU"",""UK"")"),"Мітчик М - 27х2 маш.")</f>
        <v>Мітчик М - 27х2 маш.</v>
      </c>
      <c r="C265" s="59" t="s">
        <v>6</v>
      </c>
      <c r="D265" s="59">
        <v>67</v>
      </c>
      <c r="E265" s="91" t="s">
        <v>22</v>
      </c>
    </row>
    <row r="266" spans="1:5">
      <c r="A266" s="21">
        <f t="shared" si="5"/>
        <v>259</v>
      </c>
      <c r="B266" s="85" t="str">
        <f ca="1">IFERROR(__xludf.DUMMYFUNCTION("GOOGLETRANSLATE(B3454:B3469,""RU"",""UK"")"),"Мітчик М - 27х1,5 гаєч.")</f>
        <v>Мітчик М - 27х1,5 гаєч.</v>
      </c>
      <c r="C266" s="59" t="s">
        <v>6</v>
      </c>
      <c r="D266" s="59">
        <v>48</v>
      </c>
      <c r="E266" s="91" t="s">
        <v>272</v>
      </c>
    </row>
    <row r="267" spans="1:5">
      <c r="A267" s="21">
        <f t="shared" si="5"/>
        <v>260</v>
      </c>
      <c r="B267" s="85" t="str">
        <f ca="1">IFERROR(__xludf.DUMMYFUNCTION("GOOGLETRANSLATE(B3454:B3469,""RU"",""UK"")"),"Мітчик М - 27х2 гаєч. ")</f>
        <v xml:space="preserve">Мітчик М - 27х2 гаєч. </v>
      </c>
      <c r="C267" s="59" t="s">
        <v>6</v>
      </c>
      <c r="D267" s="59">
        <v>36</v>
      </c>
      <c r="E267" s="91" t="s">
        <v>272</v>
      </c>
    </row>
    <row r="268" spans="1:5">
      <c r="A268" s="21">
        <f t="shared" si="5"/>
        <v>261</v>
      </c>
      <c r="B268" s="85" t="str">
        <f ca="1">IFERROR(__xludf.DUMMYFUNCTION("GOOGLETRANSLATE(B3455:B3470,""RU"",""UK"")"),"Мітчик М - 27х2 маш./руч.")</f>
        <v>Мітчик М - 27х2 маш./руч.</v>
      </c>
      <c r="C268" s="59" t="s">
        <v>4370</v>
      </c>
      <c r="D268" s="59">
        <v>38</v>
      </c>
      <c r="E268" s="91" t="s">
        <v>36</v>
      </c>
    </row>
    <row r="269" spans="1:5">
      <c r="A269" s="21">
        <f t="shared" si="5"/>
        <v>262</v>
      </c>
      <c r="B269" s="85" t="str">
        <f ca="1">IFERROR(__xludf.DUMMYFUNCTION("GOOGLETRANSLATE(B3456:B3471,""RU"",""UK"")"),"Мітчик М - 28х1, 5 для глух. відп.")</f>
        <v>Мітчик М - 28х1, 5 для глух. відп.</v>
      </c>
      <c r="C269" s="59" t="s">
        <v>6</v>
      </c>
      <c r="D269" s="59">
        <v>1</v>
      </c>
      <c r="E269" s="91" t="s">
        <v>283</v>
      </c>
    </row>
    <row r="270" spans="1:5">
      <c r="A270" s="21">
        <f t="shared" si="5"/>
        <v>263</v>
      </c>
      <c r="B270" s="224" t="str">
        <f ca="1">IFERROR(__xludf.DUMMYFUNCTION("GOOGLETRANSLATE(B3457:B3472,""RU"",""UK"")"),"Мітчик М - 28х5 трапеція (компл. 3шт)")</f>
        <v>Мітчик М - 28х5 трапеція (компл. 3шт)</v>
      </c>
      <c r="C270" s="59" t="s">
        <v>4370</v>
      </c>
      <c r="D270" s="37">
        <v>1</v>
      </c>
      <c r="E270" s="92">
        <v>1800</v>
      </c>
    </row>
    <row r="271" spans="1:5">
      <c r="A271" s="21">
        <f t="shared" si="5"/>
        <v>264</v>
      </c>
      <c r="B271" s="85" t="str">
        <f ca="1">IFERROR(__xludf.DUMMYFUNCTION("GOOGLETRANSLATE(B3458:B3473,""RU"",""UK"")"),"Мітчик М - 30 маш./руч.Р6М5")</f>
        <v>Мітчик М - 30 маш./руч.Р6М5</v>
      </c>
      <c r="C271" s="59" t="s">
        <v>6</v>
      </c>
      <c r="D271" s="59">
        <v>58</v>
      </c>
      <c r="E271" s="91" t="s">
        <v>663</v>
      </c>
    </row>
    <row r="272" spans="1:5">
      <c r="A272" s="21">
        <f t="shared" si="5"/>
        <v>265</v>
      </c>
      <c r="B272" s="85" t="str">
        <f ca="1">IFERROR(__xludf.DUMMYFUNCTION("GOOGLETRANSLATE(B3459:B3474,""RU"",""UK"")"),"Мітчик М - 30 гвинтовий Р6М5")</f>
        <v>Мітчик М - 30 гвинтовий Р6М5</v>
      </c>
      <c r="C272" s="59" t="s">
        <v>6</v>
      </c>
      <c r="D272" s="59">
        <v>13</v>
      </c>
      <c r="E272" s="91" t="s">
        <v>100</v>
      </c>
    </row>
    <row r="273" spans="1:5">
      <c r="A273" s="21">
        <f t="shared" si="5"/>
        <v>266</v>
      </c>
      <c r="B273" s="85" t="str">
        <f ca="1">IFERROR(__xludf.DUMMYFUNCTION("GOOGLETRANSLATE(B3460:B3475,""RU"",""UK"")"),"Мітчик М - 30лев.")</f>
        <v>Мітчик М - 30лев.</v>
      </c>
      <c r="C273" s="59" t="s">
        <v>6</v>
      </c>
      <c r="D273" s="160">
        <v>4</v>
      </c>
      <c r="E273" s="91" t="s">
        <v>1086</v>
      </c>
    </row>
    <row r="274" spans="1:5">
      <c r="A274" s="21">
        <f t="shared" si="5"/>
        <v>267</v>
      </c>
      <c r="B274" s="85" t="str">
        <f ca="1">IFERROR(__xludf.DUMMYFUNCTION("GOOGLETRANSLATE(B3460:B3475,""RU"",""UK"")"),"Мітчик М - 30х1лев.")</f>
        <v>Мітчик М - 30х1лев.</v>
      </c>
      <c r="C274" s="59" t="s">
        <v>6</v>
      </c>
      <c r="D274" s="160">
        <v>2</v>
      </c>
      <c r="E274" s="91" t="s">
        <v>1086</v>
      </c>
    </row>
    <row r="275" spans="1:5">
      <c r="A275" s="21">
        <f t="shared" si="5"/>
        <v>268</v>
      </c>
      <c r="B275" s="85" t="str">
        <f ca="1">IFERROR(__xludf.DUMMYFUNCTION("GOOGLETRANSLATE(B3461:B3476,""RU"",""UK"")"),"Мітчик М - 30 Р6М5 гаєч.")</f>
        <v>Мітчик М - 30 Р6М5 гаєч.</v>
      </c>
      <c r="C275" s="59" t="s">
        <v>6</v>
      </c>
      <c r="D275" s="59">
        <v>31</v>
      </c>
      <c r="E275" s="91" t="s">
        <v>1874</v>
      </c>
    </row>
    <row r="276" spans="1:5">
      <c r="A276" s="21">
        <f t="shared" si="5"/>
        <v>269</v>
      </c>
      <c r="B276" s="85" t="str">
        <f ca="1">IFERROR(__xludf.DUMMYFUNCTION("GOOGLETRANSLATE(B3461:B3476,""RU"",""UK"")"),"Мітчик М - 30 Р18 гаєч.")</f>
        <v>Мітчик М - 30 Р18 гаєч.</v>
      </c>
      <c r="C276" s="59" t="s">
        <v>6</v>
      </c>
      <c r="D276" s="59">
        <v>1</v>
      </c>
      <c r="E276" s="91" t="s">
        <v>1874</v>
      </c>
    </row>
    <row r="277" spans="1:5">
      <c r="A277" s="21">
        <f t="shared" si="5"/>
        <v>270</v>
      </c>
      <c r="B277" s="85" t="str">
        <f ca="1">IFERROR(__xludf.DUMMYFUNCTION("GOOGLETRANSLATE(B3461:B3476,""RU"",""UK"")"),"Мітчик М - 30х1гаєч")</f>
        <v>Мітчик М - 30х1гаєч</v>
      </c>
      <c r="C277" s="59" t="s">
        <v>6</v>
      </c>
      <c r="D277" s="59">
        <v>4</v>
      </c>
      <c r="E277" s="91" t="s">
        <v>1874</v>
      </c>
    </row>
    <row r="278" spans="1:5">
      <c r="A278" s="21">
        <f t="shared" si="5"/>
        <v>271</v>
      </c>
      <c r="B278" s="85" t="str">
        <f ca="1">IFERROR(__xludf.DUMMYFUNCTION("GOOGLETRANSLATE(B3462:B3477,""RU"",""UK"")"),"Мітчик М - 30х1,5гаєч.")</f>
        <v>Мітчик М - 30х1,5гаєч.</v>
      </c>
      <c r="C278" s="59" t="s">
        <v>6</v>
      </c>
      <c r="D278" s="59">
        <v>1</v>
      </c>
      <c r="E278" s="91" t="s">
        <v>1874</v>
      </c>
    </row>
    <row r="279" spans="1:5">
      <c r="A279" s="21">
        <f t="shared" si="5"/>
        <v>272</v>
      </c>
      <c r="B279" s="85" t="str">
        <f ca="1">IFERROR(__xludf.DUMMYFUNCTION("GOOGLETRANSLATE(B3462:B3477,""RU"",""UK"")"),"Мітчик М - 30х2 гаєч.")</f>
        <v>Мітчик М - 30х2 гаєч.</v>
      </c>
      <c r="C279" s="59" t="s">
        <v>6</v>
      </c>
      <c r="D279" s="59">
        <v>44</v>
      </c>
      <c r="E279" s="91" t="s">
        <v>1874</v>
      </c>
    </row>
    <row r="280" spans="1:5">
      <c r="A280" s="21">
        <f t="shared" si="5"/>
        <v>273</v>
      </c>
      <c r="B280" s="85" t="str">
        <f ca="1">IFERROR(__xludf.DUMMYFUNCTION("GOOGLETRANSLATE(B3463:B3478,""RU"",""UK"")"),"Мітчик М - 30х1 маш.")</f>
        <v>Мітчик М - 30х1 маш.</v>
      </c>
      <c r="C280" s="59" t="s">
        <v>6</v>
      </c>
      <c r="D280" s="59">
        <v>17</v>
      </c>
      <c r="E280" s="91" t="s">
        <v>842</v>
      </c>
    </row>
    <row r="281" spans="1:5">
      <c r="A281" s="21">
        <f t="shared" si="5"/>
        <v>274</v>
      </c>
      <c r="B281" s="85" t="str">
        <f ca="1">IFERROR(__xludf.DUMMYFUNCTION("GOOGLETRANSLATE(B3463:B3478,""RU"",""UK"")"),"Мітчик М - 30х1, 5 маш.")</f>
        <v>Мітчик М - 30х1, 5 маш.</v>
      </c>
      <c r="C281" s="59" t="s">
        <v>6</v>
      </c>
      <c r="D281" s="59">
        <v>19</v>
      </c>
      <c r="E281" s="91" t="s">
        <v>842</v>
      </c>
    </row>
    <row r="282" spans="1:5">
      <c r="A282" s="21">
        <f t="shared" si="5"/>
        <v>275</v>
      </c>
      <c r="B282" s="85" t="str">
        <f ca="1">IFERROR(__xludf.DUMMYFUNCTION("GOOGLETRANSLATE(B3464:B3479,""RU"",""UK"")"),"Мітчик М - 30х2 маш.")</f>
        <v>Мітчик М - 30х2 маш.</v>
      </c>
      <c r="C282" s="59" t="s">
        <v>6</v>
      </c>
      <c r="D282" s="59">
        <v>17</v>
      </c>
      <c r="E282" s="91" t="s">
        <v>842</v>
      </c>
    </row>
    <row r="283" spans="1:5">
      <c r="A283" s="21">
        <f t="shared" si="5"/>
        <v>276</v>
      </c>
      <c r="B283" s="85" t="str">
        <f ca="1">IFERROR(__xludf.DUMMYFUNCTION("GOOGLETRANSLATE(B3464:B3479,""RU"",""UK"")"),"Мітчик М - 30х3 маш.")</f>
        <v>Мітчик М - 30х3 маш.</v>
      </c>
      <c r="C283" s="59" t="s">
        <v>6</v>
      </c>
      <c r="D283" s="59" t="s">
        <v>6126</v>
      </c>
      <c r="E283" s="91" t="s">
        <v>842</v>
      </c>
    </row>
    <row r="284" spans="1:5">
      <c r="A284" s="21">
        <f t="shared" si="5"/>
        <v>277</v>
      </c>
      <c r="B284" s="85" t="str">
        <f ca="1">IFERROR(__xludf.DUMMYFUNCTION("GOOGLETRANSLATE(B3465:B3480,""RU"",""UK"")"),"Мітчик М - 30 маш./руч.")</f>
        <v>Мітчик М - 30 маш./руч.</v>
      </c>
      <c r="C284" s="59" t="s">
        <v>4370</v>
      </c>
      <c r="D284" s="59">
        <v>21</v>
      </c>
      <c r="E284" s="91" t="s">
        <v>4606</v>
      </c>
    </row>
    <row r="285" spans="1:5">
      <c r="A285" s="21">
        <f t="shared" si="5"/>
        <v>278</v>
      </c>
      <c r="B285" s="85" t="str">
        <f ca="1">IFERROR(__xludf.DUMMYFUNCTION("GOOGLETRANSLATE(B3466:B3481,""RU"",""UK"")"),"Мітчик М - 30х1 маш./руч.")</f>
        <v>Мітчик М - 30х1 маш./руч.</v>
      </c>
      <c r="C285" s="59" t="s">
        <v>4370</v>
      </c>
      <c r="D285" s="59">
        <v>10</v>
      </c>
      <c r="E285" s="91" t="s">
        <v>4606</v>
      </c>
    </row>
    <row r="286" spans="1:5">
      <c r="A286" s="21">
        <f t="shared" si="5"/>
        <v>279</v>
      </c>
      <c r="B286" s="85" t="str">
        <f ca="1">IFERROR(__xludf.DUMMYFUNCTION("GOOGLETRANSLATE(B3466:B3481,""RU"",""UK"")"),"Мітчик М - 30х1,5 маш./руч.")</f>
        <v>Мітчик М - 30х1,5 маш./руч.</v>
      </c>
      <c r="C286" s="59" t="s">
        <v>4370</v>
      </c>
      <c r="D286" s="59">
        <v>7</v>
      </c>
      <c r="E286" s="91" t="s">
        <v>4606</v>
      </c>
    </row>
    <row r="287" spans="1:5">
      <c r="A287" s="21">
        <f t="shared" si="5"/>
        <v>280</v>
      </c>
      <c r="B287" s="85" t="str">
        <f ca="1">IFERROR(__xludf.DUMMYFUNCTION("GOOGLETRANSLATE(B3467:B3482,""RU"",""UK"")"),"Мітчик М - 30х2 маш./руч.")</f>
        <v>Мітчик М - 30х2 маш./руч.</v>
      </c>
      <c r="C287" s="59" t="s">
        <v>4370</v>
      </c>
      <c r="D287" s="59">
        <v>13</v>
      </c>
      <c r="E287" s="91" t="s">
        <v>4606</v>
      </c>
    </row>
    <row r="288" spans="1:5">
      <c r="A288" s="21">
        <f t="shared" si="5"/>
        <v>281</v>
      </c>
      <c r="B288" s="164" t="str">
        <f ca="1">IFERROR(__xludf.DUMMYFUNCTION("GOOGLETRANSLATE(B3467:B3482,""RU"",""UK"")"),"Мітчик М - 30х3 маш./руч.")</f>
        <v>Мітчик М - 30х3 маш./руч.</v>
      </c>
      <c r="C288" s="59" t="s">
        <v>4370</v>
      </c>
      <c r="D288" s="59">
        <v>0</v>
      </c>
      <c r="E288" s="91" t="s">
        <v>4606</v>
      </c>
    </row>
    <row r="289" spans="1:5">
      <c r="A289" s="21">
        <f t="shared" si="5"/>
        <v>282</v>
      </c>
      <c r="B289" s="85" t="str">
        <f ca="1">IFERROR(__xludf.DUMMYFUNCTION("GOOGLETRANSLATE(B3468:B3483,""RU"",""UK"")"),"Мітчик М - 30х1,5 лев. маш./руч.")</f>
        <v>Мітчик М - 30х1,5 лев. маш./руч.</v>
      </c>
      <c r="C289" s="59" t="s">
        <v>4370</v>
      </c>
      <c r="D289" s="59">
        <v>2</v>
      </c>
      <c r="E289" s="91" t="s">
        <v>71</v>
      </c>
    </row>
    <row r="290" spans="1:5">
      <c r="A290" s="21">
        <f t="shared" si="5"/>
        <v>283</v>
      </c>
      <c r="B290" s="85" t="str">
        <f ca="1">IFERROR(__xludf.DUMMYFUNCTION("GOOGLETRANSLATE(B3469:B3484,""RU"",""UK"")"),"Мітчик М - 30лев.")</f>
        <v>Мітчик М - 30лев.</v>
      </c>
      <c r="C290" s="59" t="s">
        <v>4370</v>
      </c>
      <c r="D290" s="59">
        <v>11</v>
      </c>
      <c r="E290" s="91" t="s">
        <v>71</v>
      </c>
    </row>
    <row r="291" spans="1:5">
      <c r="A291" s="21">
        <f t="shared" si="5"/>
        <v>284</v>
      </c>
      <c r="B291" s="85" t="str">
        <f ca="1">IFERROR(__xludf.DUMMYFUNCTION("GOOGLETRANSLATE(B3470:B3485,""RU"",""UK"")"),"Мітчик М - 32х3 маш./руч. (3 шт)")</f>
        <v>Мітчик М - 32х3 маш./руч. (3 шт)</v>
      </c>
      <c r="C291" s="59" t="s">
        <v>4370</v>
      </c>
      <c r="D291" s="59">
        <v>1</v>
      </c>
      <c r="E291" s="91" t="s">
        <v>4606</v>
      </c>
    </row>
    <row r="292" spans="1:5">
      <c r="A292" s="21">
        <f t="shared" si="5"/>
        <v>285</v>
      </c>
      <c r="B292" s="224" t="str">
        <f ca="1">IFERROR(__xludf.DUMMYFUNCTION("GOOGLETRANSLATE(B3471:B3486,""RU"",""UK"")"),"Мітчик М - 32х3 трапеція правий Р6М5 ")</f>
        <v xml:space="preserve">Мітчик М - 32х3 трапеція правий Р6М5 </v>
      </c>
      <c r="C292" s="59" t="s">
        <v>6</v>
      </c>
      <c r="D292" s="59">
        <v>1</v>
      </c>
      <c r="E292" s="91" t="s">
        <v>914</v>
      </c>
    </row>
    <row r="293" spans="1:5">
      <c r="A293" s="21">
        <f t="shared" si="5"/>
        <v>286</v>
      </c>
      <c r="B293" s="85" t="str">
        <f ca="1">IFERROR(__xludf.DUMMYFUNCTION("GOOGLETRANSLATE(B3472:B3487,""RU"",""UK"")"),"Мітчик М - 33 маш./руч.")</f>
        <v>Мітчик М - 33 маш./руч.</v>
      </c>
      <c r="C293" s="59" t="s">
        <v>4370</v>
      </c>
      <c r="D293" s="59">
        <v>71</v>
      </c>
      <c r="E293" s="91" t="s">
        <v>4606</v>
      </c>
    </row>
    <row r="294" spans="1:5">
      <c r="A294" s="21">
        <f t="shared" si="5"/>
        <v>287</v>
      </c>
      <c r="B294" s="85" t="str">
        <f ca="1">IFERROR(__xludf.DUMMYFUNCTION("GOOGLETRANSLATE(B3473:B3488,""RU"",""UK"")"),"Мітчик М - 33 маш./руч.(з 3-х шт)")</f>
        <v>Мітчик М - 33 маш./руч.(з 3-х шт)</v>
      </c>
      <c r="C294" s="59" t="s">
        <v>4370</v>
      </c>
      <c r="D294" s="59">
        <v>3</v>
      </c>
      <c r="E294" s="91" t="s">
        <v>4606</v>
      </c>
    </row>
    <row r="295" spans="1:5">
      <c r="A295" s="21">
        <f t="shared" si="5"/>
        <v>288</v>
      </c>
      <c r="B295" s="85" t="str">
        <f ca="1">IFERROR(__xludf.DUMMYFUNCTION("GOOGLETRANSLATE(B3474:B3489,""RU"",""UK"")"),"Мітчик М - 33х1, 5лев. маш./руч.")</f>
        <v>Мітчик М - 33х1, 5лев. маш./руч.</v>
      </c>
      <c r="C295" s="59" t="s">
        <v>4370</v>
      </c>
      <c r="D295" s="59">
        <v>2</v>
      </c>
      <c r="E295" s="91" t="s">
        <v>4606</v>
      </c>
    </row>
    <row r="296" spans="1:5">
      <c r="A296" s="21">
        <f t="shared" si="5"/>
        <v>289</v>
      </c>
      <c r="B296" s="85" t="str">
        <f ca="1">IFERROR(__xludf.DUMMYFUNCTION("GOOGLETRANSLATE(B3474:B3489,""RU"",""UK"")"),"Мітчик М - 33лев. маш./руч.")</f>
        <v>Мітчик М - 33лев. маш./руч.</v>
      </c>
      <c r="C296" s="59" t="s">
        <v>4370</v>
      </c>
      <c r="D296" s="59">
        <v>12</v>
      </c>
      <c r="E296" s="91" t="s">
        <v>4606</v>
      </c>
    </row>
    <row r="297" spans="1:5">
      <c r="A297" s="21">
        <f t="shared" si="5"/>
        <v>290</v>
      </c>
      <c r="B297" s="85" t="str">
        <f ca="1">IFERROR(__xludf.DUMMYFUNCTION("GOOGLETRANSLATE(B3475:B3490,""RU"",""UK"")"),"Мітчик М - 33х1 маш./руч.")</f>
        <v>Мітчик М - 33х1 маш./руч.</v>
      </c>
      <c r="C297" s="59" t="s">
        <v>4370</v>
      </c>
      <c r="D297" s="59">
        <v>2</v>
      </c>
      <c r="E297" s="91" t="s">
        <v>4606</v>
      </c>
    </row>
    <row r="298" spans="1:5">
      <c r="A298" s="21">
        <f t="shared" si="5"/>
        <v>291</v>
      </c>
      <c r="B298" s="85" t="str">
        <f ca="1">IFERROR(__xludf.DUMMYFUNCTION("GOOGLETRANSLATE(B3475:B3490,""RU"",""UK"")"),"Мітчик М - 33х1,5 маш./руч.")</f>
        <v>Мітчик М - 33х1,5 маш./руч.</v>
      </c>
      <c r="C298" s="59" t="s">
        <v>4370</v>
      </c>
      <c r="D298" s="59">
        <v>34</v>
      </c>
      <c r="E298" s="91" t="s">
        <v>4606</v>
      </c>
    </row>
    <row r="299" spans="1:5">
      <c r="A299" s="21">
        <f t="shared" si="5"/>
        <v>292</v>
      </c>
      <c r="B299" s="85" t="str">
        <f ca="1">IFERROR(__xludf.DUMMYFUNCTION("GOOGLETRANSLATE(B3476:B3491,""RU"",""UK"")"),"Мітчик М - 33гаєч.")</f>
        <v>Мітчик М - 33гаєч.</v>
      </c>
      <c r="C299" s="59" t="s">
        <v>6</v>
      </c>
      <c r="D299" s="59">
        <v>2</v>
      </c>
      <c r="E299" s="91" t="s">
        <v>663</v>
      </c>
    </row>
    <row r="300" spans="1:5">
      <c r="A300" s="21">
        <f t="shared" si="5"/>
        <v>293</v>
      </c>
      <c r="B300" s="85" t="str">
        <f ca="1">IFERROR(__xludf.DUMMYFUNCTION("GOOGLETRANSLATE(B3476:B3491,""RU"",""UK"")"),"Мітчик М - 33х2гаєч.")</f>
        <v>Мітчик М - 33х2гаєч.</v>
      </c>
      <c r="C300" s="59" t="s">
        <v>6</v>
      </c>
      <c r="D300" s="59">
        <v>8</v>
      </c>
      <c r="E300" s="91" t="s">
        <v>663</v>
      </c>
    </row>
    <row r="301" spans="1:5">
      <c r="A301" s="21">
        <f t="shared" si="5"/>
        <v>294</v>
      </c>
      <c r="B301" s="85" t="str">
        <f ca="1">IFERROR(__xludf.DUMMYFUNCTION("GOOGLETRANSLATE(B3477:B3492,""RU"",""UK"")"),"Мітчик М - 33х1,5 лев.")</f>
        <v>Мітчик М - 33х1,5 лев.</v>
      </c>
      <c r="C301" s="59" t="s">
        <v>4370</v>
      </c>
      <c r="D301" s="59">
        <v>2</v>
      </c>
      <c r="E301" s="91" t="s">
        <v>80</v>
      </c>
    </row>
    <row r="302" spans="1:5">
      <c r="A302" s="21">
        <f t="shared" si="5"/>
        <v>295</v>
      </c>
      <c r="B302" s="85" t="str">
        <f ca="1">IFERROR(__xludf.DUMMYFUNCTION("GOOGLETRANSLATE(B3478:B3493,""RU"",""UK"")"),"Мітчик М - 33х1,5 лев.")</f>
        <v>Мітчик М - 33х1,5 лев.</v>
      </c>
      <c r="C302" s="59" t="s">
        <v>6</v>
      </c>
      <c r="D302" s="59">
        <v>7</v>
      </c>
      <c r="E302" s="91" t="s">
        <v>1874</v>
      </c>
    </row>
    <row r="303" spans="1:5">
      <c r="A303" s="21">
        <f t="shared" si="5"/>
        <v>296</v>
      </c>
      <c r="B303" s="85" t="str">
        <f ca="1">IFERROR(__xludf.DUMMYFUNCTION("GOOGLETRANSLATE(B3478:B3493,""RU"",""UK"")"),"Мітчик М - 33х2 лів. Р18")</f>
        <v>Мітчик М - 33х2 лів. Р18</v>
      </c>
      <c r="C303" s="59" t="s">
        <v>6</v>
      </c>
      <c r="D303" s="59">
        <v>1</v>
      </c>
      <c r="E303" s="91" t="s">
        <v>1874</v>
      </c>
    </row>
    <row r="304" spans="1:5">
      <c r="A304" s="21">
        <f t="shared" si="5"/>
        <v>297</v>
      </c>
      <c r="B304" s="85" t="str">
        <f ca="1">IFERROR(__xludf.DUMMYFUNCTION("GOOGLETRANSLATE(B3478:B3493,""RU"",""UK"")"),"Мітчик М - 33х3 лів")</f>
        <v>Мітчик М - 33х3 лів</v>
      </c>
      <c r="C304" s="59" t="s">
        <v>6</v>
      </c>
      <c r="D304" s="59">
        <v>2</v>
      </c>
      <c r="E304" s="91" t="s">
        <v>1874</v>
      </c>
    </row>
    <row r="305" spans="1:5">
      <c r="A305" s="21">
        <f t="shared" si="5"/>
        <v>298</v>
      </c>
      <c r="B305" s="85" t="str">
        <f ca="1">IFERROR(__xludf.DUMMYFUNCTION("GOOGLETRANSLATE(B3479:B3494,""RU"",""UK"")"),"Мітчик М - 33маш.")</f>
        <v>Мітчик М - 33маш.</v>
      </c>
      <c r="C305" s="59" t="s">
        <v>6</v>
      </c>
      <c r="D305" s="59">
        <v>46</v>
      </c>
      <c r="E305" s="91" t="s">
        <v>842</v>
      </c>
    </row>
    <row r="306" spans="1:5">
      <c r="A306" s="21">
        <f t="shared" si="5"/>
        <v>299</v>
      </c>
      <c r="B306" s="85" t="str">
        <f ca="1">IFERROR(__xludf.DUMMYFUNCTION("GOOGLETRANSLATE(B3479:B3494,""RU"",""UK"")"),"Мітчик М - 33х0, 75 маш.")</f>
        <v>Мітчик М - 33х0, 75 маш.</v>
      </c>
      <c r="C306" s="59" t="s">
        <v>6</v>
      </c>
      <c r="D306" s="59">
        <v>1</v>
      </c>
      <c r="E306" s="91" t="s">
        <v>842</v>
      </c>
    </row>
    <row r="307" spans="1:5">
      <c r="A307" s="21">
        <f t="shared" si="5"/>
        <v>300</v>
      </c>
      <c r="B307" s="85" t="str">
        <f ca="1">IFERROR(__xludf.DUMMYFUNCTION("GOOGLETRANSLATE(B3479:B3494,""RU"",""UK"")"),"Мітчик М - 33х1маш.")</f>
        <v>Мітчик М - 33х1маш.</v>
      </c>
      <c r="C307" s="59" t="s">
        <v>6</v>
      </c>
      <c r="D307" s="59">
        <v>3</v>
      </c>
      <c r="E307" s="91" t="s">
        <v>842</v>
      </c>
    </row>
    <row r="308" spans="1:5">
      <c r="A308" s="21">
        <f t="shared" si="5"/>
        <v>301</v>
      </c>
      <c r="B308" s="85" t="str">
        <f ca="1">IFERROR(__xludf.DUMMYFUNCTION("GOOGLETRANSLATE(B3480:B3495,""RU"",""UK"")"),"Мітчик М - 33х1, 5 маш.")</f>
        <v>Мітчик М - 33х1, 5 маш.</v>
      </c>
      <c r="C308" s="59" t="s">
        <v>6</v>
      </c>
      <c r="D308" s="59">
        <v>8</v>
      </c>
      <c r="E308" s="91" t="s">
        <v>842</v>
      </c>
    </row>
    <row r="309" spans="1:5">
      <c r="A309" s="21">
        <f t="shared" si="5"/>
        <v>302</v>
      </c>
      <c r="B309" s="85" t="str">
        <f ca="1">IFERROR(__xludf.DUMMYFUNCTION("GOOGLETRANSLATE(B3480:B3495,""RU"",""UK"")"),"Мітчик М - 33х1, 5ВК8 маш.")</f>
        <v>Мітчик М - 33х1, 5ВК8 маш.</v>
      </c>
      <c r="C309" s="59" t="s">
        <v>6</v>
      </c>
      <c r="D309" s="59">
        <v>11</v>
      </c>
      <c r="E309" s="91" t="s">
        <v>842</v>
      </c>
    </row>
    <row r="310" spans="1:5">
      <c r="A310" s="21">
        <f t="shared" si="5"/>
        <v>303</v>
      </c>
      <c r="B310" s="85" t="str">
        <f ca="1">IFERROR(__xludf.DUMMYFUNCTION("GOOGLETRANSLATE(B3481:B3496,""RU"",""UK"")"),"Мітчик М - 33х2")</f>
        <v>Мітчик М - 33х2</v>
      </c>
      <c r="C310" s="59" t="s">
        <v>6</v>
      </c>
      <c r="D310" s="59">
        <v>43</v>
      </c>
      <c r="E310" s="91" t="s">
        <v>842</v>
      </c>
    </row>
    <row r="311" spans="1:5">
      <c r="A311" s="21">
        <f t="shared" si="5"/>
        <v>304</v>
      </c>
      <c r="B311" s="85" t="str">
        <f ca="1">IFERROR(__xludf.DUMMYFUNCTION("GOOGLETRANSLATE(B3481:B3496,""RU"",""UK"")"),"Мітчик М - 33х2ВК8")</f>
        <v>Мітчик М - 33х2ВК8</v>
      </c>
      <c r="C311" s="59" t="s">
        <v>6</v>
      </c>
      <c r="D311" s="59">
        <v>10</v>
      </c>
      <c r="E311" s="91" t="s">
        <v>842</v>
      </c>
    </row>
    <row r="312" spans="1:5">
      <c r="A312" s="21">
        <f t="shared" si="5"/>
        <v>305</v>
      </c>
      <c r="B312" s="85" t="str">
        <f ca="1">IFERROR(__xludf.DUMMYFUNCTION("GOOGLETRANSLATE(B3481:B3496,""RU"",""UK"")"),"Мітчик М - 33х3")</f>
        <v>Мітчик М - 33х3</v>
      </c>
      <c r="C312" s="59" t="s">
        <v>6</v>
      </c>
      <c r="D312" s="59">
        <v>12</v>
      </c>
      <c r="E312" s="91" t="s">
        <v>842</v>
      </c>
    </row>
    <row r="313" spans="1:5">
      <c r="A313" s="21">
        <f t="shared" si="5"/>
        <v>306</v>
      </c>
      <c r="B313" s="85" t="str">
        <f ca="1">IFERROR(__xludf.DUMMYFUNCTION("GOOGLETRANSLATE(B3482:B3497,""RU"",""UK"")"),"Мітчик М - 33х2 маш./руч.")</f>
        <v>Мітчик М - 33х2 маш./руч.</v>
      </c>
      <c r="C313" s="59" t="s">
        <v>4370</v>
      </c>
      <c r="D313" s="59">
        <v>29</v>
      </c>
      <c r="E313" s="91" t="s">
        <v>4606</v>
      </c>
    </row>
    <row r="314" spans="1:5">
      <c r="A314" s="21">
        <f>A313+1</f>
        <v>307</v>
      </c>
      <c r="B314" s="85" t="str">
        <f ca="1">IFERROR(__xludf.DUMMYFUNCTION("GOOGLETRANSLATE(B3482:B3497,""RU"",""UK"")"),"Мітчик М - 33х3 маш./руч.")</f>
        <v>Мітчик М - 33х3 маш./руч.</v>
      </c>
      <c r="C314" s="59" t="s">
        <v>4370</v>
      </c>
      <c r="D314" s="59">
        <v>1</v>
      </c>
      <c r="E314" s="91" t="s">
        <v>4606</v>
      </c>
    </row>
    <row r="315" spans="1:5">
      <c r="A315" s="21">
        <f t="shared" si="5"/>
        <v>308</v>
      </c>
      <c r="B315" s="85" t="str">
        <f ca="1">IFERROR(__xludf.DUMMYFUNCTION("GOOGLETRANSLATE(B3483:B3498,""RU"",""UK"")"),"Мітчик М - 35х1,25")</f>
        <v>Мітчик М - 35х1,25</v>
      </c>
      <c r="C315" s="59" t="s">
        <v>6</v>
      </c>
      <c r="D315" s="59">
        <v>1</v>
      </c>
      <c r="E315" s="91" t="s">
        <v>63</v>
      </c>
    </row>
    <row r="316" spans="1:5">
      <c r="A316" s="21">
        <f t="shared" si="5"/>
        <v>309</v>
      </c>
      <c r="B316" s="85" t="str">
        <f ca="1">IFERROR(__xludf.DUMMYFUNCTION("GOOGLETRANSLATE(B3484:B3499,""RU"",""UK"")"),"Мітчик М - 36х1 маш.")</f>
        <v>Мітчик М - 36х1 маш.</v>
      </c>
      <c r="C316" s="59" t="s">
        <v>6</v>
      </c>
      <c r="D316" s="59">
        <v>2</v>
      </c>
      <c r="E316" s="91">
        <v>660</v>
      </c>
    </row>
    <row r="317" spans="1:5">
      <c r="A317" s="21">
        <f t="shared" si="5"/>
        <v>310</v>
      </c>
      <c r="B317" s="85" t="str">
        <f ca="1">IFERROR(__xludf.DUMMYFUNCTION("GOOGLETRANSLATE(B3484:B3499,""RU"",""UK"")"),"Мітчик М - 36х1,5 ВК8 маш.")</f>
        <v>Мітчик М - 36х1,5 ВК8 маш.</v>
      </c>
      <c r="C317" s="59" t="s">
        <v>6</v>
      </c>
      <c r="D317" s="59">
        <v>10</v>
      </c>
      <c r="E317" s="91">
        <v>690</v>
      </c>
    </row>
    <row r="318" spans="1:5">
      <c r="A318" s="21">
        <f t="shared" si="5"/>
        <v>311</v>
      </c>
      <c r="B318" s="85" t="str">
        <f ca="1">IFERROR(__xludf.DUMMYFUNCTION("GOOGLETRANSLATE(B3484:B3499,""RU"",""UK"")"),"Мітчик М - 36х1,5 маш.")</f>
        <v>Мітчик М - 36х1,5 маш.</v>
      </c>
      <c r="C318" s="59" t="s">
        <v>6</v>
      </c>
      <c r="D318" s="59">
        <v>29</v>
      </c>
      <c r="E318" s="91">
        <v>690</v>
      </c>
    </row>
    <row r="319" spans="1:5">
      <c r="A319" s="21">
        <f t="shared" si="5"/>
        <v>312</v>
      </c>
      <c r="B319" s="85" t="str">
        <f ca="1">IFERROR(__xludf.DUMMYFUNCTION("GOOGLETRANSLATE(B3485:B3500,""RU"",""UK"")"),"Мітчик М - 36 маш./руч. Р6М5 з 3х штук")</f>
        <v>Мітчик М - 36 маш./руч. Р6М5 з 3х штук</v>
      </c>
      <c r="C319" s="59" t="s">
        <v>4370</v>
      </c>
      <c r="D319" s="59">
        <v>9</v>
      </c>
      <c r="E319" s="91">
        <v>1200</v>
      </c>
    </row>
    <row r="320" spans="1:5">
      <c r="A320" s="21">
        <f t="shared" si="5"/>
        <v>313</v>
      </c>
      <c r="B320" s="85" t="str">
        <f ca="1">IFERROR(__xludf.DUMMYFUNCTION("GOOGLETRANSLATE(B3486:B3501,""RU"",""UK"")"),"Мітчик М - 36 маш/руч Р6М5 (з 2-х штук)")</f>
        <v>Мітчик М - 36 маш/руч Р6М5 (з 2-х штук)</v>
      </c>
      <c r="C320" s="59" t="s">
        <v>4370</v>
      </c>
      <c r="D320" s="59">
        <v>2</v>
      </c>
      <c r="E320" s="91">
        <v>1000</v>
      </c>
    </row>
    <row r="321" spans="1:5">
      <c r="A321" s="21">
        <f t="shared" si="5"/>
        <v>314</v>
      </c>
      <c r="B321" s="85" t="str">
        <f ca="1">IFERROR(__xludf.DUMMYFUNCTION("GOOGLETRANSLATE(B3487:B3502,""RU"",""UK"")"),"Мітчик М - 36 маш.")</f>
        <v>Мітчик М - 36 маш.</v>
      </c>
      <c r="C321" s="59" t="s">
        <v>6</v>
      </c>
      <c r="D321" s="59">
        <v>17</v>
      </c>
      <c r="E321" s="91" t="s">
        <v>1874</v>
      </c>
    </row>
    <row r="322" spans="1:5">
      <c r="A322" s="21">
        <f t="shared" si="5"/>
        <v>315</v>
      </c>
      <c r="B322" s="85" t="str">
        <f ca="1">IFERROR(__xludf.DUMMYFUNCTION("GOOGLETRANSLATE(B3487:B3502,""RU"",""UK"")"),"Мітчик М - 36 гаєч.")</f>
        <v>Мітчик М - 36 гаєч.</v>
      </c>
      <c r="C322" s="59" t="s">
        <v>6</v>
      </c>
      <c r="D322" s="59">
        <v>2</v>
      </c>
      <c r="E322" s="91" t="s">
        <v>1874</v>
      </c>
    </row>
    <row r="323" spans="1:5">
      <c r="A323" s="21">
        <f t="shared" si="5"/>
        <v>316</v>
      </c>
      <c r="B323" s="85" t="str">
        <f ca="1">IFERROR(__xludf.DUMMYFUNCTION("GOOGLETRANSLATE(B3488:B3503,""RU"",""UK"")"),"Мітчик М - 36х2 маш.")</f>
        <v>Мітчик М - 36х2 маш.</v>
      </c>
      <c r="C323" s="59" t="s">
        <v>6</v>
      </c>
      <c r="D323" s="59">
        <v>32</v>
      </c>
      <c r="E323" s="91" t="s">
        <v>1874</v>
      </c>
    </row>
    <row r="324" spans="1:5">
      <c r="A324" s="21">
        <f t="shared" si="5"/>
        <v>317</v>
      </c>
      <c r="B324" s="85" t="str">
        <f ca="1">IFERROR(__xludf.DUMMYFUNCTION("GOOGLETRANSLATE(B3488:B3503,""RU"",""UK"")"),"Мітчик М - 36х2ВК8 маш.")</f>
        <v>Мітчик М - 36х2ВК8 маш.</v>
      </c>
      <c r="C324" s="59" t="s">
        <v>6</v>
      </c>
      <c r="D324" s="59">
        <v>2</v>
      </c>
      <c r="E324" s="91" t="s">
        <v>1874</v>
      </c>
    </row>
    <row r="325" spans="1:5">
      <c r="A325" s="21">
        <f t="shared" si="5"/>
        <v>318</v>
      </c>
      <c r="B325" s="85" t="str">
        <f ca="1">IFERROR(__xludf.DUMMYFUNCTION("GOOGLETRANSLATE(B3488:B3503,""RU"",""UK"")"),"Мітчик М - 36х3 маш.")</f>
        <v>Мітчик М - 36х3 маш.</v>
      </c>
      <c r="C325" s="59" t="s">
        <v>6</v>
      </c>
      <c r="D325" s="59">
        <v>6</v>
      </c>
      <c r="E325" s="91" t="s">
        <v>1874</v>
      </c>
    </row>
    <row r="326" spans="1:5">
      <c r="A326" s="21">
        <f t="shared" si="5"/>
        <v>319</v>
      </c>
      <c r="B326" s="85" t="str">
        <f ca="1">IFERROR(__xludf.DUMMYFUNCTION("GOOGLETRANSLATE(B3489:B3504,""RU"",""UK"")"),"Мітчик М - 36х1 маш./руч.")</f>
        <v>Мітчик М - 36х1 маш./руч.</v>
      </c>
      <c r="C326" s="59" t="s">
        <v>4370</v>
      </c>
      <c r="D326" s="59">
        <v>1</v>
      </c>
      <c r="E326" s="91" t="s">
        <v>29</v>
      </c>
    </row>
    <row r="327" spans="1:5">
      <c r="A327" s="21">
        <f t="shared" si="5"/>
        <v>320</v>
      </c>
      <c r="B327" s="85" t="str">
        <f ca="1">IFERROR(__xludf.DUMMYFUNCTION("GOOGLETRANSLATE(B3489:B3504,""RU"",""UK"")"),"Мітчик М - 36х1,5 маш./руч.")</f>
        <v>Мітчик М - 36х1,5 маш./руч.</v>
      </c>
      <c r="C327" s="59" t="s">
        <v>4370</v>
      </c>
      <c r="D327" s="59">
        <v>26</v>
      </c>
      <c r="E327" s="91" t="s">
        <v>29</v>
      </c>
    </row>
    <row r="328" spans="1:5">
      <c r="A328" s="21">
        <f t="shared" si="5"/>
        <v>321</v>
      </c>
      <c r="B328" s="85" t="str">
        <f ca="1">IFERROR(__xludf.DUMMYFUNCTION("GOOGLETRANSLATE(B3490:B3505,""RU"",""UK"")"),"Мітчик М - 36х2 маш./руч.")</f>
        <v>Мітчик М - 36х2 маш./руч.</v>
      </c>
      <c r="C328" s="59" t="s">
        <v>4370</v>
      </c>
      <c r="D328" s="59">
        <v>49</v>
      </c>
      <c r="E328" s="91" t="s">
        <v>29</v>
      </c>
    </row>
    <row r="329" spans="1:5">
      <c r="A329" s="21">
        <f t="shared" si="5"/>
        <v>322</v>
      </c>
      <c r="B329" s="85" t="str">
        <f ca="1">IFERROR(__xludf.DUMMYFUNCTION("GOOGLETRANSLATE(B3490:B3505,""RU"",""UK"")"),"Мітчик М - 36х3 маш./руч.")</f>
        <v>Мітчик М - 36х3 маш./руч.</v>
      </c>
      <c r="C329" s="59" t="s">
        <v>4370</v>
      </c>
      <c r="D329" s="59">
        <v>7</v>
      </c>
      <c r="E329" s="91" t="s">
        <v>29</v>
      </c>
    </row>
    <row r="330" spans="1:5">
      <c r="A330" s="21">
        <f t="shared" si="5"/>
        <v>323</v>
      </c>
      <c r="B330" s="85" t="str">
        <f ca="1">IFERROR(__xludf.DUMMYFUNCTION("GOOGLETRANSLATE(B3491:B3506,""RU"",""UK"")"),"Мітчик М - 36 лев")</f>
        <v>Мітчик М - 36 лев</v>
      </c>
      <c r="C330" s="59" t="s">
        <v>6</v>
      </c>
      <c r="D330" s="59">
        <v>4</v>
      </c>
      <c r="E330" s="91" t="s">
        <v>1874</v>
      </c>
    </row>
    <row r="331" spans="1:5">
      <c r="A331" s="21">
        <f t="shared" si="5"/>
        <v>324</v>
      </c>
      <c r="B331" s="85" t="str">
        <f ca="1">IFERROR(__xludf.DUMMYFUNCTION("GOOGLETRANSLATE(B3492:B3507,""RU"",""UK"")"),"Мітчик М - 39 маш.")</f>
        <v>Мітчик М - 39 маш.</v>
      </c>
      <c r="C331" s="59" t="s">
        <v>6</v>
      </c>
      <c r="D331" s="59">
        <v>4</v>
      </c>
      <c r="E331" s="91" t="s">
        <v>1874</v>
      </c>
    </row>
    <row r="332" spans="1:5">
      <c r="A332" s="21">
        <f t="shared" si="5"/>
        <v>325</v>
      </c>
      <c r="B332" s="85" t="str">
        <f ca="1">IFERROR(__xludf.DUMMYFUNCTION("GOOGLETRANSLATE(B3493:B3508,""RU"",""UK"")"),"Мітчик М - 39х1")</f>
        <v>Мітчик М - 39х1</v>
      </c>
      <c r="C332" s="59" t="s">
        <v>6</v>
      </c>
      <c r="D332" s="59">
        <v>5</v>
      </c>
      <c r="E332" s="91" t="s">
        <v>1874</v>
      </c>
    </row>
    <row r="333" spans="1:5">
      <c r="A333" s="21">
        <f t="shared" si="5"/>
        <v>326</v>
      </c>
      <c r="B333" s="85" t="str">
        <f ca="1">IFERROR(__xludf.DUMMYFUNCTION("GOOGLETRANSLATE(B3493:B3508,""RU"",""UK"")"),"Мітчик М - 39х1,5")</f>
        <v>Мітчик М - 39х1,5</v>
      </c>
      <c r="C333" s="59" t="s">
        <v>6</v>
      </c>
      <c r="D333" s="59">
        <v>17</v>
      </c>
      <c r="E333" s="91" t="s">
        <v>1874</v>
      </c>
    </row>
    <row r="334" spans="1:5">
      <c r="A334" s="21">
        <f t="shared" si="5"/>
        <v>327</v>
      </c>
      <c r="B334" s="85" t="str">
        <f ca="1">IFERROR(__xludf.DUMMYFUNCTION("GOOGLETRANSLATE(B3493:B3508,""RU"",""UK"")"),"Мітчик М - 39х2")</f>
        <v>Мітчик М - 39х2</v>
      </c>
      <c r="C334" s="59" t="s">
        <v>6</v>
      </c>
      <c r="D334" s="59">
        <v>4</v>
      </c>
      <c r="E334" s="91" t="s">
        <v>1874</v>
      </c>
    </row>
    <row r="335" spans="1:5">
      <c r="A335" s="21">
        <f t="shared" si="5"/>
        <v>328</v>
      </c>
      <c r="B335" s="85" t="str">
        <f ca="1">IFERROR(__xludf.DUMMYFUNCTION("GOOGLETRANSLATE(B3493:B3508,""RU"",""UK"")"),"Мітчик М - 39х3")</f>
        <v>Мітчик М - 39х3</v>
      </c>
      <c r="C335" s="59" t="s">
        <v>6</v>
      </c>
      <c r="D335" s="59">
        <v>4</v>
      </c>
      <c r="E335" s="91" t="s">
        <v>1874</v>
      </c>
    </row>
    <row r="336" spans="1:5">
      <c r="A336" s="21">
        <f t="shared" si="5"/>
        <v>329</v>
      </c>
      <c r="B336" s="85" t="str">
        <f ca="1">IFERROR(__xludf.DUMMYFUNCTION("GOOGLETRANSLATE(B3494:B3509,""RU"",""UK"")"),"Мітчик М - 39х1.5гаєч.")</f>
        <v>Мітчик М - 39х1.5гаєч.</v>
      </c>
      <c r="C336" s="59" t="s">
        <v>6</v>
      </c>
      <c r="D336" s="59">
        <v>21</v>
      </c>
      <c r="E336" s="91" t="s">
        <v>1874</v>
      </c>
    </row>
    <row r="337" spans="1:5">
      <c r="A337" s="21">
        <f t="shared" si="5"/>
        <v>330</v>
      </c>
      <c r="B337" s="85" t="str">
        <f ca="1">IFERROR(__xludf.DUMMYFUNCTION("GOOGLETRANSLATE(B3495:B3510,""RU"",""UK"")"),"Мітчик М - 39")</f>
        <v>Мітчик М - 39</v>
      </c>
      <c r="C337" s="59" t="s">
        <v>4370</v>
      </c>
      <c r="D337" s="59">
        <v>21</v>
      </c>
      <c r="E337" s="91" t="s">
        <v>29</v>
      </c>
    </row>
    <row r="338" spans="1:5">
      <c r="A338" s="21">
        <f t="shared" si="5"/>
        <v>331</v>
      </c>
      <c r="B338" s="85" t="str">
        <f ca="1">IFERROR(__xludf.DUMMYFUNCTION("GOOGLETRANSLATE(B3495:B3510,""RU"",""UK"")"),"Мітчик М - 39х1")</f>
        <v>Мітчик М - 39х1</v>
      </c>
      <c r="C338" s="59" t="s">
        <v>4370</v>
      </c>
      <c r="D338" s="59">
        <v>4</v>
      </c>
      <c r="E338" s="91" t="s">
        <v>29</v>
      </c>
    </row>
    <row r="339" spans="1:5">
      <c r="A339" s="21">
        <f t="shared" si="5"/>
        <v>332</v>
      </c>
      <c r="B339" s="85" t="str">
        <f ca="1">IFERROR(__xludf.DUMMYFUNCTION("GOOGLETRANSLATE(B3496:B3511,""RU"",""UK"")"),"Мітчик М - 39 (з 3-х штук)")</f>
        <v>Мітчик М - 39 (з 3-х штук)</v>
      </c>
      <c r="C339" s="59" t="s">
        <v>4370</v>
      </c>
      <c r="D339" s="59">
        <v>6</v>
      </c>
      <c r="E339" s="91" t="s">
        <v>102</v>
      </c>
    </row>
    <row r="340" spans="1:5">
      <c r="A340" s="21">
        <f t="shared" si="5"/>
        <v>333</v>
      </c>
      <c r="B340" s="85" t="str">
        <f ca="1">IFERROR(__xludf.DUMMYFUNCTION("GOOGLETRANSLATE(B3497:B3512,""RU"",""UK"")"),"Мітчик М - 39х1,5 маш./руч")</f>
        <v>Мітчик М - 39х1,5 маш./руч</v>
      </c>
      <c r="C340" s="59" t="s">
        <v>4370</v>
      </c>
      <c r="D340" s="59">
        <v>18</v>
      </c>
      <c r="E340" s="91" t="s">
        <v>80</v>
      </c>
    </row>
    <row r="341" spans="1:5">
      <c r="A341" s="21">
        <f t="shared" si="5"/>
        <v>334</v>
      </c>
      <c r="B341" s="85" t="str">
        <f ca="1">IFERROR(__xludf.DUMMYFUNCTION("GOOGLETRANSLATE(B3497:B3512,""RU"",""UK"")"),"Мітчик М - 39х2 маш./руч")</f>
        <v>Мітчик М - 39х2 маш./руч</v>
      </c>
      <c r="C341" s="59" t="s">
        <v>4370</v>
      </c>
      <c r="D341" s="59">
        <v>3</v>
      </c>
      <c r="E341" s="91" t="s">
        <v>80</v>
      </c>
    </row>
    <row r="342" spans="1:5">
      <c r="A342" s="21">
        <f t="shared" si="5"/>
        <v>335</v>
      </c>
      <c r="B342" s="85" t="str">
        <f ca="1">IFERROR(__xludf.DUMMYFUNCTION("GOOGLETRANSLATE(B3498:B3513,""RU"",""UK"")"),"Мітчик М - 39х2 ВК8")</f>
        <v>Мітчик М - 39х2 ВК8</v>
      </c>
      <c r="C342" s="59" t="s">
        <v>6</v>
      </c>
      <c r="D342" s="59">
        <v>14</v>
      </c>
      <c r="E342" s="91" t="s">
        <v>1874</v>
      </c>
    </row>
    <row r="343" spans="1:5">
      <c r="A343" s="21">
        <f t="shared" si="5"/>
        <v>336</v>
      </c>
      <c r="B343" s="85" t="str">
        <f ca="1">IFERROR(__xludf.DUMMYFUNCTION("GOOGLETRANSLATE(B3499:B3514,""RU"",""UK"")"),"Мітчик М - 39х3 маш./руч.")</f>
        <v>Мітчик М - 39х3 маш./руч.</v>
      </c>
      <c r="C343" s="59" t="s">
        <v>4370</v>
      </c>
      <c r="D343" s="59">
        <v>24</v>
      </c>
      <c r="E343" s="91" t="s">
        <v>80</v>
      </c>
    </row>
    <row r="344" spans="1:5">
      <c r="A344" s="21">
        <f t="shared" si="5"/>
        <v>337</v>
      </c>
      <c r="B344" s="85" t="str">
        <f ca="1">IFERROR(__xludf.DUMMYFUNCTION("GOOGLETRANSLATE(B3499:B3514,""RU"",""UK"")"),"Мітчик М - 39х4 маш./руч.")</f>
        <v>Мітчик М - 39х4 маш./руч.</v>
      </c>
      <c r="C344" s="59" t="s">
        <v>4370</v>
      </c>
      <c r="D344" s="59">
        <v>10</v>
      </c>
      <c r="E344" s="91" t="s">
        <v>80</v>
      </c>
    </row>
    <row r="345" spans="1:5">
      <c r="A345" s="21">
        <f t="shared" si="5"/>
        <v>338</v>
      </c>
      <c r="B345" s="85" t="str">
        <f ca="1">IFERROR(__xludf.DUMMYFUNCTION("GOOGLETRANSLATE(B3500:B3515,""RU"",""UK"")"),"Мітчик М - 39х4 (з 3-х штук)")</f>
        <v>Мітчик М - 39х4 (з 3-х штук)</v>
      </c>
      <c r="C345" s="59" t="s">
        <v>4370</v>
      </c>
      <c r="D345" s="59">
        <v>9</v>
      </c>
      <c r="E345" s="91" t="s">
        <v>102</v>
      </c>
    </row>
    <row r="346" spans="1:5">
      <c r="A346" s="21">
        <f t="shared" si="5"/>
        <v>339</v>
      </c>
      <c r="B346" s="85" t="str">
        <f ca="1">IFERROR(__xludf.DUMMYFUNCTION("GOOGLETRANSLATE(B3501:B3516,""RU"",""UK"")"),"Мітчик М - 39х3 маш./руч. (Щербл.)")</f>
        <v>Мітчик М - 39х3 маш./руч. (Щербл.)</v>
      </c>
      <c r="C346" s="59" t="s">
        <v>4370</v>
      </c>
      <c r="D346" s="59">
        <v>1</v>
      </c>
      <c r="E346" s="91" t="s">
        <v>663</v>
      </c>
    </row>
    <row r="347" spans="1:5">
      <c r="A347" s="21">
        <f t="shared" ref="A347:A469" si="6">A346+1</f>
        <v>340</v>
      </c>
      <c r="B347" s="85" t="str">
        <f ca="1">IFERROR(__xludf.DUMMYFUNCTION("GOOGLETRANSLATE(B3502:B3517,""RU"",""UK"")"),"Мітчик М - 40х1,5 маш./руч.")</f>
        <v>Мітчик М - 40х1,5 маш./руч.</v>
      </c>
      <c r="C347" s="59" t="s">
        <v>6</v>
      </c>
      <c r="D347" s="59">
        <v>0</v>
      </c>
      <c r="E347" s="91" t="s">
        <v>1086</v>
      </c>
    </row>
    <row r="348" spans="1:5">
      <c r="A348" s="21">
        <f t="shared" si="6"/>
        <v>341</v>
      </c>
      <c r="B348" s="85" t="str">
        <f ca="1">IFERROR(__xludf.DUMMYFUNCTION("GOOGLETRANSLATE(B3503:B3518,""RU"",""UK"")"),"Мітчик М - 42скв.")</f>
        <v>Мітчик М - 42скв.</v>
      </c>
      <c r="C348" s="59" t="s">
        <v>6</v>
      </c>
      <c r="D348" s="59">
        <v>26</v>
      </c>
      <c r="E348" s="91" t="s">
        <v>1874</v>
      </c>
    </row>
    <row r="349" spans="1:5">
      <c r="A349" s="21">
        <f t="shared" si="6"/>
        <v>342</v>
      </c>
      <c r="B349" s="85" t="str">
        <f ca="1">IFERROR(__xludf.DUMMYFUNCTION("GOOGLETRANSLATE(B3504:B3519,""RU"",""UK"")"),"Мітчик М - 42лев")</f>
        <v>Мітчик М - 42лев</v>
      </c>
      <c r="C349" s="59" t="s">
        <v>6</v>
      </c>
      <c r="D349" s="59">
        <v>4</v>
      </c>
      <c r="E349" s="91" t="s">
        <v>88</v>
      </c>
    </row>
    <row r="350" spans="1:5">
      <c r="A350" s="21">
        <f t="shared" si="6"/>
        <v>343</v>
      </c>
      <c r="B350" s="85" t="str">
        <f ca="1">IFERROR(__xludf.DUMMYFUNCTION("GOOGLETRANSLATE(B3504:B3519,""RU"",""UK"")"),"Мітчик М - 42х2лев")</f>
        <v>Мітчик М - 42х2лев</v>
      </c>
      <c r="C350" s="59" t="s">
        <v>6</v>
      </c>
      <c r="D350" s="59">
        <v>3</v>
      </c>
      <c r="E350" s="91" t="s">
        <v>88</v>
      </c>
    </row>
    <row r="351" spans="1:5">
      <c r="A351" s="21">
        <f t="shared" si="6"/>
        <v>344</v>
      </c>
      <c r="B351" s="85" t="str">
        <f ca="1">IFERROR(__xludf.DUMMYFUNCTION("GOOGLETRANSLATE(B3505:B3520,""RU"",""UK"")"),"Мітчик М - 42х2 маш./руч.")</f>
        <v>Мітчик М - 42х2 маш./руч.</v>
      </c>
      <c r="C351" s="59" t="s">
        <v>6</v>
      </c>
      <c r="D351" s="37">
        <v>38</v>
      </c>
      <c r="E351" s="91" t="s">
        <v>100</v>
      </c>
    </row>
    <row r="352" spans="1:5">
      <c r="A352" s="21">
        <f t="shared" si="6"/>
        <v>345</v>
      </c>
      <c r="B352" s="85" t="str">
        <f ca="1">IFERROR(__xludf.DUMMYFUNCTION("GOOGLETRANSLATE(B3505:B3520,""RU"",""UK"")"),"Мітчик М - 42х1,5 маш./руч.")</f>
        <v>Мітчик М - 42х1,5 маш./руч.</v>
      </c>
      <c r="C352" s="59" t="s">
        <v>6</v>
      </c>
      <c r="D352" s="37">
        <v>12</v>
      </c>
      <c r="E352" s="91" t="s">
        <v>100</v>
      </c>
    </row>
    <row r="353" spans="1:5">
      <c r="A353" s="21">
        <f t="shared" si="6"/>
        <v>346</v>
      </c>
      <c r="B353" s="85" t="str">
        <f ca="1">IFERROR(__xludf.DUMMYFUNCTION("GOOGLETRANSLATE(B3505:B3520,""RU"",""UK"")"),"Мітчик М - 42х3 маш./руч.")</f>
        <v>Мітчик М - 42х3 маш./руч.</v>
      </c>
      <c r="C353" s="59" t="s">
        <v>6</v>
      </c>
      <c r="D353" s="37">
        <v>2</v>
      </c>
      <c r="E353" s="91" t="s">
        <v>100</v>
      </c>
    </row>
    <row r="354" spans="1:5">
      <c r="A354" s="21">
        <f t="shared" si="6"/>
        <v>347</v>
      </c>
      <c r="B354" s="85" t="str">
        <f ca="1">IFERROR(__xludf.DUMMYFUNCTION("GOOGLETRANSLATE(B3506:B3521,""RU"",""UK"")"),"Мітчик М - 42 маш./руч.")</f>
        <v>Мітчик М - 42 маш./руч.</v>
      </c>
      <c r="C354" s="59" t="s">
        <v>4370</v>
      </c>
      <c r="D354" s="160">
        <v>2</v>
      </c>
      <c r="E354" s="91" t="s">
        <v>3424</v>
      </c>
    </row>
    <row r="355" spans="1:5">
      <c r="A355" s="21">
        <f t="shared" si="6"/>
        <v>348</v>
      </c>
      <c r="B355" s="164" t="str">
        <f ca="1">IFERROR(__xludf.DUMMYFUNCTION("GOOGLETRANSLATE(B3506:B3521,""RU"",""UK"")"),"Мітчик М - 42х1.5 маш./руч.")</f>
        <v>Мітчик М - 42х1.5 маш./руч.</v>
      </c>
      <c r="C355" s="59" t="s">
        <v>4370</v>
      </c>
      <c r="D355" s="160">
        <v>0</v>
      </c>
      <c r="E355" s="91" t="s">
        <v>3424</v>
      </c>
    </row>
    <row r="356" spans="1:5">
      <c r="A356" s="21">
        <f t="shared" si="6"/>
        <v>349</v>
      </c>
      <c r="B356" s="85" t="str">
        <f ca="1">IFERROR(__xludf.DUMMYFUNCTION("GOOGLETRANSLATE(B3507:B3522,""RU"",""UK"")"),"Мітчик М - 42 лев.(З 3-х штук)")</f>
        <v>Мітчик М - 42 лев.(З 3-х штук)</v>
      </c>
      <c r="C356" s="59" t="s">
        <v>4370</v>
      </c>
      <c r="D356" s="59">
        <v>1</v>
      </c>
      <c r="E356" s="91" t="s">
        <v>231</v>
      </c>
    </row>
    <row r="357" spans="1:5">
      <c r="A357" s="21">
        <f t="shared" si="6"/>
        <v>350</v>
      </c>
      <c r="B357" s="85" t="str">
        <f ca="1">IFERROR(__xludf.DUMMYFUNCTION("GOOGLETRANSLATE(B3508:B3523,""RU"",""UK"")"),"Мітчик М - 42х2 маш./руч.")</f>
        <v>Мітчик М - 42х2 маш./руч.</v>
      </c>
      <c r="C357" s="59" t="s">
        <v>4370</v>
      </c>
      <c r="D357" s="160">
        <v>30</v>
      </c>
      <c r="E357" s="91" t="s">
        <v>3424</v>
      </c>
    </row>
    <row r="358" spans="1:5">
      <c r="A358" s="21">
        <f t="shared" si="6"/>
        <v>351</v>
      </c>
      <c r="B358" s="85" t="str">
        <f ca="1">IFERROR(__xludf.DUMMYFUNCTION("GOOGLETRANSLATE(B3508:B3523,""RU"",""UK"")"),"Мітчик М - 42х3 маш./руч.")</f>
        <v>Мітчик М - 42х3 маш./руч.</v>
      </c>
      <c r="C358" s="59" t="s">
        <v>4370</v>
      </c>
      <c r="D358" s="160">
        <v>3</v>
      </c>
      <c r="E358" s="91" t="s">
        <v>3424</v>
      </c>
    </row>
    <row r="359" spans="1:5">
      <c r="A359" s="21">
        <f t="shared" si="6"/>
        <v>352</v>
      </c>
      <c r="B359" s="85" t="str">
        <f ca="1">IFERROR(__xludf.DUMMYFUNCTION("GOOGLETRANSLATE(B3509:B3524,""RU"",""UK"")"),"Мітчик М - 45 маш./руч.")</f>
        <v>Мітчик М - 45 маш./руч.</v>
      </c>
      <c r="C359" s="59" t="s">
        <v>4370</v>
      </c>
      <c r="D359" s="160">
        <v>17</v>
      </c>
      <c r="E359" s="91" t="s">
        <v>1113</v>
      </c>
    </row>
    <row r="360" spans="1:5">
      <c r="A360" s="21">
        <f t="shared" si="6"/>
        <v>353</v>
      </c>
      <c r="B360" s="85" t="str">
        <f ca="1">IFERROR(__xludf.DUMMYFUNCTION("GOOGLETRANSLATE(B3509:B3524,""RU"",""UK"")"),"Мітчик М - 45х1.5 маш./руч.")</f>
        <v>Мітчик М - 45х1.5 маш./руч.</v>
      </c>
      <c r="C360" s="59" t="s">
        <v>4370</v>
      </c>
      <c r="D360" s="160">
        <v>2</v>
      </c>
      <c r="E360" s="91" t="s">
        <v>1113</v>
      </c>
    </row>
    <row r="361" spans="1:5">
      <c r="A361" s="21">
        <f t="shared" si="6"/>
        <v>354</v>
      </c>
      <c r="B361" s="85" t="str">
        <f ca="1">IFERROR(__xludf.DUMMYFUNCTION("GOOGLETRANSLATE(B3510:B3525,""RU"",""UK"")"),"Мітчик М - 45 (з 3-х штук)")</f>
        <v>Мітчик М - 45 (з 3-х штук)</v>
      </c>
      <c r="C361" s="59" t="s">
        <v>4370</v>
      </c>
      <c r="D361" s="59">
        <v>3</v>
      </c>
      <c r="E361" s="91" t="s">
        <v>111</v>
      </c>
    </row>
    <row r="362" spans="1:5">
      <c r="A362" s="21">
        <f t="shared" si="6"/>
        <v>355</v>
      </c>
      <c r="B362" s="85" t="str">
        <f ca="1">IFERROR(__xludf.DUMMYFUNCTION("GOOGLETRANSLATE(B3511:B3526,""RU"",""UK"")"),"Мітчик М - 45х2 маш./руч.")</f>
        <v>Мітчик М - 45х2 маш./руч.</v>
      </c>
      <c r="C362" s="59" t="s">
        <v>4370</v>
      </c>
      <c r="D362" s="59">
        <v>18</v>
      </c>
      <c r="E362" s="91" t="s">
        <v>1113</v>
      </c>
    </row>
    <row r="363" spans="1:5">
      <c r="A363" s="21">
        <f t="shared" si="6"/>
        <v>356</v>
      </c>
      <c r="B363" s="85" t="str">
        <f ca="1">IFERROR(__xludf.DUMMYFUNCTION("GOOGLETRANSLATE(B3511:B3526,""RU"",""UK"")"),"Мітчик М - 45х3 маш./руч.")</f>
        <v>Мітчик М - 45х3 маш./руч.</v>
      </c>
      <c r="C363" s="59" t="s">
        <v>4370</v>
      </c>
      <c r="D363" s="59">
        <v>21</v>
      </c>
      <c r="E363" s="91" t="s">
        <v>1113</v>
      </c>
    </row>
    <row r="364" spans="1:5">
      <c r="A364" s="21">
        <f t="shared" si="6"/>
        <v>357</v>
      </c>
      <c r="B364" s="85" t="str">
        <f ca="1">IFERROR(__xludf.DUMMYFUNCTION("GOOGLETRANSLATE(B3512:B3527,""RU"",""UK"")"),"Мітчик М - 45 маш.")</f>
        <v>Мітчик М - 45 маш.</v>
      </c>
      <c r="C364" s="59" t="s">
        <v>6</v>
      </c>
      <c r="D364" s="160">
        <v>9</v>
      </c>
      <c r="E364" s="91" t="s">
        <v>1874</v>
      </c>
    </row>
    <row r="365" spans="1:5">
      <c r="A365" s="21">
        <f t="shared" si="6"/>
        <v>358</v>
      </c>
      <c r="B365" s="85" t="str">
        <f ca="1">IFERROR(__xludf.DUMMYFUNCTION("GOOGLETRANSLATE(B3512:B3527,""RU"",""UK"")"),"Мітчик М - 45х1, 5 маш.")</f>
        <v>Мітчик М - 45х1, 5 маш.</v>
      </c>
      <c r="C365" s="59" t="s">
        <v>6</v>
      </c>
      <c r="D365" s="160">
        <v>5</v>
      </c>
      <c r="E365" s="91" t="s">
        <v>1874</v>
      </c>
    </row>
    <row r="366" spans="1:5">
      <c r="A366" s="21">
        <f t="shared" si="6"/>
        <v>359</v>
      </c>
      <c r="B366" s="85" t="str">
        <f ca="1">IFERROR(__xludf.DUMMYFUNCTION("GOOGLETRANSLATE(B3513:B3528,""RU"",""UK"")"),"Мітчик М - 45х2")</f>
        <v>Мітчик М - 45х2</v>
      </c>
      <c r="C366" s="59" t="s">
        <v>6</v>
      </c>
      <c r="D366" s="59">
        <v>4</v>
      </c>
      <c r="E366" s="91" t="s">
        <v>1874</v>
      </c>
    </row>
    <row r="367" spans="1:5">
      <c r="A367" s="21">
        <f t="shared" si="6"/>
        <v>360</v>
      </c>
      <c r="B367" s="85" t="str">
        <f ca="1">IFERROR(__xludf.DUMMYFUNCTION("GOOGLETRANSLATE(B3514:B3529,""RU"",""UK"")"),"Мітчик М - 48 маш.")</f>
        <v>Мітчик М - 48 маш.</v>
      </c>
      <c r="C367" s="59" t="s">
        <v>6</v>
      </c>
      <c r="D367" s="59">
        <v>8</v>
      </c>
      <c r="E367" s="91" t="s">
        <v>102</v>
      </c>
    </row>
    <row r="368" spans="1:5">
      <c r="A368" s="21">
        <f t="shared" si="6"/>
        <v>361</v>
      </c>
      <c r="B368" s="85" t="str">
        <f ca="1">IFERROR(__xludf.DUMMYFUNCTION("GOOGLETRANSLATE(B3514:B3529,""RU"",""UK"")"),"Мітчик М - 48х1, 5 маш.")</f>
        <v>Мітчик М - 48х1, 5 маш.</v>
      </c>
      <c r="C368" s="59" t="s">
        <v>6</v>
      </c>
      <c r="D368" s="59">
        <v>12</v>
      </c>
      <c r="E368" s="91" t="s">
        <v>102</v>
      </c>
    </row>
    <row r="369" spans="1:5">
      <c r="A369" s="21">
        <f t="shared" si="6"/>
        <v>362</v>
      </c>
      <c r="B369" s="85" t="str">
        <f ca="1">IFERROR(__xludf.DUMMYFUNCTION("GOOGLETRANSLATE(B3515:B3530,""RU"",""UK"")"),"Мітчик М - 48х2")</f>
        <v>Мітчик М - 48х2</v>
      </c>
      <c r="C369" s="59" t="s">
        <v>6</v>
      </c>
      <c r="D369" s="59">
        <v>19</v>
      </c>
      <c r="E369" s="91" t="s">
        <v>102</v>
      </c>
    </row>
    <row r="370" spans="1:5">
      <c r="A370" s="21">
        <f t="shared" si="6"/>
        <v>363</v>
      </c>
      <c r="B370" s="85" t="str">
        <f ca="1">IFERROR(__xludf.DUMMYFUNCTION("GOOGLETRANSLATE(B3515:B3530,""RU"",""UK"")"),"Мітчик М - 48х3")</f>
        <v>Мітчик М - 48х3</v>
      </c>
      <c r="C370" s="59" t="s">
        <v>6</v>
      </c>
      <c r="D370" s="59">
        <v>11</v>
      </c>
      <c r="E370" s="91" t="s">
        <v>102</v>
      </c>
    </row>
    <row r="371" spans="1:5">
      <c r="A371" s="21">
        <f t="shared" si="6"/>
        <v>364</v>
      </c>
      <c r="B371" s="85" t="str">
        <f ca="1">IFERROR(__xludf.DUMMYFUNCTION("GOOGLETRANSLATE(B3516:B3531,""RU"",""UK"")"),"Мітчик М - 48х2лев.")</f>
        <v>Мітчик М - 48х2лев.</v>
      </c>
      <c r="C371" s="59" t="s">
        <v>4370</v>
      </c>
      <c r="D371" s="59">
        <v>1</v>
      </c>
      <c r="E371" s="91" t="s">
        <v>80</v>
      </c>
    </row>
    <row r="372" spans="1:5">
      <c r="A372" s="21">
        <f t="shared" si="6"/>
        <v>365</v>
      </c>
      <c r="B372" s="164" t="str">
        <f ca="1">IFERROR(__xludf.DUMMYFUNCTION("GOOGLETRANSLATE(B3517:B3532,""RU"",""UK"")"),"Мітчик М - 48х3лев.")</f>
        <v>Мітчик М - 48х3лев.</v>
      </c>
      <c r="C372" s="59" t="s">
        <v>6</v>
      </c>
      <c r="D372" s="59">
        <v>0</v>
      </c>
      <c r="E372" s="91" t="s">
        <v>4064</v>
      </c>
    </row>
    <row r="373" spans="1:5">
      <c r="A373" s="21">
        <f t="shared" si="6"/>
        <v>366</v>
      </c>
      <c r="B373" s="85" t="str">
        <f ca="1">IFERROR(__xludf.DUMMYFUNCTION("GOOGLETRANSLATE(B3518:B3533,""RU"",""UK"")"),"Мітчик М - 48")</f>
        <v>Мітчик М - 48</v>
      </c>
      <c r="C373" s="59" t="s">
        <v>4370</v>
      </c>
      <c r="D373" s="59">
        <v>1</v>
      </c>
      <c r="E373" s="91" t="s">
        <v>1088</v>
      </c>
    </row>
    <row r="374" spans="1:5">
      <c r="A374" s="21">
        <f t="shared" si="6"/>
        <v>367</v>
      </c>
      <c r="B374" s="85" t="str">
        <f ca="1">IFERROR(__xludf.DUMMYFUNCTION("GOOGLETRANSLATE(B3518:B3533,""RU"",""UK"")"),"Мітчик М - 48х1.5")</f>
        <v>Мітчик М - 48х1.5</v>
      </c>
      <c r="C374" s="59" t="s">
        <v>4370</v>
      </c>
      <c r="D374" s="59">
        <v>13</v>
      </c>
      <c r="E374" s="91" t="s">
        <v>1088</v>
      </c>
    </row>
    <row r="375" spans="1:5">
      <c r="A375" s="21">
        <f t="shared" si="6"/>
        <v>368</v>
      </c>
      <c r="B375" s="85" t="str">
        <f ca="1">IFERROR(__xludf.DUMMYFUNCTION("GOOGLETRANSLATE(B3519:B3534,""RU"",""UK"")"),"Мітчик М - 48х2.0")</f>
        <v>Мітчик М - 48х2.0</v>
      </c>
      <c r="C375" s="59" t="s">
        <v>4370</v>
      </c>
      <c r="D375" s="59">
        <v>15</v>
      </c>
      <c r="E375" s="91" t="s">
        <v>1088</v>
      </c>
    </row>
    <row r="376" spans="1:5">
      <c r="A376" s="21">
        <f t="shared" si="6"/>
        <v>369</v>
      </c>
      <c r="B376" s="85" t="str">
        <f ca="1">IFERROR(__xludf.DUMMYFUNCTION("GOOGLETRANSLATE(B3519:B3534,""RU"",""UK"")"),"Мітчик М - 48х3.0")</f>
        <v>Мітчик М - 48х3.0</v>
      </c>
      <c r="C376" s="59" t="s">
        <v>4370</v>
      </c>
      <c r="D376" s="59">
        <v>1</v>
      </c>
      <c r="E376" s="91" t="s">
        <v>1088</v>
      </c>
    </row>
    <row r="377" spans="1:5">
      <c r="A377" s="21">
        <f t="shared" si="6"/>
        <v>370</v>
      </c>
      <c r="B377" s="85" t="str">
        <f ca="1">IFERROR(__xludf.DUMMYFUNCTION("GOOGLETRANSLATE(B3520:B3535,""RU"",""UK"")"),"Мітчик М - 52")</f>
        <v>Мітчик М - 52</v>
      </c>
      <c r="C377" s="59" t="s">
        <v>6</v>
      </c>
      <c r="D377" s="59">
        <v>9</v>
      </c>
      <c r="E377" s="91" t="s">
        <v>4684</v>
      </c>
    </row>
    <row r="378" spans="1:5">
      <c r="A378" s="21">
        <f t="shared" si="6"/>
        <v>371</v>
      </c>
      <c r="B378" s="85" t="str">
        <f ca="1">IFERROR(__xludf.DUMMYFUNCTION("GOOGLETRANSLATE(B3520:B3535,""RU"",""UK"")"),"Мітчик М - 52х1,5")</f>
        <v>Мітчик М - 52х1,5</v>
      </c>
      <c r="C378" s="59" t="s">
        <v>6</v>
      </c>
      <c r="D378" s="59">
        <v>3</v>
      </c>
      <c r="E378" s="91" t="s">
        <v>4684</v>
      </c>
    </row>
    <row r="379" spans="1:5">
      <c r="A379" s="21">
        <f t="shared" si="6"/>
        <v>372</v>
      </c>
      <c r="B379" s="85" t="str">
        <f ca="1">IFERROR(__xludf.DUMMYFUNCTION("GOOGLETRANSLATE(B3520:B3535,""RU"",""UK"")"),"Мітчик М - 52х2")</f>
        <v>Мітчик М - 52х2</v>
      </c>
      <c r="C379" s="59" t="s">
        <v>6</v>
      </c>
      <c r="D379" s="59">
        <v>4</v>
      </c>
      <c r="E379" s="91" t="s">
        <v>4684</v>
      </c>
    </row>
    <row r="380" spans="1:5">
      <c r="A380" s="21">
        <f t="shared" si="6"/>
        <v>373</v>
      </c>
      <c r="B380" s="85" t="str">
        <f ca="1">IFERROR(__xludf.DUMMYFUNCTION("GOOGLETRANSLATE(B3520:B3535,""RU"",""UK"")"),"Мітчик М - 52х3")</f>
        <v>Мітчик М - 52х3</v>
      </c>
      <c r="C380" s="59" t="s">
        <v>6</v>
      </c>
      <c r="D380" s="59">
        <v>7</v>
      </c>
      <c r="E380" s="91" t="s">
        <v>4684</v>
      </c>
    </row>
    <row r="381" spans="1:5">
      <c r="A381" s="21">
        <f t="shared" si="6"/>
        <v>374</v>
      </c>
      <c r="B381" s="85" t="str">
        <f ca="1">IFERROR(__xludf.DUMMYFUNCTION("GOOGLETRANSLATE(B3521:B3536,""RU"",""UK"")"),"Мітчик М - 52 маш./руч.")</f>
        <v>Мітчик М - 52 маш./руч.</v>
      </c>
      <c r="C381" s="59" t="s">
        <v>4370</v>
      </c>
      <c r="D381" s="59">
        <v>4</v>
      </c>
      <c r="E381" s="91" t="s">
        <v>2834</v>
      </c>
    </row>
    <row r="382" spans="1:5">
      <c r="A382" s="21">
        <f t="shared" si="6"/>
        <v>375</v>
      </c>
      <c r="B382" s="164" t="str">
        <f ca="1">IFERROR(__xludf.DUMMYFUNCTION("GOOGLETRANSLATE(B3521:B3536,""RU"",""UK"")"),"Мітчик М - 52х1,5 маш./руч.")</f>
        <v>Мітчик М - 52х1,5 маш./руч.</v>
      </c>
      <c r="C382" s="59" t="s">
        <v>4370</v>
      </c>
      <c r="D382" s="59">
        <v>0</v>
      </c>
      <c r="E382" s="91" t="s">
        <v>2834</v>
      </c>
    </row>
    <row r="383" spans="1:5">
      <c r="A383" s="21">
        <f t="shared" si="6"/>
        <v>376</v>
      </c>
      <c r="B383" s="85" t="str">
        <f ca="1">IFERROR(__xludf.DUMMYFUNCTION("GOOGLETRANSLATE(B3522:B3537,""RU"",""UK"")"),"Мітчик М - 52х2 маш./руч.")</f>
        <v>Мітчик М - 52х2 маш./руч.</v>
      </c>
      <c r="C383" s="59" t="s">
        <v>4370</v>
      </c>
      <c r="D383" s="59">
        <v>11</v>
      </c>
      <c r="E383" s="91" t="s">
        <v>2834</v>
      </c>
    </row>
    <row r="384" spans="1:5">
      <c r="A384" s="21">
        <f t="shared" si="6"/>
        <v>377</v>
      </c>
      <c r="B384" s="85" t="str">
        <f ca="1">IFERROR(__xludf.DUMMYFUNCTION("GOOGLETRANSLATE(B3522:B3537,""RU"",""UK"")"),"Мітчик М - 52х3 маш./руч.")</f>
        <v>Мітчик М - 52х3 маш./руч.</v>
      </c>
      <c r="C384" s="59" t="s">
        <v>4370</v>
      </c>
      <c r="D384" s="59">
        <v>12</v>
      </c>
      <c r="E384" s="91" t="s">
        <v>2834</v>
      </c>
    </row>
    <row r="385" spans="1:5">
      <c r="A385" s="21">
        <f t="shared" si="6"/>
        <v>378</v>
      </c>
      <c r="B385" s="85" t="str">
        <f ca="1">IFERROR(__xludf.DUMMYFUNCTION("GOOGLETRANSLATE(B3523:B3538,""RU"",""UK"")"),"Мітчик М - 52 (з 3-х штук)")</f>
        <v>Мітчик М - 52 (з 3-х штук)</v>
      </c>
      <c r="C385" s="59" t="s">
        <v>4370</v>
      </c>
      <c r="D385" s="59">
        <v>2</v>
      </c>
      <c r="E385" s="91" t="s">
        <v>2834</v>
      </c>
    </row>
    <row r="386" spans="1:5">
      <c r="A386" s="21">
        <f t="shared" si="6"/>
        <v>379</v>
      </c>
      <c r="B386" s="85" t="str">
        <f ca="1">IFERROR(__xludf.DUMMYFUNCTION("GOOGLETRANSLATE(B3525:B3540,""RU"",""UK"")"),"Мітчик М - 56х2")</f>
        <v>Мітчик М - 56х2</v>
      </c>
      <c r="C386" s="59" t="s">
        <v>4370</v>
      </c>
      <c r="D386" s="59">
        <v>1</v>
      </c>
      <c r="E386" s="91" t="s">
        <v>237</v>
      </c>
    </row>
    <row r="387" spans="1:5">
      <c r="A387" s="21">
        <f t="shared" si="6"/>
        <v>380</v>
      </c>
      <c r="B387" s="85" t="str">
        <f ca="1">IFERROR(__xludf.DUMMYFUNCTION("GOOGLETRANSLATE(B3526:B3541,""RU"",""UK"")"),"Мітчик М - 64х2")</f>
        <v>Мітчик М - 64х2</v>
      </c>
      <c r="C387" s="59" t="s">
        <v>6</v>
      </c>
      <c r="D387" s="59">
        <v>2</v>
      </c>
      <c r="E387" s="91" t="s">
        <v>71</v>
      </c>
    </row>
    <row r="388" spans="1:5">
      <c r="A388" s="21">
        <f t="shared" si="6"/>
        <v>381</v>
      </c>
      <c r="B388" s="85" t="str">
        <f ca="1">IFERROR(__xludf.DUMMYFUNCTION("GOOGLETRANSLATE(B3527:B3542,""RU"",""UK"")"),"Мітчик Тр. (G) 1/8"" маш./руч.")</f>
        <v>Мітчик Тр. (G) 1/8" маш./руч.</v>
      </c>
      <c r="C388" s="59" t="s">
        <v>4370</v>
      </c>
      <c r="D388" s="59">
        <v>46</v>
      </c>
      <c r="E388" s="91">
        <v>180</v>
      </c>
    </row>
    <row r="389" spans="1:5">
      <c r="A389" s="21">
        <f t="shared" si="6"/>
        <v>382</v>
      </c>
      <c r="B389" s="85" t="str">
        <f ca="1">IFERROR(__xludf.DUMMYFUNCTION("GOOGLETRANSLATE(B3528:B3543,""RU"",""UK"")"),"Мітчик Тр. (G) 1/4""маш./руч.")</f>
        <v>Мітчик Тр. (G) 1/4"маш./руч.</v>
      </c>
      <c r="C389" s="59" t="s">
        <v>4370</v>
      </c>
      <c r="D389" s="59">
        <v>99</v>
      </c>
      <c r="E389" s="91">
        <v>180</v>
      </c>
    </row>
    <row r="390" spans="1:5">
      <c r="A390" s="21">
        <f t="shared" si="6"/>
        <v>383</v>
      </c>
      <c r="B390" s="85" t="str">
        <f ca="1">IFERROR(__xludf.DUMMYFUNCTION("GOOGLETRANSLATE(B3538:B3553,""RU"",""UK"")"),"Мітчик Тр. (G) 1/2"" маш./руч.")</f>
        <v>Мітчик Тр. (G) 1/2" маш./руч.</v>
      </c>
      <c r="C390" s="59" t="s">
        <v>4370</v>
      </c>
      <c r="D390" s="37">
        <v>268</v>
      </c>
      <c r="E390" s="91" t="s">
        <v>140</v>
      </c>
    </row>
    <row r="391" spans="1:5">
      <c r="A391" s="21">
        <f t="shared" si="6"/>
        <v>384</v>
      </c>
      <c r="B391" s="85" t="str">
        <f ca="1">IFERROR(__xludf.DUMMYFUNCTION("GOOGLETRANSLATE(B3539:B3554,""RU"",""UK"")"),"Мітчик Тp. (G) 1/2"" маш./руч. Р6М5")</f>
        <v>Мітчик Тp. (G) 1/2" маш./руч. Р6М5</v>
      </c>
      <c r="C391" s="59" t="s">
        <v>4370</v>
      </c>
      <c r="D391" s="59">
        <v>1</v>
      </c>
      <c r="E391" s="91" t="s">
        <v>24</v>
      </c>
    </row>
    <row r="392" spans="1:5">
      <c r="A392" s="21">
        <f t="shared" si="6"/>
        <v>385</v>
      </c>
      <c r="B392" s="85" t="str">
        <f ca="1">IFERROR(__xludf.DUMMYFUNCTION("GOOGLETRANSLATE(B3540:B3555,""RU"",""UK"")"),"Мітчик Тр. (G) 1/2"" Р6М5")</f>
        <v>Мітчик Тр. (G) 1/2" Р6М5</v>
      </c>
      <c r="C392" s="59" t="s">
        <v>6</v>
      </c>
      <c r="D392" s="59">
        <v>25</v>
      </c>
      <c r="E392" s="91" t="s">
        <v>140</v>
      </c>
    </row>
    <row r="393" spans="1:5">
      <c r="A393" s="21">
        <f t="shared" si="6"/>
        <v>386</v>
      </c>
      <c r="B393" s="169" t="str">
        <f ca="1">IFERROR(__xludf.DUMMYFUNCTION("GOOGLETRANSLATE(B3548:B3563,""RU"",""UK"")"),"Мітчик Тр. (G) 3/4 вжив.""")</f>
        <v>Мітчик Тр. (G) 3/4 вжив."</v>
      </c>
      <c r="C393" s="59" t="s">
        <v>4370</v>
      </c>
      <c r="D393" s="59">
        <v>1</v>
      </c>
      <c r="E393" s="91">
        <v>510</v>
      </c>
    </row>
    <row r="394" spans="1:5">
      <c r="A394" s="21">
        <f t="shared" si="6"/>
        <v>387</v>
      </c>
      <c r="B394" s="169" t="str">
        <f ca="1">IFERROR(__xludf.DUMMYFUNCTION("GOOGLETRANSLATE(B3548:B3563,""RU"",""UK"")"),"Мітчик ТР. (G) 3/4 Р6М5""")</f>
        <v>Мітчик ТР. (G) 3/4 Р6М5"</v>
      </c>
      <c r="C394" s="59" t="s">
        <v>4370</v>
      </c>
      <c r="D394" s="59">
        <v>6</v>
      </c>
      <c r="E394" s="91">
        <v>600</v>
      </c>
    </row>
    <row r="395" spans="1:5">
      <c r="A395" s="21">
        <f t="shared" si="6"/>
        <v>388</v>
      </c>
      <c r="B395" s="228" t="str">
        <f ca="1">IFERROR(__xludf.DUMMYFUNCTION("GOOGLETRANSLATE(B3549:B3564,""RU"",""UK"")"),"Мітчик ТР. (G) 3/4"" Р6М5")</f>
        <v>Мітчик ТР. (G) 3/4" Р6М5</v>
      </c>
      <c r="C395" s="59" t="s">
        <v>6</v>
      </c>
      <c r="D395" s="59">
        <v>3</v>
      </c>
      <c r="E395" s="91">
        <v>720</v>
      </c>
    </row>
    <row r="396" spans="1:5">
      <c r="A396" s="21">
        <f t="shared" si="6"/>
        <v>389</v>
      </c>
      <c r="B396" s="85" t="str">
        <f ca="1">IFERROR(__xludf.DUMMYFUNCTION("GOOGLETRANSLATE(B3550:B3565,""RU"",""UK"")"),"Мітчик Тр. (G) 3/4"" ВК8")</f>
        <v>Мітчик Тр. (G) 3/4" ВК8</v>
      </c>
      <c r="C396" s="59" t="s">
        <v>6</v>
      </c>
      <c r="D396" s="59">
        <v>21</v>
      </c>
      <c r="E396" s="91">
        <v>360</v>
      </c>
    </row>
    <row r="397" spans="1:5">
      <c r="A397" s="21">
        <f t="shared" si="6"/>
        <v>390</v>
      </c>
      <c r="B397" s="85" t="str">
        <f ca="1">IFERROR(__xludf.DUMMYFUNCTION("GOOGLETRANSLATE(B3550:B3565,""RU"",""UK"")"),"Мітчик Тр. (G) 3/4"" Р18")</f>
        <v>Мітчик Тр. (G) 3/4" Р18</v>
      </c>
      <c r="C397" s="59" t="s">
        <v>6</v>
      </c>
      <c r="D397" s="59">
        <v>1</v>
      </c>
      <c r="E397" s="91">
        <v>540</v>
      </c>
    </row>
    <row r="398" spans="1:5">
      <c r="A398" s="21">
        <f t="shared" si="6"/>
        <v>391</v>
      </c>
      <c r="B398" s="85" t="str">
        <f ca="1">IFERROR(__xludf.DUMMYFUNCTION("GOOGLETRANSLATE(B3530:B3545,""RU"",""UK"")"),"Мітчик Тр. (G) 3/8"" ")</f>
        <v xml:space="preserve">Мітчик Тр. (G) 3/8" </v>
      </c>
      <c r="C398" s="59" t="s">
        <v>4370</v>
      </c>
      <c r="D398" s="59">
        <v>109</v>
      </c>
      <c r="E398" s="91">
        <v>330</v>
      </c>
    </row>
    <row r="399" spans="1:5">
      <c r="A399" s="21">
        <f t="shared" si="6"/>
        <v>392</v>
      </c>
      <c r="B399" s="85" t="str">
        <f ca="1">IFERROR(__xludf.DUMMYFUNCTION("GOOGLETRANSLATE(B3535:B3550,""RU"",""UK"")"),"Мітчик Тр. (G) 5/8"" маш./руч.")</f>
        <v>Мітчик Тр. (G) 5/8" маш./руч.</v>
      </c>
      <c r="C399" s="59" t="s">
        <v>4370</v>
      </c>
      <c r="D399" s="59">
        <v>8</v>
      </c>
      <c r="E399" s="91" t="s">
        <v>16</v>
      </c>
    </row>
    <row r="400" spans="1:5">
      <c r="A400" s="21">
        <f t="shared" si="6"/>
        <v>393</v>
      </c>
      <c r="B400" s="85" t="str">
        <f ca="1">IFERROR(__xludf.DUMMYFUNCTION("GOOGLETRANSLATE(B3536:B3551,""RU"",""UK"")"),"Мітчик Тр. (G) 7/8"" маш./руч. ")</f>
        <v xml:space="preserve">Мітчик Тр. (G) 7/8" маш./руч. </v>
      </c>
      <c r="C400" s="59" t="s">
        <v>4370</v>
      </c>
      <c r="D400" s="59">
        <v>63</v>
      </c>
      <c r="E400" s="91" t="s">
        <v>22</v>
      </c>
    </row>
    <row r="401" spans="1:5">
      <c r="A401" s="21">
        <f t="shared" si="6"/>
        <v>394</v>
      </c>
      <c r="B401" s="85" t="str">
        <f ca="1">IFERROR(__xludf.DUMMYFUNCTION("GOOGLETRANSLATE(B3536:B3551,""RU"",""UK"")"),"Мітчик Тр. (G) 7/8"" гаєчн.")</f>
        <v>Мітчик Тр. (G) 7/8" гаєчн.</v>
      </c>
      <c r="C401" s="59" t="s">
        <v>6</v>
      </c>
      <c r="D401" s="59">
        <v>2</v>
      </c>
      <c r="E401" s="91" t="s">
        <v>22</v>
      </c>
    </row>
    <row r="402" spans="1:5">
      <c r="A402" s="21">
        <f t="shared" si="6"/>
        <v>395</v>
      </c>
      <c r="B402" s="85" t="str">
        <f ca="1">IFERROR(__xludf.DUMMYFUNCTION("GOOGLETRANSLATE(B3560:B3575,""RU"",""UK"")"),"Мітчик Тр. (G) 1""")</f>
        <v>Мітчик Тр. (G) 1"</v>
      </c>
      <c r="C402" s="59" t="s">
        <v>6</v>
      </c>
      <c r="D402" s="59">
        <v>43</v>
      </c>
      <c r="E402" s="91" t="s">
        <v>272</v>
      </c>
    </row>
    <row r="403" spans="1:5">
      <c r="A403" s="21">
        <f t="shared" si="6"/>
        <v>396</v>
      </c>
      <c r="B403" s="85" t="str">
        <f ca="1">IFERROR(__xludf.DUMMYFUNCTION("GOOGLETRANSLATE(B3560:B3575,""RU"",""UK"")"),"Мітчик Тр. (G) 1"" ВК8")</f>
        <v>Мітчик Тр. (G) 1" ВК8</v>
      </c>
      <c r="C403" s="59" t="s">
        <v>6</v>
      </c>
      <c r="D403" s="59">
        <v>1</v>
      </c>
      <c r="E403" s="91" t="s">
        <v>272</v>
      </c>
    </row>
    <row r="404" spans="1:5">
      <c r="A404" s="21">
        <f t="shared" si="6"/>
        <v>397</v>
      </c>
      <c r="B404" s="85" t="str">
        <f ca="1">IFERROR(__xludf.DUMMYFUNCTION("GOOGLETRANSLATE(B3561:B3576,""RU"",""UK"")"),"Мітчик Тр. (G) 1""")</f>
        <v>Мітчик Тр. (G) 1"</v>
      </c>
      <c r="C404" s="59" t="s">
        <v>4370</v>
      </c>
      <c r="D404" s="59">
        <v>4</v>
      </c>
      <c r="E404" s="91" t="s">
        <v>283</v>
      </c>
    </row>
    <row r="405" spans="1:5">
      <c r="A405" s="21">
        <f t="shared" si="6"/>
        <v>398</v>
      </c>
      <c r="B405" s="169" t="str">
        <f ca="1">IFERROR(__xludf.DUMMYFUNCTION("GOOGLETRANSLATE(B3566:B3581,""RU"",""UK"")"),"Мітчик Тр. (G) 1 1/4""")</f>
        <v>Мітчик Тр. (G) 1 1/4"</v>
      </c>
      <c r="C405" s="59" t="s">
        <v>6</v>
      </c>
      <c r="D405" s="160">
        <v>0</v>
      </c>
      <c r="E405" s="91" t="s">
        <v>102</v>
      </c>
    </row>
    <row r="406" spans="1:5">
      <c r="A406" s="21">
        <f t="shared" si="6"/>
        <v>399</v>
      </c>
      <c r="B406" s="85" t="str">
        <f ca="1">IFERROR(__xludf.DUMMYFUNCTION("GOOGLETRANSLATE(B3569:B3584,""RU"",""UK"")"),"Мітчик Тр. (G) 1 1/2"" маш.")</f>
        <v>Мітчик Тр. (G) 1 1/2" маш.</v>
      </c>
      <c r="C406" s="59" t="s">
        <v>6</v>
      </c>
      <c r="D406" s="59">
        <v>17</v>
      </c>
      <c r="E406" s="91" t="s">
        <v>63</v>
      </c>
    </row>
    <row r="407" spans="1:5">
      <c r="A407" s="21">
        <f t="shared" si="6"/>
        <v>400</v>
      </c>
      <c r="B407" s="85" t="str">
        <f ca="1">IFERROR(__xludf.DUMMYFUNCTION("GOOGLETRANSLATE(B3569:B3584,""RU"",""UK"")"),"Мітчик Тр. (G) 1 3/8""")</f>
        <v>Мітчик Тр. (G) 1 3/8"</v>
      </c>
      <c r="C407" s="59" t="s">
        <v>6</v>
      </c>
      <c r="D407" s="59">
        <v>4</v>
      </c>
      <c r="E407" s="91" t="s">
        <v>63</v>
      </c>
    </row>
    <row r="408" spans="1:5">
      <c r="A408" s="21">
        <f t="shared" si="6"/>
        <v>401</v>
      </c>
      <c r="B408" s="85" t="str">
        <f ca="1">IFERROR(__xludf.DUMMYFUNCTION("GOOGLETRANSLATE(B3570:B3585,""RU"",""UK"")"),"Мітчик Тp. (G) 2"" маш.")</f>
        <v>Мітчик Тp. (G) 2" маш.</v>
      </c>
      <c r="C408" s="59" t="s">
        <v>6</v>
      </c>
      <c r="D408" s="59">
        <v>7</v>
      </c>
      <c r="E408" s="91" t="s">
        <v>102</v>
      </c>
    </row>
    <row r="409" spans="1:5">
      <c r="A409" s="21">
        <f t="shared" si="6"/>
        <v>402</v>
      </c>
      <c r="B409" s="85" t="str">
        <f ca="1">IFERROR(__xludf.DUMMYFUNCTION("GOOGLETRANSLATE(B3571:B3586,""RU"",""UK"")"),"Мітчик Тр. (G) 1 1/8""")</f>
        <v>Мітчик Тр. (G) 1 1/8"</v>
      </c>
      <c r="C409" s="59" t="s">
        <v>4370</v>
      </c>
      <c r="D409" s="59">
        <v>25</v>
      </c>
      <c r="E409" s="91" t="s">
        <v>111</v>
      </c>
    </row>
    <row r="410" spans="1:5">
      <c r="A410" s="21">
        <f t="shared" si="6"/>
        <v>403</v>
      </c>
      <c r="B410" s="164" t="str">
        <f ca="1">IFERROR(__xludf.DUMMYFUNCTION("GOOGLETRANSLATE(B3571:B3586,""RU"",""UK"")"),"Мітчик Тр. (G) 1 1/4""")</f>
        <v>Мітчик Тр. (G) 1 1/4"</v>
      </c>
      <c r="C410" s="59" t="s">
        <v>4370</v>
      </c>
      <c r="D410" s="59">
        <v>0</v>
      </c>
      <c r="E410" s="91" t="s">
        <v>111</v>
      </c>
    </row>
    <row r="411" spans="1:5">
      <c r="A411" s="21">
        <f t="shared" si="6"/>
        <v>404</v>
      </c>
      <c r="B411" s="85" t="str">
        <f ca="1">IFERROR(__xludf.DUMMYFUNCTION("GOOGLETRANSLATE(B3571:B3586,""RU"",""UK"")"),"Мітчик Тр. (G) 1 1/2"" маш./руч.")</f>
        <v>Мітчик Тр. (G) 1 1/2" маш./руч.</v>
      </c>
      <c r="C411" s="59" t="s">
        <v>4370</v>
      </c>
      <c r="D411" s="59">
        <v>3</v>
      </c>
      <c r="E411" s="91" t="s">
        <v>111</v>
      </c>
    </row>
    <row r="412" spans="1:5">
      <c r="A412" s="21">
        <f t="shared" si="6"/>
        <v>405</v>
      </c>
      <c r="B412" s="85" t="str">
        <f ca="1">IFERROR(__xludf.DUMMYFUNCTION("GOOGLETRANSLATE(B3572:B3587,""RU"",""UK"")"),"Мітчик Тр. (G) 1 3/8""маш./руч.")</f>
        <v>Мітчик Тр. (G) 1 3/8"маш./руч.</v>
      </c>
      <c r="C412" s="59" t="s">
        <v>4370</v>
      </c>
      <c r="D412" s="59">
        <v>18</v>
      </c>
      <c r="E412" s="91" t="s">
        <v>111</v>
      </c>
    </row>
    <row r="413" spans="1:5">
      <c r="A413" s="21">
        <f t="shared" si="6"/>
        <v>406</v>
      </c>
      <c r="B413" s="85" t="str">
        <f ca="1">IFERROR(__xludf.DUMMYFUNCTION("GOOGLETRANSLATE(B3572:B3587,""RU"",""UK"")"),"Мітчик Тр. (G) 1 3/4"" маш./руч.")</f>
        <v>Мітчик Тр. (G) 1 3/4" маш./руч.</v>
      </c>
      <c r="C413" s="59" t="s">
        <v>4370</v>
      </c>
      <c r="D413" s="59">
        <v>2</v>
      </c>
      <c r="E413" s="91" t="s">
        <v>111</v>
      </c>
    </row>
    <row r="414" spans="1:5">
      <c r="A414" s="21">
        <f t="shared" si="6"/>
        <v>407</v>
      </c>
      <c r="B414" s="85" t="str">
        <f ca="1">IFERROR(__xludf.DUMMYFUNCTION("GOOGLETRANSLATE(B3573:B3588,""RU"",""UK"")"),"Мітчик Тр. (G) 2"" маш./руч.")</f>
        <v>Мітчик Тр. (G) 2" маш./руч.</v>
      </c>
      <c r="C414" s="59" t="s">
        <v>4370</v>
      </c>
      <c r="D414" s="59">
        <v>1</v>
      </c>
      <c r="E414" s="91" t="s">
        <v>111</v>
      </c>
    </row>
    <row r="415" spans="1:5">
      <c r="A415" s="21">
        <f t="shared" si="6"/>
        <v>408</v>
      </c>
      <c r="B415" s="85" t="str">
        <f ca="1">IFERROR(__xludf.DUMMYFUNCTION("GOOGLETRANSLATE(B3571:B3586,""RU"",""UK"")"),"Мітчик Тр. (G) 2 1/4 №2""")</f>
        <v>Мітчик Тр. (G) 2 1/4 №2"</v>
      </c>
      <c r="C415" s="59" t="s">
        <v>6</v>
      </c>
      <c r="D415" s="59">
        <v>2</v>
      </c>
      <c r="E415" s="91">
        <v>550</v>
      </c>
    </row>
    <row r="416" spans="1:5">
      <c r="A416" s="21">
        <f t="shared" si="6"/>
        <v>409</v>
      </c>
      <c r="B416" s="85" t="str">
        <f ca="1">IFERROR(__xludf.DUMMYFUNCTION("GOOGLETRANSLATE(B3541:B3556,""RU"",""UK"")"),"Мітчик Тр.К (R) 1/2""")</f>
        <v>Мітчик Тр.К (R) 1/2"</v>
      </c>
      <c r="C416" s="59" t="s">
        <v>6</v>
      </c>
      <c r="D416" s="59">
        <v>119</v>
      </c>
      <c r="E416" s="91">
        <v>210</v>
      </c>
    </row>
    <row r="417" spans="1:5">
      <c r="A417" s="21">
        <f t="shared" si="6"/>
        <v>410</v>
      </c>
      <c r="B417" s="85" t="str">
        <f ca="1">IFERROR(__xludf.DUMMYFUNCTION("GOOGLETRANSLATE(B3543:B3558,""RU"",""UK"")"),"Мітчик Тр.К (R) 1/4""")</f>
        <v>Мітчик Тр.К (R) 1/4"</v>
      </c>
      <c r="C417" s="59" t="s">
        <v>6</v>
      </c>
      <c r="D417" s="59">
        <v>85</v>
      </c>
      <c r="E417" s="91">
        <v>210</v>
      </c>
    </row>
    <row r="418" spans="1:5">
      <c r="A418" s="21">
        <f t="shared" si="6"/>
        <v>411</v>
      </c>
      <c r="B418" s="85" t="str">
        <f ca="1">IFERROR(__xludf.DUMMYFUNCTION("GOOGLETRANSLATE(B3544:B3559,""RU"",""UK"")"),"Мітчик Тр.К (R) 1/8""")</f>
        <v>Мітчик Тр.К (R) 1/8"</v>
      </c>
      <c r="C418" s="59" t="s">
        <v>6</v>
      </c>
      <c r="D418" s="59">
        <v>95</v>
      </c>
      <c r="E418" s="91">
        <v>210</v>
      </c>
    </row>
    <row r="419" spans="1:5">
      <c r="A419" s="21">
        <f t="shared" si="6"/>
        <v>412</v>
      </c>
      <c r="B419" s="85" t="str">
        <f ca="1">IFERROR(__xludf.DUMMYFUNCTION("GOOGLETRANSLATE(B3547:B3562,""RU"",""UK"")"),"Мітчик Тр.К (R) 3/4""")</f>
        <v>Мітчик Тр.К (R) 3/4"</v>
      </c>
      <c r="C419" s="59" t="s">
        <v>6</v>
      </c>
      <c r="D419" s="59">
        <v>109</v>
      </c>
      <c r="E419" s="91">
        <v>240</v>
      </c>
    </row>
    <row r="420" spans="1:5">
      <c r="A420" s="21">
        <f t="shared" si="6"/>
        <v>413</v>
      </c>
      <c r="B420" s="85" t="str">
        <f ca="1">IFERROR(__xludf.DUMMYFUNCTION("GOOGLETRANSLATE(B3530:B3545,""RU"",""UK"")"),"Мітчик Тр.К (R) 3/8""")</f>
        <v>Мітчик Тр.К (R) 3/8"</v>
      </c>
      <c r="C420" s="59" t="s">
        <v>4370</v>
      </c>
      <c r="D420" s="59">
        <v>3</v>
      </c>
      <c r="E420" s="91">
        <v>300</v>
      </c>
    </row>
    <row r="421" spans="1:5">
      <c r="A421" s="21">
        <f t="shared" si="6"/>
        <v>414</v>
      </c>
      <c r="B421" s="85" t="str">
        <f ca="1">IFERROR(__xludf.DUMMYFUNCTION("GOOGLETRANSLATE(B3557:B3572,""RU"",""UK"")"),"Мітчик Тр.К (R) 3/8""")</f>
        <v>Мітчик Тр.К (R) 3/8"</v>
      </c>
      <c r="C421" s="59" t="s">
        <v>6</v>
      </c>
      <c r="D421" s="59">
        <v>48</v>
      </c>
      <c r="E421" s="91">
        <v>270</v>
      </c>
    </row>
    <row r="422" spans="1:5">
      <c r="A422" s="21">
        <f t="shared" si="6"/>
        <v>415</v>
      </c>
      <c r="B422" s="85" t="str">
        <f ca="1">IFERROR(__xludf.DUMMYFUNCTION("GOOGLETRANSLATE(B3558:B3573,""RU"",""UK"")"),"Мітчик Тр.K (R) 1""")</f>
        <v>Мітчик Тр.K (R) 1"</v>
      </c>
      <c r="C422" s="59" t="s">
        <v>6</v>
      </c>
      <c r="D422" s="59">
        <v>65</v>
      </c>
      <c r="E422" s="91" t="s">
        <v>272</v>
      </c>
    </row>
    <row r="423" spans="1:5">
      <c r="A423" s="21">
        <f t="shared" si="6"/>
        <v>416</v>
      </c>
      <c r="B423" s="85" t="str">
        <f ca="1">IFERROR(__xludf.DUMMYFUNCTION("GOOGLETRANSLATE(B3566:B3581,""RU"",""UK"")"),"Мітчик Тр.К (R) 1 1/4 """)</f>
        <v>Мітчик Тр.К (R) 1 1/4 "</v>
      </c>
      <c r="C423" s="59" t="s">
        <v>6</v>
      </c>
      <c r="D423" s="160">
        <v>14</v>
      </c>
      <c r="E423" s="91" t="s">
        <v>102</v>
      </c>
    </row>
    <row r="424" spans="1:5">
      <c r="A424" s="21">
        <f t="shared" si="6"/>
        <v>417</v>
      </c>
      <c r="B424" s="85" t="str">
        <f ca="1">IFERROR(__xludf.DUMMYFUNCTION("GOOGLETRANSLATE(B3567:B3582,""RU"",""UK"")"),"Мітчик Тр.К (R) 1 1/2""")</f>
        <v>Мітчик Тр.К (R) 1 1/2"</v>
      </c>
      <c r="C424" s="59" t="s">
        <v>6</v>
      </c>
      <c r="D424" s="59">
        <v>25</v>
      </c>
      <c r="E424" s="91" t="s">
        <v>663</v>
      </c>
    </row>
    <row r="425" spans="1:5">
      <c r="A425" s="21">
        <f t="shared" si="6"/>
        <v>418</v>
      </c>
      <c r="B425" s="85" t="str">
        <f ca="1">IFERROR(__xludf.DUMMYFUNCTION("GOOGLETRANSLATE(B3568:B3583,""RU"",""UK"")"),"Мітчик Тр.К (R) 2""")</f>
        <v>Мітчик Тр.К (R) 2"</v>
      </c>
      <c r="C425" s="59" t="s">
        <v>6</v>
      </c>
      <c r="D425" s="59">
        <v>12</v>
      </c>
      <c r="E425" s="91" t="s">
        <v>102</v>
      </c>
    </row>
    <row r="426" spans="1:5">
      <c r="A426" s="21">
        <f t="shared" si="6"/>
        <v>419</v>
      </c>
      <c r="B426" s="85" t="str">
        <f ca="1">IFERROR(__xludf.DUMMYFUNCTION("GOOGLETRANSLATE(B3573:B3588,""RU"",""UK"")"),"Мітчик Тр.К (R) 2""")</f>
        <v>Мітчик Тр.К (R) 2"</v>
      </c>
      <c r="C426" s="59" t="s">
        <v>4370</v>
      </c>
      <c r="D426" s="59">
        <v>1</v>
      </c>
      <c r="E426" s="91" t="s">
        <v>111</v>
      </c>
    </row>
    <row r="427" spans="1:5">
      <c r="A427" s="21">
        <f t="shared" si="6"/>
        <v>420</v>
      </c>
      <c r="B427" s="85" t="str">
        <f ca="1">IFERROR(__xludf.DUMMYFUNCTION("GOOGLETRANSLATE(B3574:B3589,""RU"",""UK"")"),"Мітчик Тр.К (R) 3""")</f>
        <v>Мітчик Тр.К (R) 3"</v>
      </c>
      <c r="C427" s="59" t="s">
        <v>6</v>
      </c>
      <c r="D427" s="59">
        <v>1</v>
      </c>
      <c r="E427" s="91">
        <v>900</v>
      </c>
    </row>
    <row r="428" spans="1:5">
      <c r="A428" s="21">
        <f t="shared" si="6"/>
        <v>421</v>
      </c>
      <c r="B428" s="85" t="str">
        <f ca="1">IFERROR(__xludf.DUMMYFUNCTION("GOOGLETRANSLATE(B3541:B3556,""RU"",""UK"")"),"Мітчик К 1/2""")</f>
        <v>Мітчик К 1/2"</v>
      </c>
      <c r="C428" s="59" t="s">
        <v>6</v>
      </c>
      <c r="D428" s="59">
        <v>115</v>
      </c>
      <c r="E428" s="91" t="s">
        <v>515</v>
      </c>
    </row>
    <row r="429" spans="1:5">
      <c r="A429" s="21">
        <f t="shared" si="6"/>
        <v>422</v>
      </c>
      <c r="B429" s="85" t="str">
        <f ca="1">IFERROR(__xludf.DUMMYFUNCTION("GOOGLETRANSLATE(B3543:B3558,""RU"",""UK"")"),"Мітчик К 1/4"" ")</f>
        <v xml:space="preserve">Мітчик К 1/4" </v>
      </c>
      <c r="C429" s="59" t="s">
        <v>6</v>
      </c>
      <c r="D429" s="59">
        <v>157</v>
      </c>
      <c r="E429" s="91" t="s">
        <v>119</v>
      </c>
    </row>
    <row r="430" spans="1:5">
      <c r="A430" s="21">
        <f t="shared" si="6"/>
        <v>423</v>
      </c>
      <c r="B430" s="85" t="str">
        <f ca="1">IFERROR(__xludf.DUMMYFUNCTION("GOOGLETRANSLATE(B3544:B3559,""RU"",""UK"")"),"Мітчик К 1/8"" ")</f>
        <v xml:space="preserve">Мітчик К 1/8" </v>
      </c>
      <c r="C430" s="59" t="s">
        <v>6</v>
      </c>
      <c r="D430" s="59">
        <v>54</v>
      </c>
      <c r="E430" s="91" t="s">
        <v>119</v>
      </c>
    </row>
    <row r="431" spans="1:5">
      <c r="A431" s="21">
        <f t="shared" si="6"/>
        <v>424</v>
      </c>
      <c r="B431" s="85" t="s">
        <v>6162</v>
      </c>
      <c r="C431" s="59" t="s">
        <v>6</v>
      </c>
      <c r="D431" s="59">
        <v>82</v>
      </c>
      <c r="E431" s="91" t="s">
        <v>327</v>
      </c>
    </row>
    <row r="432" spans="1:5">
      <c r="A432" s="21">
        <f t="shared" si="6"/>
        <v>425</v>
      </c>
      <c r="B432" s="85" t="str">
        <f ca="1">IFERROR(__xludf.DUMMYFUNCTION("GOOGLETRANSLATE(B3557:B3572,""RU"",""UK"")"),"Мітчик К 3/8""")</f>
        <v>Мітчик К 3/8"</v>
      </c>
      <c r="C432" s="59" t="s">
        <v>6</v>
      </c>
      <c r="D432" s="59">
        <v>41</v>
      </c>
      <c r="E432" s="91" t="s">
        <v>327</v>
      </c>
    </row>
    <row r="433" spans="1:5">
      <c r="A433" s="21">
        <f t="shared" si="6"/>
        <v>426</v>
      </c>
      <c r="B433" s="85" t="str">
        <f ca="1">IFERROR(__xludf.DUMMYFUNCTION("GOOGLETRANSLATE(B3558:B3573,""RU"",""UK"")"),"Мітчик К 1""")</f>
        <v>Мітчик К 1"</v>
      </c>
      <c r="C433" s="59" t="s">
        <v>6</v>
      </c>
      <c r="D433" s="59">
        <v>12</v>
      </c>
      <c r="E433" s="91" t="s">
        <v>272</v>
      </c>
    </row>
    <row r="434" spans="1:5">
      <c r="A434" s="21">
        <f t="shared" si="6"/>
        <v>427</v>
      </c>
      <c r="B434" s="85" t="str">
        <f ca="1">IFERROR(__xludf.DUMMYFUNCTION("GOOGLETRANSLATE(B3566:B3581,""RU"",""UK"")"),"Мітчик К 1 1/4"" ")</f>
        <v xml:space="preserve">Мітчик К 1 1/4" </v>
      </c>
      <c r="C434" s="59" t="s">
        <v>6</v>
      </c>
      <c r="D434" s="160">
        <v>3</v>
      </c>
      <c r="E434" s="91" t="s">
        <v>102</v>
      </c>
    </row>
    <row r="435" spans="1:5">
      <c r="A435" s="21">
        <f t="shared" si="6"/>
        <v>428</v>
      </c>
      <c r="B435" s="85" t="str">
        <f ca="1">IFERROR(__xludf.DUMMYFUNCTION("GOOGLETRANSLATE(B3567:B3582,""RU"",""UK"")"),"Мітчик К 1 1/2""")</f>
        <v>Мітчик К 1 1/2"</v>
      </c>
      <c r="C435" s="59" t="s">
        <v>6</v>
      </c>
      <c r="D435" s="59">
        <v>9</v>
      </c>
      <c r="E435" s="91" t="s">
        <v>663</v>
      </c>
    </row>
    <row r="436" spans="1:5">
      <c r="A436" s="21">
        <f t="shared" si="6"/>
        <v>429</v>
      </c>
      <c r="B436" s="85" t="str">
        <f ca="1">IFERROR(__xludf.DUMMYFUNCTION("GOOGLETRANSLATE(B3568:B3583,""RU"",""UK"")"),"Мітчик К 2"" ")</f>
        <v xml:space="preserve">Мітчик К 2" </v>
      </c>
      <c r="C436" s="59" t="s">
        <v>6</v>
      </c>
      <c r="D436" s="59">
        <v>8</v>
      </c>
      <c r="E436" s="91" t="s">
        <v>102</v>
      </c>
    </row>
    <row r="437" spans="1:5">
      <c r="A437" s="21">
        <f t="shared" si="6"/>
        <v>430</v>
      </c>
      <c r="B437" s="85" t="str">
        <f ca="1">IFERROR(__xludf.DUMMYFUNCTION("GOOGLETRANSLATE(B3559:B3574,""RU"",""UK"")"),"Мітчик К 29 Газ")</f>
        <v>Мітчик К 29 Газ</v>
      </c>
      <c r="C437" s="59" t="s">
        <v>6</v>
      </c>
      <c r="D437" s="59">
        <v>9</v>
      </c>
      <c r="E437" s="91">
        <v>500</v>
      </c>
    </row>
    <row r="438" spans="1:5">
      <c r="A438" s="21">
        <f t="shared" si="6"/>
        <v>431</v>
      </c>
      <c r="B438" s="85" t="str">
        <f ca="1">IFERROR(__xludf.DUMMYFUNCTION("GOOGLETRANSLATE(B3546:B3561,""RU"",""UK"")"),"Мітчик W (BSW -Британский стандарт Уитворта) 1/4"" (20ниток)")</f>
        <v>Мітчик W (BSW -Британский стандарт Уитворта) 1/4" (20ниток)</v>
      </c>
      <c r="C438" s="59" t="s">
        <v>6</v>
      </c>
      <c r="D438" s="59">
        <v>11</v>
      </c>
      <c r="E438" s="91" t="s">
        <v>162</v>
      </c>
    </row>
    <row r="439" spans="1:5">
      <c r="A439" s="21">
        <f t="shared" si="6"/>
        <v>432</v>
      </c>
      <c r="B439" s="85" t="str">
        <f ca="1">IFERROR(__xludf.DUMMYFUNCTION("GOOGLETRANSLATE(B3531:B3546,""RU"",""UK"")"),"Мітчик W 1/2"" маш./руч. (12 ниток)")</f>
        <v>Мітчик W 1/2" маш./руч. (12 ниток)</v>
      </c>
      <c r="C439" s="59" t="s">
        <v>4370</v>
      </c>
      <c r="D439" s="59">
        <v>22</v>
      </c>
      <c r="E439" s="91" t="s">
        <v>106</v>
      </c>
    </row>
    <row r="440" spans="1:5">
      <c r="A440" s="21">
        <f t="shared" si="6"/>
        <v>433</v>
      </c>
      <c r="B440" s="85" t="str">
        <f ca="1">IFERROR(__xludf.DUMMYFUNCTION("GOOGLETRANSLATE(B3542:B3557,""RU"",""UK"")"),"Мітчик W 1/2"" гаєчн. (12ниток)")</f>
        <v>Мітчик W 1/2" гаєчн. (12ниток)</v>
      </c>
      <c r="C440" s="59" t="s">
        <v>6</v>
      </c>
      <c r="D440" s="59">
        <v>1</v>
      </c>
      <c r="E440" s="91">
        <v>270</v>
      </c>
    </row>
    <row r="441" spans="1:5">
      <c r="A441" s="21">
        <f t="shared" si="6"/>
        <v>434</v>
      </c>
      <c r="B441" s="85" t="str">
        <f ca="1">IFERROR(__xludf.DUMMYFUNCTION("GOOGLETRANSLATE(B3542:B3557,""RU"",""UK"")"),"Мітчик W 1/2"" (14 ниток)")</f>
        <v>Мітчик W 1/2" (14 ниток)</v>
      </c>
      <c r="C441" s="59" t="s">
        <v>6</v>
      </c>
      <c r="D441" s="59">
        <v>4</v>
      </c>
      <c r="E441" s="91" t="s">
        <v>20</v>
      </c>
    </row>
    <row r="442" spans="1:5">
      <c r="A442" s="21">
        <f t="shared" si="6"/>
        <v>435</v>
      </c>
      <c r="B442" s="85" t="str">
        <f ca="1">IFERROR(__xludf.DUMMYFUNCTION("GOOGLETRANSLATE(B3545:B3560,""RU"",""UK"")"),"Мітчик W 3/4"" (10ниток) ")</f>
        <v xml:space="preserve">Мітчик W 3/4" (10ниток) </v>
      </c>
      <c r="C442" s="59" t="s">
        <v>4370</v>
      </c>
      <c r="D442" s="59">
        <v>42</v>
      </c>
      <c r="E442" s="91" t="s">
        <v>22</v>
      </c>
    </row>
    <row r="443" spans="1:5">
      <c r="A443" s="21">
        <f t="shared" si="6"/>
        <v>436</v>
      </c>
      <c r="B443" s="85" t="str">
        <f ca="1">IFERROR(__xludf.DUMMYFUNCTION("GOOGLETRANSLATE(B3551:B3566,""RU"",""UK"")"),"Мітчик W 3/4"" (16ниток) гаєчн. ")</f>
        <v xml:space="preserve">Мітчик W 3/4" (16ниток) гаєчн. </v>
      </c>
      <c r="C443" s="59" t="s">
        <v>6</v>
      </c>
      <c r="D443" s="59">
        <v>8</v>
      </c>
      <c r="E443" s="91">
        <v>648</v>
      </c>
    </row>
    <row r="444" spans="1:5">
      <c r="A444" s="21">
        <f t="shared" si="6"/>
        <v>437</v>
      </c>
      <c r="B444" s="85" t="str">
        <f ca="1">IFERROR(__xludf.DUMMYFUNCTION("GOOGLETRANSLATE(B3551:B3566,""RU"",""UK"")"),"Мітчик W 3/4"" (10ниток) гаєчн.")</f>
        <v>Мітчик W 3/4" (10ниток) гаєчн.</v>
      </c>
      <c r="C444" s="59" t="s">
        <v>6</v>
      </c>
      <c r="D444" s="59">
        <v>2</v>
      </c>
      <c r="E444" s="91">
        <v>390</v>
      </c>
    </row>
    <row r="445" spans="1:5">
      <c r="A445" s="21">
        <f t="shared" si="6"/>
        <v>438</v>
      </c>
      <c r="B445" s="85" t="str">
        <f ca="1">IFERROR(__xludf.DUMMYFUNCTION("GOOGLETRANSLATE(B3532:B3547,""RU"",""UK"")"),"Мітчик W 3/8"" маш./руч.(16ниток)")</f>
        <v>Мітчик W 3/8" маш./руч.(16ниток)</v>
      </c>
      <c r="C445" s="59" t="s">
        <v>4370</v>
      </c>
      <c r="D445" s="59">
        <v>3</v>
      </c>
      <c r="E445" s="91" t="s">
        <v>22</v>
      </c>
    </row>
    <row r="446" spans="1:5">
      <c r="A446" s="21">
        <f t="shared" si="6"/>
        <v>439</v>
      </c>
      <c r="B446" s="85" t="str">
        <f ca="1">IFERROR(__xludf.DUMMYFUNCTION("GOOGLETRANSLATE(B3532:B3547,""RU"",""UK"")"),"Мітчик W 3/8"" ")</f>
        <v xml:space="preserve">Мітчик W 3/8" </v>
      </c>
      <c r="C446" s="59" t="s">
        <v>4370</v>
      </c>
      <c r="D446" s="59">
        <v>1</v>
      </c>
      <c r="E446" s="91" t="s">
        <v>22</v>
      </c>
    </row>
    <row r="447" spans="1:5">
      <c r="A447" s="21">
        <f t="shared" si="6"/>
        <v>440</v>
      </c>
      <c r="B447" s="85" t="str">
        <f ca="1">IFERROR(__xludf.DUMMYFUNCTION("GOOGLETRANSLATE(B3546:B3561,""RU"",""UK"")"),"Мітчик W 3/16"" (24нитки)")</f>
        <v>Мітчик W 3/16" (24нитки)</v>
      </c>
      <c r="C447" s="59" t="s">
        <v>6</v>
      </c>
      <c r="D447" s="59">
        <v>2</v>
      </c>
      <c r="E447" s="91" t="s">
        <v>162</v>
      </c>
    </row>
    <row r="448" spans="1:5">
      <c r="A448" s="21">
        <f t="shared" si="6"/>
        <v>441</v>
      </c>
      <c r="B448" s="85" t="str">
        <f ca="1">IFERROR(__xludf.DUMMYFUNCTION("GOOGLETRANSLATE(B3533:B3548,""RU"",""UK"")"),"Мітчик W 5/8"" маш./руч. з 2х шт(11ниток)")</f>
        <v>Мітчик W 5/8" маш./руч. з 2х шт(11ниток)</v>
      </c>
      <c r="C448" s="59" t="s">
        <v>4370</v>
      </c>
      <c r="D448" s="59">
        <v>64</v>
      </c>
      <c r="E448" s="91" t="s">
        <v>16</v>
      </c>
    </row>
    <row r="449" spans="1:5">
      <c r="A449" s="21">
        <f t="shared" si="6"/>
        <v>442</v>
      </c>
      <c r="B449" s="85" t="str">
        <f ca="1">IFERROR(__xludf.DUMMYFUNCTION("GOOGLETRANSLATE(B3534:B3549,""RU"",""UK"")"),"Мітчик W 5/8"" маш./руч. з 3 шт (11 ниток)")</f>
        <v>Мітчик W 5/8" маш./руч. з 3 шт (11 ниток)</v>
      </c>
      <c r="C449" s="59" t="s">
        <v>4370</v>
      </c>
      <c r="D449" s="59">
        <v>10</v>
      </c>
      <c r="E449" s="91" t="s">
        <v>16</v>
      </c>
    </row>
    <row r="450" spans="1:5">
      <c r="A450" s="21">
        <f t="shared" si="6"/>
        <v>443</v>
      </c>
      <c r="B450" s="85" t="str">
        <f ca="1">IFERROR(__xludf.DUMMYFUNCTION("GOOGLETRANSLATE(B3556:B3571,""RU"",""UK"")"),"Мітчик W 5/8"" (11 ниток)")</f>
        <v>Мітчик W 5/8" (11 ниток)</v>
      </c>
      <c r="C450" s="79" t="s">
        <v>6</v>
      </c>
      <c r="D450" s="79">
        <v>4</v>
      </c>
      <c r="E450" s="108" t="s">
        <v>106</v>
      </c>
    </row>
    <row r="451" spans="1:5">
      <c r="A451" s="21">
        <f t="shared" si="6"/>
        <v>444</v>
      </c>
      <c r="B451" s="85" t="str">
        <f ca="1">IFERROR(__xludf.DUMMYFUNCTION("GOOGLETRANSLATE(B3556:B3571,""RU"",""UK"")"),"Мітчик W 5/8"" гаечн.(11ниток)")</f>
        <v>Мітчик W 5/8" гаечн.(11ниток)</v>
      </c>
      <c r="C451" s="79" t="s">
        <v>6</v>
      </c>
      <c r="D451" s="79">
        <v>5</v>
      </c>
      <c r="E451" s="108" t="s">
        <v>106</v>
      </c>
    </row>
    <row r="452" spans="1:5">
      <c r="A452" s="21">
        <f t="shared" si="6"/>
        <v>445</v>
      </c>
      <c r="B452" s="85" t="str">
        <f ca="1">IFERROR(__xludf.DUMMYFUNCTION("GOOGLETRANSLATE(B3545:B3560,""RU"",""UK"")"),"Мітчик W 5/16"" (18ниток)")</f>
        <v>Мітчик W 5/16" (18ниток)</v>
      </c>
      <c r="C452" s="59" t="s">
        <v>4370</v>
      </c>
      <c r="D452" s="59">
        <v>3</v>
      </c>
      <c r="E452" s="91" t="s">
        <v>22</v>
      </c>
    </row>
    <row r="453" spans="1:5">
      <c r="A453" s="21">
        <f t="shared" si="6"/>
        <v>446</v>
      </c>
      <c r="B453" s="85" t="str">
        <f ca="1">IFERROR(__xludf.DUMMYFUNCTION("GOOGLETRANSLATE(B3545:B3560,""RU"",""UK"")"),"Мітчик W 5/16"" ")</f>
        <v xml:space="preserve">Мітчик W 5/16" </v>
      </c>
      <c r="C453" s="59" t="s">
        <v>4370</v>
      </c>
      <c r="D453" s="59">
        <v>1</v>
      </c>
      <c r="E453" s="91" t="s">
        <v>22</v>
      </c>
    </row>
    <row r="454" spans="1:5">
      <c r="A454" s="21">
        <f t="shared" si="6"/>
        <v>447</v>
      </c>
      <c r="B454" s="85" t="str">
        <f ca="1">IFERROR(__xludf.DUMMYFUNCTION("GOOGLETRANSLATE(B3552:B3567,""RU"",""UK"")"),"Мітчик W 5/16"" (18ниток)")</f>
        <v>Мітчик W 5/16" (18ниток)</v>
      </c>
      <c r="C454" s="59" t="s">
        <v>6</v>
      </c>
      <c r="D454" s="59">
        <v>1</v>
      </c>
      <c r="E454" s="91" t="s">
        <v>106</v>
      </c>
    </row>
    <row r="455" spans="1:5">
      <c r="A455" s="21">
        <f t="shared" si="6"/>
        <v>448</v>
      </c>
      <c r="B455" s="85" t="str">
        <f ca="1">IFERROR(__xludf.DUMMYFUNCTION("GOOGLETRANSLATE(B3529:B3544,""RU"",""UK"")"),"Мітчик W 9/16"" (12 ниток)")</f>
        <v>Мітчик W 9/16" (12 ниток)</v>
      </c>
      <c r="C455" s="59" t="s">
        <v>4370</v>
      </c>
      <c r="D455" s="59">
        <v>25</v>
      </c>
      <c r="E455" s="91" t="s">
        <v>1704</v>
      </c>
    </row>
    <row r="456" spans="1:5">
      <c r="A456" s="21">
        <f t="shared" si="6"/>
        <v>449</v>
      </c>
      <c r="B456" s="85" t="str">
        <f ca="1">IFERROR(__xludf.DUMMYFUNCTION("GOOGLETRANSLATE(B3537:B3552,""RU"",""UK"")"),"Мітчик W 7/8"" маш.руч. (9ниток)")</f>
        <v>Мітчик W 7/8" маш.руч. (9ниток)</v>
      </c>
      <c r="C456" s="59" t="s">
        <v>4370</v>
      </c>
      <c r="D456" s="171">
        <v>68</v>
      </c>
      <c r="E456" s="91" t="s">
        <v>22</v>
      </c>
    </row>
    <row r="457" spans="1:5">
      <c r="A457" s="21">
        <f t="shared" si="6"/>
        <v>450</v>
      </c>
      <c r="B457" s="85" t="str">
        <f ca="1">IFERROR(__xludf.DUMMYFUNCTION("GOOGLETRANSLATE(B3552:B3567,""RU"",""UK"")"),"Мітчик W 7/8"" (14ниток)")</f>
        <v>Мітчик W 7/8" (14ниток)</v>
      </c>
      <c r="C457" s="59" t="s">
        <v>6</v>
      </c>
      <c r="D457" s="59">
        <v>10</v>
      </c>
      <c r="E457" s="91" t="s">
        <v>106</v>
      </c>
    </row>
    <row r="458" spans="1:5">
      <c r="A458" s="21">
        <f t="shared" si="6"/>
        <v>451</v>
      </c>
      <c r="B458" s="164" t="s">
        <v>6221</v>
      </c>
      <c r="C458" s="59" t="s">
        <v>4370</v>
      </c>
      <c r="D458" s="171">
        <v>0</v>
      </c>
      <c r="E458" s="91">
        <v>360</v>
      </c>
    </row>
    <row r="459" spans="1:5">
      <c r="A459" s="21">
        <f t="shared" si="6"/>
        <v>452</v>
      </c>
      <c r="B459" s="85" t="str">
        <f ca="1">IFERROR(__xludf.DUMMYFUNCTION("GOOGLETRANSLATE(B3555:B3570,""RU"",""UK"")"),"Мітчик W 1"" (8ниток)")</f>
        <v>Мітчик W 1" (8ниток)</v>
      </c>
      <c r="C459" s="59" t="s">
        <v>6</v>
      </c>
      <c r="D459" s="59">
        <v>1</v>
      </c>
      <c r="E459" s="91" t="s">
        <v>27</v>
      </c>
    </row>
    <row r="460" spans="1:5">
      <c r="A460" s="21">
        <f t="shared" si="6"/>
        <v>453</v>
      </c>
      <c r="B460" s="85" t="str">
        <f ca="1">IFERROR(__xludf.DUMMYFUNCTION("GOOGLETRANSLATE(B3562:B3577,""RU"",""UK"")"),"Мітчик W 1"" гаєчн.(8ниток)")</f>
        <v>Мітчик W 1" гаєчн.(8ниток)</v>
      </c>
      <c r="C460" s="59" t="s">
        <v>6</v>
      </c>
      <c r="D460" s="59">
        <v>10</v>
      </c>
      <c r="E460" s="91" t="s">
        <v>272</v>
      </c>
    </row>
    <row r="461" spans="1:5">
      <c r="A461" s="21">
        <f t="shared" si="6"/>
        <v>454</v>
      </c>
      <c r="B461" s="85" t="str">
        <f ca="1">IFERROR(__xludf.DUMMYFUNCTION("GOOGLETRANSLATE(B3563:B3578,""RU"",""UK"")"),"Мітчик W 1"" (8ниток)")</f>
        <v>Мітчик W 1" (8ниток)</v>
      </c>
      <c r="C461" s="59" t="s">
        <v>4370</v>
      </c>
      <c r="D461" s="59">
        <v>18</v>
      </c>
      <c r="E461" s="91" t="s">
        <v>4633</v>
      </c>
    </row>
    <row r="462" spans="1:5">
      <c r="A462" s="21">
        <f t="shared" si="6"/>
        <v>455</v>
      </c>
      <c r="B462" s="85" t="str">
        <f ca="1">IFERROR(__xludf.DUMMYFUNCTION("GOOGLETRANSLATE(B3564:B3579,""RU"",""UK"")"),"Мітчик W 1"" гаєч. (8ниток)")</f>
        <v>Мітчик W 1" гаєч. (8ниток)</v>
      </c>
      <c r="C462" s="59" t="s">
        <v>6</v>
      </c>
      <c r="D462" s="59">
        <v>16</v>
      </c>
      <c r="E462" s="91" t="s">
        <v>22</v>
      </c>
    </row>
    <row r="463" spans="1:5">
      <c r="A463" s="21">
        <f t="shared" si="6"/>
        <v>456</v>
      </c>
      <c r="B463" s="85" t="str">
        <f ca="1">IFERROR(__xludf.DUMMYFUNCTION("GOOGLETRANSLATE(B3553:B3568,""RU"",""UK"")"),"Мітчик W 1 1/8"" (16ниток)прав ")</f>
        <v xml:space="preserve">Мітчик W 1 1/8" (16ниток)прав </v>
      </c>
      <c r="C463" s="59" t="s">
        <v>6</v>
      </c>
      <c r="D463" s="59">
        <v>1</v>
      </c>
      <c r="E463" s="91" t="s">
        <v>413</v>
      </c>
    </row>
    <row r="464" spans="1:5">
      <c r="A464" s="21">
        <f t="shared" si="6"/>
        <v>457</v>
      </c>
      <c r="B464" s="85" t="str">
        <f ca="1">IFERROR(__xludf.DUMMYFUNCTION("GOOGLETRANSLATE(B3553:B3568,""RU"",""UK"")"),"Мітчик W 1 1/8"" (16ниток)лев")</f>
        <v>Мітчик W 1 1/8" (16ниток)лев</v>
      </c>
      <c r="C464" s="59" t="s">
        <v>6</v>
      </c>
      <c r="D464" s="59">
        <v>1</v>
      </c>
      <c r="E464" s="91" t="s">
        <v>413</v>
      </c>
    </row>
    <row r="465" spans="1:5">
      <c r="A465" s="21">
        <f t="shared" si="6"/>
        <v>458</v>
      </c>
      <c r="B465" s="85" t="str">
        <f ca="1">IFERROR(__xludf.DUMMYFUNCTION("GOOGLETRANSLATE(B3554:B3569,""RU"",""UK"")"),"Мітчик W 1 1/16"" (12 ниток)")</f>
        <v>Мітчик W 1 1/16" (12 ниток)</v>
      </c>
      <c r="C465" s="59" t="s">
        <v>6</v>
      </c>
      <c r="D465" s="59">
        <v>3</v>
      </c>
      <c r="E465" s="91" t="s">
        <v>413</v>
      </c>
    </row>
    <row r="466" spans="1:5">
      <c r="A466" s="21">
        <f t="shared" si="6"/>
        <v>459</v>
      </c>
      <c r="B466" s="85" t="str">
        <f ca="1">IFERROR(__xludf.DUMMYFUNCTION("GOOGLETRANSLATE(B3564:B3579,""RU"",""UK"")"),"Мітчик W 1 1/8"" (7ниток)")</f>
        <v>Мітчик W 1 1/8" (7ниток)</v>
      </c>
      <c r="C466" s="59" t="s">
        <v>6</v>
      </c>
      <c r="D466" s="59">
        <v>2</v>
      </c>
      <c r="E466" s="91">
        <v>450</v>
      </c>
    </row>
    <row r="467" spans="1:5">
      <c r="A467" s="21">
        <f t="shared" si="6"/>
        <v>460</v>
      </c>
      <c r="B467" s="85" t="str">
        <f ca="1">IFERROR(__xludf.DUMMYFUNCTION("GOOGLETRANSLATE(B3564:B3579,""RU"",""UK"")"),"Мітчик W 1 3/8"" (6ниток) ")</f>
        <v xml:space="preserve">Мітчик W 1 3/8" (6ниток) </v>
      </c>
      <c r="C467" s="59" t="s">
        <v>6</v>
      </c>
      <c r="D467" s="59">
        <v>1</v>
      </c>
      <c r="E467" s="91">
        <v>480</v>
      </c>
    </row>
    <row r="468" spans="1:5">
      <c r="A468" s="21">
        <f t="shared" si="6"/>
        <v>461</v>
      </c>
      <c r="B468" s="85" t="str">
        <f ca="1">IFERROR(__xludf.DUMMYFUNCTION("GOOGLETRANSLATE(B3565:B3580,""RU"",""UK"")"),"Мітчик W 1 3/8"" (6ниток) (з 3х шт)")</f>
        <v>Мітчик W 1 3/8" (6ниток) (з 3х шт)</v>
      </c>
      <c r="C468" s="59" t="s">
        <v>4370</v>
      </c>
      <c r="D468" s="59">
        <v>1</v>
      </c>
      <c r="E468" s="91" t="s">
        <v>842</v>
      </c>
    </row>
    <row r="469" spans="1:5">
      <c r="A469" s="21">
        <f t="shared" si="6"/>
        <v>462</v>
      </c>
      <c r="B469" s="85" t="str">
        <f ca="1">IFERROR(__xludf.DUMMYFUNCTION("GOOGLETRANSLATE(B3565:B3580,""RU"",""UK"")"),"Мітчик W 1 3/8"" (10ниток) (з 3х шт)")</f>
        <v>Мітчик W 1 3/8" (10ниток) (з 3х шт)</v>
      </c>
      <c r="C469" s="59" t="s">
        <v>4370</v>
      </c>
      <c r="D469" s="59">
        <v>1</v>
      </c>
      <c r="E469" s="91">
        <v>660</v>
      </c>
    </row>
  </sheetData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zoomScale="220" zoomScaleNormal="220" workbookViewId="0">
      <selection activeCell="D3" sqref="D3"/>
    </sheetView>
  </sheetViews>
  <sheetFormatPr defaultRowHeight="12.75"/>
  <cols>
    <col min="2" max="2" width="53.28515625" customWidth="1"/>
    <col min="5" max="5" width="19.7109375" customWidth="1"/>
  </cols>
  <sheetData>
    <row r="1" spans="1:5">
      <c r="A1" s="22"/>
      <c r="B1" s="131" t="str">
        <f ca="1">IFERROR(__xludf.DUMMYFUNCTION("GOOGLETRANSLATE(B2062:B2077,""RU"",""UK"")"),"18. МЕТАЛОРІЖУЧИЙ  ІНСТРУМЕНТ")</f>
        <v>18. МЕТАЛОРІЖУЧИЙ  ІНСТРУМЕНТ</v>
      </c>
      <c r="C1" s="29"/>
      <c r="D1" s="29"/>
      <c r="E1" s="95"/>
    </row>
    <row r="2" spans="1:5">
      <c r="A2" s="21">
        <v>1</v>
      </c>
      <c r="B2" s="85" t="str">
        <f ca="1">IFERROR(__xludf.DUMMYFUNCTION("GOOGLETRANSLATE(B2063:B2078,""RU"",""UK"")"),"Ножовка по металу")</f>
        <v>Ножовка по металу</v>
      </c>
      <c r="C2" s="59" t="s">
        <v>6</v>
      </c>
      <c r="D2" s="59">
        <v>12</v>
      </c>
      <c r="E2" s="91" t="s">
        <v>319</v>
      </c>
    </row>
    <row r="3" spans="1:5">
      <c r="A3" s="21">
        <f>A2+1</f>
        <v>2</v>
      </c>
      <c r="B3" s="169" t="str">
        <f ca="1">IFERROR(__xludf.DUMMYFUNCTION("GOOGLETRANSLATE(B2064:B2079,""RU"",""UK"")"),"Полотно нож. ручне")</f>
        <v>Полотно нож. ручне</v>
      </c>
      <c r="C3" s="59" t="s">
        <v>6</v>
      </c>
      <c r="D3" s="59">
        <v>53</v>
      </c>
      <c r="E3" s="91">
        <v>17</v>
      </c>
    </row>
    <row r="4" spans="1:5">
      <c r="A4" s="21">
        <f t="shared" ref="A4:A34" si="0">A3+1</f>
        <v>3</v>
      </c>
      <c r="B4" s="85" t="str">
        <f ca="1">IFERROR(__xludf.DUMMYFUNCTION("GOOGLETRANSLATE(B2065:B2080,""RU"",""UK"")"),"Полотно машинне (Робеля) 350х32х4х2 -11Р3АМ3Ф2")</f>
        <v>Полотно машинне (Робеля) 350х32х4х2 -11Р3АМ3Ф2</v>
      </c>
      <c r="C4" s="59" t="s">
        <v>6</v>
      </c>
      <c r="D4" s="59">
        <v>12</v>
      </c>
      <c r="E4" s="91">
        <v>270</v>
      </c>
    </row>
    <row r="5" spans="1:5">
      <c r="A5" s="21">
        <f t="shared" si="0"/>
        <v>4</v>
      </c>
      <c r="B5" s="85" t="str">
        <f ca="1">IFERROR(__xludf.DUMMYFUNCTION("GOOGLETRANSLATE(B2066:B2081,""RU"",""UK"")"),"Полотно машинне (Робеля) 400х32х4х2 Р6М5")</f>
        <v>Полотно машинне (Робеля) 400х32х4х2 Р6М5</v>
      </c>
      <c r="C5" s="59" t="s">
        <v>6</v>
      </c>
      <c r="D5" s="59">
        <v>14</v>
      </c>
      <c r="E5" s="91">
        <v>300</v>
      </c>
    </row>
    <row r="6" spans="1:5">
      <c r="A6" s="21">
        <f t="shared" si="0"/>
        <v>5</v>
      </c>
      <c r="B6" s="169" t="str">
        <f ca="1">IFERROR(__xludf.DUMMYFUNCTION("GOOGLETRANSLATE(B2067:B2082,""RU"",""UK"")"),"Полотно машинне (Робеля) 450х32х4х2 Р6М5")</f>
        <v>Полотно машинне (Робеля) 450х32х4х2 Р6М5</v>
      </c>
      <c r="C6" s="59" t="s">
        <v>6</v>
      </c>
      <c r="D6" s="59">
        <v>19</v>
      </c>
      <c r="E6" s="91">
        <v>360</v>
      </c>
    </row>
    <row r="7" spans="1:5">
      <c r="A7" s="21">
        <f t="shared" si="0"/>
        <v>6</v>
      </c>
      <c r="B7" s="164" t="str">
        <f ca="1">IFERROR(__xludf.DUMMYFUNCTION("GOOGLETRANSLATE(B2068:B2083,""RU"",""UK"")"),"Полотно машинне (Робеля) 450х40х4х2 Р6М5")</f>
        <v>Полотно машинне (Робеля) 450х40х4х2 Р6М5</v>
      </c>
      <c r="C7" s="59" t="s">
        <v>6</v>
      </c>
      <c r="D7" s="59">
        <v>4</v>
      </c>
      <c r="E7" s="91">
        <v>490</v>
      </c>
    </row>
    <row r="8" spans="1:5">
      <c r="A8" s="21">
        <f t="shared" si="0"/>
        <v>7</v>
      </c>
      <c r="B8" s="169" t="str">
        <f ca="1">IFERROR(__xludf.DUMMYFUNCTION("GOOGLETRANSLATE(B2068:B2083,""RU"",""UK"")"),"Полотно машинне (Робеля) 450х40х4х2 Р6М5 PILONA Чехія")</f>
        <v>Полотно машинне (Робеля) 450х40х4х2 Р6М5 PILONA Чехія</v>
      </c>
      <c r="C8" s="59" t="s">
        <v>6</v>
      </c>
      <c r="D8" s="59">
        <v>10</v>
      </c>
      <c r="E8" s="91">
        <v>525</v>
      </c>
    </row>
    <row r="9" spans="1:5">
      <c r="A9" s="21">
        <f t="shared" si="0"/>
        <v>8</v>
      </c>
      <c r="B9" s="164" t="str">
        <f ca="1">IFERROR(__xludf.DUMMYFUNCTION("GOOGLETRANSLATE(B2069:B2084,""RU"",""UK"")"),"Полотно машинне (Робеля) 500х40х4х2")</f>
        <v>Полотно машинне (Робеля) 500х40х4х2</v>
      </c>
      <c r="C9" s="59" t="s">
        <v>6</v>
      </c>
      <c r="D9" s="59">
        <v>0</v>
      </c>
      <c r="E9" s="91">
        <v>540</v>
      </c>
    </row>
    <row r="10" spans="1:5">
      <c r="A10" s="21">
        <f t="shared" si="0"/>
        <v>9</v>
      </c>
      <c r="B10" s="85" t="str">
        <f ca="1">IFERROR(__xludf.DUMMYFUNCTION("GOOGLETRANSLATE(B2071:B2086,""RU"",""UK"")"),"Пила сегментна 510мм (4зуб)")</f>
        <v>Пила сегментна 510мм (4зуб)</v>
      </c>
      <c r="C10" s="59" t="s">
        <v>6</v>
      </c>
      <c r="D10" s="59">
        <v>1</v>
      </c>
      <c r="E10" s="91" t="s">
        <v>2814</v>
      </c>
    </row>
    <row r="11" spans="1:5">
      <c r="A11" s="21">
        <f t="shared" si="0"/>
        <v>10</v>
      </c>
      <c r="B11" s="85" t="str">
        <f ca="1">IFERROR(__xludf.DUMMYFUNCTION("GOOGLETRANSLATE(B2072:B2087,""RU"",""UK"")"),"Пила сегментна 610мм (4зуб)")</f>
        <v>Пила сегментна 610мм (4зуб)</v>
      </c>
      <c r="C11" s="59" t="s">
        <v>6</v>
      </c>
      <c r="D11" s="59">
        <v>1</v>
      </c>
      <c r="E11" s="91">
        <v>1500</v>
      </c>
    </row>
    <row r="12" spans="1:5">
      <c r="A12" s="21">
        <f t="shared" si="0"/>
        <v>11</v>
      </c>
      <c r="B12" s="85" t="str">
        <f ca="1">IFERROR(__xludf.DUMMYFUNCTION("GOOGLETRANSLATE(B2072:B2087,""RU"",""UK"")"),"Пила сегментна 630мм (4зуб)")</f>
        <v>Пила сегментна 630мм (4зуб)</v>
      </c>
      <c r="C12" s="59" t="s">
        <v>6</v>
      </c>
      <c r="D12" s="59">
        <v>1</v>
      </c>
      <c r="E12" s="91" t="s">
        <v>2816</v>
      </c>
    </row>
    <row r="13" spans="1:5">
      <c r="A13" s="21">
        <f t="shared" si="0"/>
        <v>12</v>
      </c>
      <c r="B13" s="169" t="str">
        <f ca="1">IFERROR(__xludf.DUMMYFUNCTION("GOOGLETRANSLATE(B2072:B2087,""RU"",""UK"")"),"Пила сегментна 630мм (6зуб)")</f>
        <v>Пила сегментна 630мм (6зуб)</v>
      </c>
      <c r="C13" s="59" t="s">
        <v>6</v>
      </c>
      <c r="D13" s="59">
        <v>2</v>
      </c>
      <c r="E13" s="91" t="s">
        <v>2816</v>
      </c>
    </row>
    <row r="14" spans="1:5">
      <c r="A14" s="21">
        <f t="shared" si="0"/>
        <v>13</v>
      </c>
      <c r="B14" s="85" t="str">
        <f ca="1">IFERROR(__xludf.DUMMYFUNCTION("GOOGLETRANSLATE(B2073:B2088,""RU"",""UK"")"),"Пила сегментна 710мм (8зуб)")</f>
        <v>Пила сегментна 710мм (8зуб)</v>
      </c>
      <c r="C14" s="59" t="s">
        <v>6</v>
      </c>
      <c r="D14" s="59">
        <v>1</v>
      </c>
      <c r="E14" s="91" t="s">
        <v>910</v>
      </c>
    </row>
    <row r="15" spans="1:5">
      <c r="A15" s="21">
        <f t="shared" si="0"/>
        <v>14</v>
      </c>
      <c r="B15" s="85" t="str">
        <f ca="1">IFERROR(__xludf.DUMMYFUNCTION("GOOGLETRANSLATE(B2074:B2089,""RU"",""UK"")"),"Ножиці важільні для дроту до 3мм СРСР (дерев'яна ручка)")</f>
        <v>Ножиці важільні для дроту до 3мм СРСР (дерев'яна ручка)</v>
      </c>
      <c r="C15" s="59" t="s">
        <v>6</v>
      </c>
      <c r="D15" s="59">
        <v>6</v>
      </c>
      <c r="E15" s="91" t="s">
        <v>78</v>
      </c>
    </row>
    <row r="16" spans="1:5">
      <c r="A16" s="21">
        <f t="shared" si="0"/>
        <v>15</v>
      </c>
      <c r="B16" s="85" t="str">
        <f ca="1">IFERROR(__xludf.DUMMYFUNCTION("GOOGLETRANSLATE(B2075:B2090,""RU"",""UK"")"),"Ножиці важільні для дроту до 6мм СРСР")</f>
        <v>Ножиці важільні для дроту до 6мм СРСР</v>
      </c>
      <c r="C16" s="59" t="s">
        <v>6</v>
      </c>
      <c r="D16" s="59">
        <v>6</v>
      </c>
      <c r="E16" s="91" t="s">
        <v>100</v>
      </c>
    </row>
    <row r="17" spans="1:5">
      <c r="A17" s="21">
        <f t="shared" si="0"/>
        <v>16</v>
      </c>
      <c r="B17" s="85" t="str">
        <f ca="1">IFERROR(__xludf.DUMMYFUNCTION("GOOGLETRANSLATE(B2076:B2091,""RU"",""UK"")"),"Ножиці важільні для дроту до 8мм СРСР")</f>
        <v>Ножиці важільні для дроту до 8мм СРСР</v>
      </c>
      <c r="C17" s="59" t="s">
        <v>6</v>
      </c>
      <c r="D17" s="59">
        <v>4</v>
      </c>
      <c r="E17" s="91" t="s">
        <v>231</v>
      </c>
    </row>
    <row r="18" spans="1:5">
      <c r="A18" s="21">
        <f t="shared" si="0"/>
        <v>17</v>
      </c>
      <c r="B18" s="85" t="str">
        <f ca="1">IFERROR(__xludf.DUMMYFUNCTION("GOOGLETRANSLATE(B2077:B2092,""RU"",""UK"")"),"Ножиці ручні для різання листової сталі, 250мм")</f>
        <v>Ножиці ручні для різання листової сталі, 250мм</v>
      </c>
      <c r="C18" s="59" t="s">
        <v>6</v>
      </c>
      <c r="D18" s="59">
        <v>1</v>
      </c>
      <c r="E18" s="91">
        <v>380</v>
      </c>
    </row>
    <row r="19" spans="1:5">
      <c r="A19" s="21">
        <f t="shared" si="0"/>
        <v>18</v>
      </c>
      <c r="B19" s="85" t="str">
        <f ca="1">IFERROR(__xludf.DUMMYFUNCTION("GOOGLETRANSLATE(B2077:B2092,""RU"",""UK"")"),"Ножиці ручні для різання листової сталі, 420мм")</f>
        <v>Ножиці ручні для різання листової сталі, 420мм</v>
      </c>
      <c r="C19" s="59" t="s">
        <v>6</v>
      </c>
      <c r="D19" s="59">
        <v>1</v>
      </c>
      <c r="E19" s="91">
        <v>650</v>
      </c>
    </row>
    <row r="20" spans="1:5">
      <c r="A20" s="21">
        <f t="shared" si="0"/>
        <v>19</v>
      </c>
      <c r="B20" s="85" t="str">
        <f ca="1">IFERROR(__xludf.DUMMYFUNCTION("GOOGLETRANSLATE(B2077:B2092,""RU"",""UK"")"),"Ножиці для різання листової сталі до 2мм (кріплення у дерев'яну колоду)")</f>
        <v>Ножиці для різання листової сталі до 2мм (кріплення у дерев'яну колоду)</v>
      </c>
      <c r="C20" s="59" t="s">
        <v>6</v>
      </c>
      <c r="D20" s="59">
        <v>1</v>
      </c>
      <c r="E20" s="91" t="s">
        <v>1086</v>
      </c>
    </row>
    <row r="21" spans="1:5">
      <c r="A21" s="21">
        <f t="shared" si="0"/>
        <v>20</v>
      </c>
      <c r="B21" s="85" t="str">
        <f ca="1">IFERROR(__xludf.DUMMYFUNCTION("GOOGLETRANSLATE(B2078:B2093,""RU"",""UK"")"),"Ножиці стільці для різання листової сталі до 3мм")</f>
        <v>Ножиці стільці для різання листової сталі до 3мм</v>
      </c>
      <c r="C21" s="59" t="s">
        <v>6</v>
      </c>
      <c r="D21" s="59">
        <v>2</v>
      </c>
      <c r="E21" s="91" t="s">
        <v>2823</v>
      </c>
    </row>
    <row r="22" spans="1:5">
      <c r="A22" s="21">
        <f t="shared" si="0"/>
        <v>21</v>
      </c>
      <c r="B22" s="85" t="s">
        <v>6367</v>
      </c>
      <c r="C22" s="59" t="s">
        <v>378</v>
      </c>
      <c r="D22" s="59">
        <v>1</v>
      </c>
      <c r="E22" s="91">
        <v>60000</v>
      </c>
    </row>
    <row r="23" spans="1:5">
      <c r="A23" s="21">
        <f t="shared" si="0"/>
        <v>22</v>
      </c>
      <c r="B23" s="85" t="str">
        <f ca="1">IFERROR(__xludf.DUMMYFUNCTION("GOOGLETRANSLATE(B2080:B2095,""RU"",""UK"")"),"Клейма цифрові 2мм")</f>
        <v>Клейма цифрові 2мм</v>
      </c>
      <c r="C23" s="59" t="s">
        <v>378</v>
      </c>
      <c r="D23" s="59">
        <v>5</v>
      </c>
      <c r="E23" s="91">
        <v>600</v>
      </c>
    </row>
    <row r="24" spans="1:5">
      <c r="A24" s="21">
        <f t="shared" si="0"/>
        <v>23</v>
      </c>
      <c r="B24" s="169" t="str">
        <f ca="1">IFERROR(__xludf.DUMMYFUNCTION("GOOGLETRANSLATE(B2080:B2095,""RU"",""UK"")"),"Клейма цифрові 3мм")</f>
        <v>Клейма цифрові 3мм</v>
      </c>
      <c r="C24" s="59" t="s">
        <v>378</v>
      </c>
      <c r="D24" s="59">
        <v>3</v>
      </c>
      <c r="E24" s="91" t="s">
        <v>78</v>
      </c>
    </row>
    <row r="25" spans="1:5">
      <c r="A25" s="21">
        <f t="shared" si="0"/>
        <v>24</v>
      </c>
      <c r="B25" s="85" t="str">
        <f ca="1">IFERROR(__xludf.DUMMYFUNCTION("GOOGLETRANSLATE(B2081:B2096,""RU"",""UK"")"),"Клейма цифрові 4мм")</f>
        <v>Клейма цифрові 4мм</v>
      </c>
      <c r="C25" s="59" t="s">
        <v>378</v>
      </c>
      <c r="D25" s="59">
        <v>5</v>
      </c>
      <c r="E25" s="91" t="s">
        <v>33</v>
      </c>
    </row>
    <row r="26" spans="1:5">
      <c r="A26" s="21">
        <f t="shared" si="0"/>
        <v>25</v>
      </c>
      <c r="B26" s="85" t="str">
        <f ca="1">IFERROR(__xludf.DUMMYFUNCTION("GOOGLETRANSLATE(B2082:B2097,""RU"",""UK"")"),"Клейма цифрові 5мм")</f>
        <v>Клейма цифрові 5мм</v>
      </c>
      <c r="C26" s="59" t="s">
        <v>378</v>
      </c>
      <c r="D26" s="59">
        <v>6</v>
      </c>
      <c r="E26" s="91" t="s">
        <v>1874</v>
      </c>
    </row>
    <row r="27" spans="1:5">
      <c r="A27" s="21">
        <f t="shared" si="0"/>
        <v>26</v>
      </c>
      <c r="B27" s="85" t="str">
        <f ca="1">IFERROR(__xludf.DUMMYFUNCTION("GOOGLETRANSLATE(B2083:B2098,""RU"",""UK"")"),"Клейма цифрові 6мм")</f>
        <v>Клейма цифрові 6мм</v>
      </c>
      <c r="C27" s="59" t="s">
        <v>378</v>
      </c>
      <c r="D27" s="59">
        <v>10</v>
      </c>
      <c r="E27" s="91" t="s">
        <v>102</v>
      </c>
    </row>
    <row r="28" spans="1:5">
      <c r="A28" s="21">
        <f t="shared" si="0"/>
        <v>27</v>
      </c>
      <c r="B28" s="85" t="str">
        <f ca="1">IFERROR(__xludf.DUMMYFUNCTION("GOOGLETRANSLATE(B2084:B2099,""RU"",""UK"")"),"Клейма цифрові 10мм")</f>
        <v>Клейма цифрові 10мм</v>
      </c>
      <c r="C28" s="59" t="s">
        <v>378</v>
      </c>
      <c r="D28" s="59">
        <v>4</v>
      </c>
      <c r="E28" s="91" t="s">
        <v>88</v>
      </c>
    </row>
    <row r="29" spans="1:5">
      <c r="A29" s="21">
        <f t="shared" si="0"/>
        <v>28</v>
      </c>
      <c r="B29" s="85" t="str">
        <f ca="1">IFERROR(__xludf.DUMMYFUNCTION("GOOGLETRANSLATE(B2085:B2100,""RU"",""UK"")"),"Клейма алфавіт 2мм")</f>
        <v>Клейма алфавіт 2мм</v>
      </c>
      <c r="C29" s="59" t="s">
        <v>378</v>
      </c>
      <c r="D29" s="59">
        <v>1</v>
      </c>
      <c r="E29" s="91" t="s">
        <v>231</v>
      </c>
    </row>
    <row r="30" spans="1:5">
      <c r="A30" s="21">
        <f t="shared" si="0"/>
        <v>29</v>
      </c>
      <c r="B30" s="85" t="str">
        <f ca="1">IFERROR(__xludf.DUMMYFUNCTION("GOOGLETRANSLATE(B2085:B2100,""RU"",""UK"")"),"Клейма алфавіт 3мм")</f>
        <v>Клейма алфавіт 3мм</v>
      </c>
      <c r="C30" s="59" t="s">
        <v>378</v>
      </c>
      <c r="D30" s="59">
        <v>0</v>
      </c>
      <c r="E30" s="91" t="s">
        <v>231</v>
      </c>
    </row>
    <row r="31" spans="1:5">
      <c r="A31" s="21">
        <f t="shared" si="0"/>
        <v>30</v>
      </c>
      <c r="B31" s="85" t="str">
        <f ca="1">IFERROR(__xludf.DUMMYFUNCTION("GOOGLETRANSLATE(B2087:B2102,""RU"",""UK"")"),"Клейма алфавіт 5мм")</f>
        <v>Клейма алфавіт 5мм</v>
      </c>
      <c r="C31" s="59" t="s">
        <v>378</v>
      </c>
      <c r="D31" s="59">
        <v>1</v>
      </c>
      <c r="E31" s="91" t="s">
        <v>2834</v>
      </c>
    </row>
    <row r="32" spans="1:5">
      <c r="A32" s="21">
        <f t="shared" si="0"/>
        <v>31</v>
      </c>
      <c r="B32" s="85" t="str">
        <f ca="1">IFERROR(__xludf.DUMMYFUNCTION("GOOGLETRANSLATE(B2088:B2103,""RU"",""UK"")"),"Клейма алфавіт 6мм")</f>
        <v>Клейма алфавіт 6мм</v>
      </c>
      <c r="C32" s="59" t="s">
        <v>378</v>
      </c>
      <c r="D32" s="59">
        <v>5</v>
      </c>
      <c r="E32" s="91" t="s">
        <v>237</v>
      </c>
    </row>
    <row r="33" spans="1:5">
      <c r="A33" s="21">
        <f t="shared" si="0"/>
        <v>32</v>
      </c>
      <c r="B33" s="115" t="str">
        <f ca="1">IFERROR(__xludf.DUMMYFUNCTION("GOOGLETRANSLATE(B2089:B2104,""RU"",""UK"")"),"Клейма алфавіт 8мм")</f>
        <v>Клейма алфавіт 8мм</v>
      </c>
      <c r="C33" s="59" t="s">
        <v>378</v>
      </c>
      <c r="D33" s="59">
        <v>1</v>
      </c>
      <c r="E33" s="91">
        <v>1800</v>
      </c>
    </row>
    <row r="34" spans="1:5">
      <c r="A34" s="21">
        <f t="shared" si="0"/>
        <v>33</v>
      </c>
      <c r="B34" s="199" t="str">
        <f ca="1">IFERROR(__xludf.DUMMYFUNCTION("GOOGLETRANSLATE(B2089:B2104,""RU"",""UK"")"),"Клейма алфавіт 8мм без А")</f>
        <v>Клейма алфавіт 8мм без А</v>
      </c>
      <c r="C34" s="59" t="s">
        <v>378</v>
      </c>
      <c r="D34" s="59">
        <v>1</v>
      </c>
      <c r="E34" s="91" t="s">
        <v>237</v>
      </c>
    </row>
  </sheetData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6"/>
  <sheetViews>
    <sheetView topLeftCell="A108" zoomScale="220" zoomScaleNormal="220" workbookViewId="0">
      <selection activeCell="D115" sqref="D115"/>
    </sheetView>
  </sheetViews>
  <sheetFormatPr defaultRowHeight="12.75"/>
  <cols>
    <col min="2" max="2" width="64.85546875" customWidth="1"/>
  </cols>
  <sheetData>
    <row r="1" spans="1:5">
      <c r="A1" s="68"/>
      <c r="B1" s="110" t="s">
        <v>6038</v>
      </c>
      <c r="C1" s="69"/>
      <c r="D1" s="69"/>
      <c r="E1" s="106"/>
    </row>
    <row r="2" spans="1:5">
      <c r="A2" s="21">
        <v>1</v>
      </c>
      <c r="B2" s="85" t="str">
        <f ca="1">IFERROR(__xludf.DUMMYFUNCTION("GOOGLETRANSLATE(B2406:B2421,""RU"",""UK"")"),"Втулка перехідна конус 2/1")</f>
        <v>Втулка перехідна конус 2/1</v>
      </c>
      <c r="C2" s="59" t="s">
        <v>6</v>
      </c>
      <c r="D2" s="59">
        <v>103</v>
      </c>
      <c r="E2" s="91">
        <v>162</v>
      </c>
    </row>
    <row r="3" spans="1:5">
      <c r="A3" s="21">
        <f>A2+1</f>
        <v>2</v>
      </c>
      <c r="B3" s="85" t="str">
        <f ca="1">IFERROR(__xludf.DUMMYFUNCTION("GOOGLETRANSLATE(B2407:B2422,""RU"",""UK"")"),"Втулка перехідна конус 2/1 удл 150мм")</f>
        <v>Втулка перехідна конус 2/1 удл 150мм</v>
      </c>
      <c r="C3" s="59" t="s">
        <v>6</v>
      </c>
      <c r="D3" s="59">
        <v>1</v>
      </c>
      <c r="E3" s="91">
        <v>240</v>
      </c>
    </row>
    <row r="4" spans="1:5">
      <c r="A4" s="21">
        <f t="shared" ref="A4:A86" si="0">A3+1</f>
        <v>3</v>
      </c>
      <c r="B4" s="85" t="str">
        <f ca="1">IFERROR(__xludf.DUMMYFUNCTION("GOOGLETRANSLATE(B2408:B2423,""RU"",""UK"")"),"Втулка перехідна конус 3/1 ")</f>
        <v xml:space="preserve">Втулка перехідна конус 3/1 </v>
      </c>
      <c r="C4" s="59" t="s">
        <v>6</v>
      </c>
      <c r="D4" s="59">
        <v>76</v>
      </c>
      <c r="E4" s="91" t="s">
        <v>140</v>
      </c>
    </row>
    <row r="5" spans="1:5">
      <c r="A5" s="21">
        <f t="shared" si="0"/>
        <v>4</v>
      </c>
      <c r="B5" s="85" t="str">
        <f ca="1">IFERROR(__xludf.DUMMYFUNCTION("GOOGLETRANSLATE(B2408:B2423,""RU"",""UK"")"),"Втулка перехідна конус 3/2")</f>
        <v>Втулка перехідна конус 3/2</v>
      </c>
      <c r="C5" s="59" t="s">
        <v>6</v>
      </c>
      <c r="D5" s="59">
        <v>43</v>
      </c>
      <c r="E5" s="91" t="s">
        <v>140</v>
      </c>
    </row>
    <row r="6" spans="1:5">
      <c r="A6" s="21">
        <f t="shared" si="0"/>
        <v>5</v>
      </c>
      <c r="B6" s="169" t="str">
        <f ca="1">IFERROR(__xludf.DUMMYFUNCTION("GOOGLETRANSLATE(B2410:B2425,""RU"",""UK"")"),"Втулка перехідна конус 4/1")</f>
        <v>Втулка перехідна конус 4/1</v>
      </c>
      <c r="C6" s="59" t="s">
        <v>6</v>
      </c>
      <c r="D6" s="59">
        <v>6</v>
      </c>
      <c r="E6" s="91">
        <v>300</v>
      </c>
    </row>
    <row r="7" spans="1:5">
      <c r="A7" s="21">
        <f t="shared" si="0"/>
        <v>6</v>
      </c>
      <c r="B7" s="85" t="str">
        <f ca="1">IFERROR(__xludf.DUMMYFUNCTION("GOOGLETRANSLATE(B2411:B2426,""RU"",""UK"")"),"Втулка перехідна конус 4/1 удл 220мм")</f>
        <v>Втулка перехідна конус 4/1 удл 220мм</v>
      </c>
      <c r="C7" s="59" t="s">
        <v>6</v>
      </c>
      <c r="D7" s="59">
        <v>2</v>
      </c>
      <c r="E7" s="91">
        <v>360</v>
      </c>
    </row>
    <row r="8" spans="1:5">
      <c r="A8" s="21">
        <f t="shared" si="0"/>
        <v>7</v>
      </c>
      <c r="B8" s="85" t="str">
        <f ca="1">IFERROR(__xludf.DUMMYFUNCTION("GOOGLETRANSLATE(B2412:B2427,""RU"",""UK"")"),"Втулка перехідна конус 4/2")</f>
        <v>Втулка перехідна конус 4/2</v>
      </c>
      <c r="C8" s="59" t="s">
        <v>6</v>
      </c>
      <c r="D8" s="59">
        <v>125</v>
      </c>
      <c r="E8" s="91">
        <v>300</v>
      </c>
    </row>
    <row r="9" spans="1:5">
      <c r="A9" s="21">
        <f t="shared" si="0"/>
        <v>8</v>
      </c>
      <c r="B9" s="85" t="str">
        <f ca="1">IFERROR(__xludf.DUMMYFUNCTION("GOOGLETRANSLATE(B2413:B2428,""RU"",""UK"")"),"Втулка перехідна конус 4/2 удл 220мм")</f>
        <v>Втулка перехідна конус 4/2 удл 220мм</v>
      </c>
      <c r="C9" s="59" t="s">
        <v>6</v>
      </c>
      <c r="D9" s="59">
        <v>2</v>
      </c>
      <c r="E9" s="91">
        <v>390</v>
      </c>
    </row>
    <row r="10" spans="1:5">
      <c r="A10" s="21">
        <f t="shared" si="0"/>
        <v>9</v>
      </c>
      <c r="B10" s="85" t="str">
        <f ca="1">IFERROR(__xludf.DUMMYFUNCTION("GOOGLETRANSLATE(B2412:B2427,""RU"",""UK"")"),"Втулка перехідна конус 4/3")</f>
        <v>Втулка перехідна конус 4/3</v>
      </c>
      <c r="C10" s="59" t="s">
        <v>6</v>
      </c>
      <c r="D10" s="59">
        <v>49</v>
      </c>
      <c r="E10" s="91">
        <v>300</v>
      </c>
    </row>
    <row r="11" spans="1:5">
      <c r="A11" s="21">
        <f t="shared" si="0"/>
        <v>10</v>
      </c>
      <c r="B11" s="85" t="str">
        <f ca="1">IFERROR(__xludf.DUMMYFUNCTION("GOOGLETRANSLATE(B2412:B2427,""RU"",""UK"")"),"Втулка перехідна конус 4/3 под ключ")</f>
        <v>Втулка перехідна конус 4/3 под ключ</v>
      </c>
      <c r="C11" s="59" t="s">
        <v>6</v>
      </c>
      <c r="D11" s="59">
        <v>1</v>
      </c>
      <c r="E11" s="91">
        <v>300</v>
      </c>
    </row>
    <row r="12" spans="1:5">
      <c r="A12" s="21">
        <f t="shared" si="0"/>
        <v>11</v>
      </c>
      <c r="B12" s="85" t="str">
        <f ca="1">IFERROR(__xludf.DUMMYFUNCTION("GOOGLETRANSLATE(B2413:B2428,""RU"",""UK"")"),"Втулка перехідна конус 4/4 удл 200мм")</f>
        <v>Втулка перехідна конус 4/4 удл 200мм</v>
      </c>
      <c r="C12" s="59" t="s">
        <v>6</v>
      </c>
      <c r="D12" s="59">
        <v>1</v>
      </c>
      <c r="E12" s="91">
        <v>420</v>
      </c>
    </row>
    <row r="13" spans="1:5">
      <c r="A13" s="21">
        <f t="shared" si="0"/>
        <v>12</v>
      </c>
      <c r="B13" s="169" t="str">
        <f ca="1">IFERROR(__xludf.DUMMYFUNCTION("GOOGLETRANSLATE(B2414:B2429,""RU"",""UK"")"),"Втулка перехідна конус 5/1")</f>
        <v>Втулка перехідна конус 5/1</v>
      </c>
      <c r="C13" s="59" t="s">
        <v>6</v>
      </c>
      <c r="D13" s="59">
        <v>2</v>
      </c>
      <c r="E13" s="91">
        <v>510</v>
      </c>
    </row>
    <row r="14" spans="1:5">
      <c r="A14" s="21">
        <f t="shared" si="0"/>
        <v>13</v>
      </c>
      <c r="B14" s="85" t="str">
        <f ca="1">IFERROR(__xludf.DUMMYFUNCTION("GOOGLETRANSLATE(B2414:B2429,""RU"",""UK"")"),"Втулка перехідна конус 5/3")</f>
        <v>Втулка перехідна конус 5/3</v>
      </c>
      <c r="C14" s="59" t="s">
        <v>6</v>
      </c>
      <c r="D14" s="59">
        <v>95</v>
      </c>
      <c r="E14" s="91">
        <v>420</v>
      </c>
    </row>
    <row r="15" spans="1:5">
      <c r="A15" s="21">
        <f t="shared" si="0"/>
        <v>14</v>
      </c>
      <c r="B15" s="85" t="str">
        <f ca="1">IFERROR(__xludf.DUMMYFUNCTION("GOOGLETRANSLATE(B2415:B2430,""RU"",""UK"")"),"Втулка перехідна конус 5/3 удл.")</f>
        <v>Втулка перехідна конус 5/3 удл.</v>
      </c>
      <c r="C15" s="59" t="s">
        <v>6</v>
      </c>
      <c r="D15" s="59">
        <v>1</v>
      </c>
      <c r="E15" s="91">
        <v>540</v>
      </c>
    </row>
    <row r="16" spans="1:5">
      <c r="A16" s="21">
        <f t="shared" si="0"/>
        <v>15</v>
      </c>
      <c r="B16" s="85" t="str">
        <f ca="1">IFERROR(__xludf.DUMMYFUNCTION("GOOGLETRANSLATE(B2416:B2431,""RU"",""UK"")"),"Втулка перехідна конус 5/4")</f>
        <v>Втулка перехідна конус 5/4</v>
      </c>
      <c r="C16" s="59" t="s">
        <v>6</v>
      </c>
      <c r="D16" s="59">
        <v>9</v>
      </c>
      <c r="E16" s="91">
        <v>510</v>
      </c>
    </row>
    <row r="17" spans="1:5">
      <c r="A17" s="21">
        <f t="shared" si="0"/>
        <v>16</v>
      </c>
      <c r="B17" s="85" t="str">
        <f ca="1">IFERROR(__xludf.DUMMYFUNCTION("GOOGLETRANSLATE(B2417:B2432,""RU"",""UK"")"),"Втулка перехідна конус 5/4удл")</f>
        <v>Втулка перехідна конус 5/4удл</v>
      </c>
      <c r="C17" s="59" t="s">
        <v>6</v>
      </c>
      <c r="D17" s="59">
        <v>3</v>
      </c>
      <c r="E17" s="91">
        <v>540</v>
      </c>
    </row>
    <row r="18" spans="1:5">
      <c r="A18" s="21">
        <f t="shared" si="0"/>
        <v>17</v>
      </c>
      <c r="B18" s="85" t="str">
        <f ca="1">IFERROR(__xludf.DUMMYFUNCTION("GOOGLETRANSLATE(B2417:B2432,""RU"",""UK"")"),"Втулка перехідна конус 6/5")</f>
        <v>Втулка перехідна конус 6/5</v>
      </c>
      <c r="C18" s="59" t="s">
        <v>6</v>
      </c>
      <c r="D18" s="59">
        <v>1</v>
      </c>
      <c r="E18" s="91">
        <v>600</v>
      </c>
    </row>
    <row r="19" spans="1:5">
      <c r="A19" s="21">
        <f t="shared" si="0"/>
        <v>18</v>
      </c>
      <c r="B19" s="164" t="str">
        <f ca="1">IFERROR(__xludf.DUMMYFUNCTION("GOOGLETRANSLATE(B2418:B2433,""RU"",""UK"")"),"Конус перехідний зовнішній КМ1хВ10")</f>
        <v>Конус перехідний зовнішній КМ1хВ10</v>
      </c>
      <c r="C19" s="59" t="s">
        <v>6</v>
      </c>
      <c r="D19" s="59">
        <v>0</v>
      </c>
      <c r="E19" s="91" t="s">
        <v>119</v>
      </c>
    </row>
    <row r="20" spans="1:5">
      <c r="A20" s="21">
        <f t="shared" si="0"/>
        <v>19</v>
      </c>
      <c r="B20" s="85" t="str">
        <f ca="1">IFERROR(__xludf.DUMMYFUNCTION("GOOGLETRANSLATE(B2419:B2434,""RU"",""UK"")"),"Конус перехідний зовнішній КМ1хВ18")</f>
        <v>Конус перехідний зовнішній КМ1хВ18</v>
      </c>
      <c r="C20" s="59" t="s">
        <v>6</v>
      </c>
      <c r="D20" s="59">
        <v>1</v>
      </c>
      <c r="E20" s="91" t="s">
        <v>119</v>
      </c>
    </row>
    <row r="21" spans="1:5">
      <c r="A21" s="21">
        <f t="shared" si="0"/>
        <v>20</v>
      </c>
      <c r="B21" s="85" t="str">
        <f ca="1">IFERROR(__xludf.DUMMYFUNCTION("GOOGLETRANSLATE(B2420:B2435,""RU"",""UK"")"),"Конус перехідний зовнішній КМ1хКМ2")</f>
        <v>Конус перехідний зовнішній КМ1хКМ2</v>
      </c>
      <c r="C21" s="59" t="s">
        <v>6</v>
      </c>
      <c r="D21" s="59">
        <v>1</v>
      </c>
      <c r="E21" s="91" t="s">
        <v>119</v>
      </c>
    </row>
    <row r="22" spans="1:5">
      <c r="A22" s="21">
        <f t="shared" si="0"/>
        <v>21</v>
      </c>
      <c r="B22" s="85" t="str">
        <f ca="1">IFERROR(__xludf.DUMMYFUNCTION("GOOGLETRANSLATE(B2421:B2436,""RU"",""UK"")"),"Конус перехідний зовнішній КМ2хВ10")</f>
        <v>Конус перехідний зовнішній КМ2хВ10</v>
      </c>
      <c r="C22" s="59" t="s">
        <v>6</v>
      </c>
      <c r="D22" s="59">
        <v>6</v>
      </c>
      <c r="E22" s="91" t="s">
        <v>327</v>
      </c>
    </row>
    <row r="23" spans="1:5">
      <c r="A23" s="21">
        <f t="shared" si="0"/>
        <v>22</v>
      </c>
      <c r="B23" s="85" t="str">
        <f ca="1">IFERROR(__xludf.DUMMYFUNCTION("GOOGLETRANSLATE(B2422:B2437,""RU"",""UK"")"),"Конус перехідний зовнішній КМ2хВ18")</f>
        <v>Конус перехідний зовнішній КМ2хВ18</v>
      </c>
      <c r="C23" s="59" t="s">
        <v>6</v>
      </c>
      <c r="D23" s="59">
        <v>6</v>
      </c>
      <c r="E23" s="91" t="s">
        <v>327</v>
      </c>
    </row>
    <row r="24" spans="1:5">
      <c r="A24" s="21">
        <f t="shared" si="0"/>
        <v>23</v>
      </c>
      <c r="B24" s="200" t="str">
        <f ca="1">IFERROR(__xludf.DUMMYFUNCTION("GOOGLETRANSLATE(B2423:B2438,""RU"",""UK"")"),"Конус перехідний зовнішній КМ3хВ16")</f>
        <v>Конус перехідний зовнішній КМ3хВ16</v>
      </c>
      <c r="C24" s="59" t="s">
        <v>6</v>
      </c>
      <c r="D24" s="59">
        <v>0</v>
      </c>
      <c r="E24" s="91" t="s">
        <v>327</v>
      </c>
    </row>
    <row r="25" spans="1:5">
      <c r="A25" s="21">
        <f t="shared" si="0"/>
        <v>24</v>
      </c>
      <c r="B25" s="200" t="str">
        <f ca="1">IFERROR(__xludf.DUMMYFUNCTION("GOOGLETRANSLATE(B2424:B2439,""RU"",""UK"")"),"Конус перехідний зовнішній КМ3хВ18")</f>
        <v>Конус перехідний зовнішній КМ3хВ18</v>
      </c>
      <c r="C25" s="59" t="s">
        <v>6</v>
      </c>
      <c r="D25" s="59">
        <v>0</v>
      </c>
      <c r="E25" s="91" t="s">
        <v>327</v>
      </c>
    </row>
    <row r="26" spans="1:5">
      <c r="A26" s="21">
        <f t="shared" si="0"/>
        <v>25</v>
      </c>
      <c r="B26" s="85" t="str">
        <f ca="1">IFERROR(__xludf.DUMMYFUNCTION("GOOGLETRANSLATE(B2425:B2440,""RU"",""UK"")"),"Конус перехідний зовнішній КМ2хКМ1")</f>
        <v>Конус перехідний зовнішній КМ2хКМ1</v>
      </c>
      <c r="C26" s="59" t="s">
        <v>6</v>
      </c>
      <c r="D26" s="37">
        <v>5</v>
      </c>
      <c r="E26" s="91" t="s">
        <v>327</v>
      </c>
    </row>
    <row r="27" spans="1:5">
      <c r="A27" s="21">
        <f t="shared" si="0"/>
        <v>26</v>
      </c>
      <c r="B27" s="85" t="str">
        <f ca="1">IFERROR(__xludf.DUMMYFUNCTION("GOOGLETRANSLATE(B2426:B2441,""RU"",""UK"")"),"Центр наполегливий обертовий КМ2 СРСР")</f>
        <v>Центр наполегливий обертовий КМ2 СРСР</v>
      </c>
      <c r="C27" s="59" t="s">
        <v>6</v>
      </c>
      <c r="D27" s="59">
        <v>8</v>
      </c>
      <c r="E27" s="91">
        <v>780</v>
      </c>
    </row>
    <row r="28" spans="1:5">
      <c r="A28" s="21">
        <f t="shared" si="0"/>
        <v>27</v>
      </c>
      <c r="B28" s="85" t="str">
        <f ca="1">IFERROR(__xludf.DUMMYFUNCTION("GOOGLETRANSLATE(B2427:B2442,""RU"",""UK"")"),"Центр наполегливий, що обертається, КМ3 СРСР.")</f>
        <v>Центр наполегливий, що обертається, КМ3 СРСР.</v>
      </c>
      <c r="C28" s="59" t="s">
        <v>6</v>
      </c>
      <c r="D28" s="59">
        <v>41</v>
      </c>
      <c r="E28" s="91" t="s">
        <v>283</v>
      </c>
    </row>
    <row r="29" spans="1:5">
      <c r="A29" s="21">
        <f t="shared" si="0"/>
        <v>28</v>
      </c>
      <c r="B29" s="85" t="str">
        <f ca="1">IFERROR(__xludf.DUMMYFUNCTION("GOOGLETRANSLATE(B2428:B2443,""RU"",""UK"")"),"Центр наполегливий обертовий КМ3 СРСР підвищ. точності")</f>
        <v>Центр наполегливий обертовий КМ3 СРСР підвищ. точності</v>
      </c>
      <c r="C29" s="59" t="s">
        <v>6</v>
      </c>
      <c r="D29" s="59">
        <v>1</v>
      </c>
      <c r="E29" s="91" t="s">
        <v>88</v>
      </c>
    </row>
    <row r="30" spans="1:5">
      <c r="A30" s="21">
        <f t="shared" si="0"/>
        <v>29</v>
      </c>
      <c r="B30" s="85" t="str">
        <f ca="1">IFERROR(__xludf.DUMMYFUNCTION("GOOGLETRANSLATE(B2429:B2444,""RU"",""UK"")"),"Центр наполегливий обертовий КМ3 розкочування (труба 15-30мм)")</f>
        <v>Центр наполегливий обертовий КМ3 розкочування (труба 15-30мм)</v>
      </c>
      <c r="C30" s="59" t="s">
        <v>6</v>
      </c>
      <c r="D30" s="59">
        <v>1</v>
      </c>
      <c r="E30" s="91" t="s">
        <v>102</v>
      </c>
    </row>
    <row r="31" spans="1:5">
      <c r="A31" s="21">
        <f t="shared" si="0"/>
        <v>30</v>
      </c>
      <c r="B31" s="85" t="str">
        <f ca="1">IFERROR(__xludf.DUMMYFUNCTION("GOOGLETRANSLATE(B2430:B2445,""RU"",""UK"")"),"Центр наполегливий, що обертається, КМ4 СРСР.")</f>
        <v>Центр наполегливий, що обертається, КМ4 СРСР.</v>
      </c>
      <c r="C31" s="59" t="s">
        <v>6</v>
      </c>
      <c r="D31" s="59">
        <v>43</v>
      </c>
      <c r="E31" s="91" t="s">
        <v>231</v>
      </c>
    </row>
    <row r="32" spans="1:5">
      <c r="A32" s="21">
        <f t="shared" si="0"/>
        <v>31</v>
      </c>
      <c r="B32" s="85" t="str">
        <f ca="1">IFERROR(__xludf.DUMMYFUNCTION("GOOGLETRANSLATE(B2431:B2446,""RU"",""UK"")"),"Центр наполегливий КМ4 ПНР, що обертається")</f>
        <v>Центр наполегливий КМ4 ПНР, що обертається</v>
      </c>
      <c r="C32" s="59" t="s">
        <v>6</v>
      </c>
      <c r="D32" s="59">
        <v>4</v>
      </c>
      <c r="E32" s="91" t="s">
        <v>80</v>
      </c>
    </row>
    <row r="33" spans="1:5">
      <c r="A33" s="21">
        <f t="shared" si="0"/>
        <v>32</v>
      </c>
      <c r="B33" s="85" t="str">
        <f ca="1">IFERROR(__xludf.DUMMYFUNCTION("GOOGLETRANSLATE(B2432:B2447,""RU"",""UK"")"),"Центр наполегливий КМ4, що обертається, посилив. СРСР")</f>
        <v>Центр наполегливий КМ4, що обертається, посилив. СРСР</v>
      </c>
      <c r="C33" s="59" t="s">
        <v>6</v>
      </c>
      <c r="D33" s="59">
        <v>33</v>
      </c>
      <c r="E33" s="91" t="s">
        <v>80</v>
      </c>
    </row>
    <row r="34" spans="1:5">
      <c r="A34" s="21">
        <f t="shared" si="0"/>
        <v>33</v>
      </c>
      <c r="B34" s="85" t="str">
        <f ca="1">IFERROR(__xludf.DUMMYFUNCTION("GOOGLETRANSLATE(B2432:B2447,""RU"",""UK"")"),"Центр наполегливий КМ4 Клас А, що обертається, посилив. СРСР")</f>
        <v>Центр наполегливий КМ4 Клас А, що обертається, посилив. СРСР</v>
      </c>
      <c r="C34" s="171" t="s">
        <v>6</v>
      </c>
      <c r="D34" s="171">
        <v>2</v>
      </c>
      <c r="E34" s="173">
        <v>1500</v>
      </c>
    </row>
    <row r="35" spans="1:5">
      <c r="A35" s="21">
        <f t="shared" si="0"/>
        <v>34</v>
      </c>
      <c r="B35" s="85" t="str">
        <f ca="1">IFERROR(__xludf.DUMMYFUNCTION("GOOGLETRANSLATE(B2443:B2458,""RU"",""UK"")"),"Центр наполегливий обертовий КМ4 d40-95мм грибковий мало вживу")</f>
        <v>Центр наполегливий обертовий КМ4 d40-95мм грибковий мало вживу</v>
      </c>
      <c r="C35" s="59" t="s">
        <v>6</v>
      </c>
      <c r="D35" s="59">
        <v>1</v>
      </c>
      <c r="E35" s="91">
        <v>1700</v>
      </c>
    </row>
    <row r="36" spans="1:5">
      <c r="A36" s="21">
        <f t="shared" si="0"/>
        <v>35</v>
      </c>
      <c r="B36" s="85" t="str">
        <f ca="1">IFERROR(__xludf.DUMMYFUNCTION("GOOGLETRANSLATE(B2434:B2449,""RU"",""UK"")"),"Центр наполегливий обертовий КМ5 СРСР")</f>
        <v>Центр наполегливий обертовий КМ5 СРСР</v>
      </c>
      <c r="C36" s="37" t="s">
        <v>6</v>
      </c>
      <c r="D36" s="37">
        <v>26</v>
      </c>
      <c r="E36" s="92" t="s">
        <v>3325</v>
      </c>
    </row>
    <row r="37" spans="1:5">
      <c r="A37" s="21">
        <f t="shared" si="0"/>
        <v>36</v>
      </c>
      <c r="B37" s="85" t="str">
        <f ca="1">IFERROR(__xludf.DUMMYFUNCTION("GOOGLETRANSLATE(B2434:B2449,""RU"",""UK"")"),"Центр наполегливий обертовий КМ5 ЧПУ СРСР трохи вживаний")</f>
        <v>Центр наполегливий обертовий КМ5 ЧПУ СРСР трохи вживаний</v>
      </c>
      <c r="C37" s="37" t="s">
        <v>6</v>
      </c>
      <c r="D37" s="37">
        <v>2</v>
      </c>
      <c r="E37" s="92">
        <v>1750</v>
      </c>
    </row>
    <row r="38" spans="1:5">
      <c r="A38" s="21">
        <f t="shared" si="0"/>
        <v>37</v>
      </c>
      <c r="B38" s="85" t="str">
        <f ca="1">IFERROR(__xludf.DUMMYFUNCTION("GOOGLETRANSLATE(B2435:B2450,""RU"",""UK"")"),"Центр наполегливий обертовий КМ5 подовжений (65мм) легке бу")</f>
        <v>Центр наполегливий обертовий КМ5 подовжений (65мм) легке бу</v>
      </c>
      <c r="C38" s="37" t="s">
        <v>6</v>
      </c>
      <c r="D38" s="37">
        <v>1</v>
      </c>
      <c r="E38" s="92" t="s">
        <v>75</v>
      </c>
    </row>
    <row r="39" spans="1:5">
      <c r="A39" s="21">
        <f t="shared" si="0"/>
        <v>38</v>
      </c>
      <c r="B39" s="85" t="str">
        <f ca="1">IFERROR(__xludf.DUMMYFUNCTION("GOOGLETRANSLATE(B2434:B2449,""RU"",""UK"")"),"Центр наполегливий обертовий КМ5 СРСР ЧПУ легке бв")</f>
        <v>Центр наполегливий обертовий КМ5 СРСР ЧПУ легке бв</v>
      </c>
      <c r="C39" s="37" t="s">
        <v>6</v>
      </c>
      <c r="D39" s="37">
        <v>2</v>
      </c>
      <c r="E39" s="92">
        <v>1300</v>
      </c>
    </row>
    <row r="40" spans="1:5">
      <c r="A40" s="21">
        <f t="shared" si="0"/>
        <v>39</v>
      </c>
      <c r="B40" s="85" t="str">
        <f ca="1">IFERROR(__xludf.DUMMYFUNCTION("GOOGLETRANSLATE(B2436:B2451,""RU"",""UK"")"),"Центр наполегливий КМ5, що обертається Посил. СРСР")</f>
        <v>Центр наполегливий КМ5, що обертається Посил. СРСР</v>
      </c>
      <c r="C40" s="59" t="s">
        <v>6</v>
      </c>
      <c r="D40" s="59">
        <v>1</v>
      </c>
      <c r="E40" s="91" t="s">
        <v>73</v>
      </c>
    </row>
    <row r="41" spans="1:5">
      <c r="A41" s="21">
        <f t="shared" si="0"/>
        <v>40</v>
      </c>
      <c r="B41" s="85" t="str">
        <f ca="1">IFERROR(__xludf.DUMMYFUNCTION("GOOGLETRANSLATE(B2437:B2452,""RU"",""UK"")"),"Центр наполегливий КМ5, що обертається Посил. СРСР б/у")</f>
        <v>Центр наполегливий КМ5, що обертається Посил. СРСР б/у</v>
      </c>
      <c r="C41" s="59" t="s">
        <v>6</v>
      </c>
      <c r="D41" s="59">
        <v>2</v>
      </c>
      <c r="E41" s="91" t="s">
        <v>1113</v>
      </c>
    </row>
    <row r="42" spans="1:5">
      <c r="A42" s="21">
        <f t="shared" si="0"/>
        <v>41</v>
      </c>
      <c r="B42" s="85" t="str">
        <f ca="1">IFERROR(__xludf.DUMMYFUNCTION("GOOGLETRANSLATE(B2440:B2455,""RU"",""UK"")"),"Центр наполегливий обертовий КМ5 d40-65мм грибковий легкий б/у")</f>
        <v>Центр наполегливий обертовий КМ5 d40-65мм грибковий легкий б/у</v>
      </c>
      <c r="C42" s="37" t="s">
        <v>6</v>
      </c>
      <c r="D42" s="37">
        <v>1</v>
      </c>
      <c r="E42" s="92" t="s">
        <v>1901</v>
      </c>
    </row>
    <row r="43" spans="1:5">
      <c r="A43" s="21">
        <f t="shared" si="0"/>
        <v>42</v>
      </c>
      <c r="B43" s="85" t="str">
        <f ca="1">IFERROR(__xludf.DUMMYFUNCTION("GOOGLETRANSLATE(B2442:B2457,""RU"",""UK"")"),"Центр наполегливий обертовий КМ5 d50-105мм грибковий")</f>
        <v>Центр наполегливий обертовий КМ5 d50-105мм грибковий</v>
      </c>
      <c r="C43" s="59" t="s">
        <v>6</v>
      </c>
      <c r="D43" s="59">
        <v>1</v>
      </c>
      <c r="E43" s="91" t="s">
        <v>10</v>
      </c>
    </row>
    <row r="44" spans="1:5">
      <c r="A44" s="21">
        <f t="shared" si="0"/>
        <v>43</v>
      </c>
      <c r="B44" s="85" t="str">
        <f ca="1">IFERROR(__xludf.DUMMYFUNCTION("GOOGLETRANSLATE(B2443:B2458,""RU"",""UK"")"),"Центр наполегливий обертовий КМ5 d80-95мм грибковий б/у")</f>
        <v>Центр наполегливий обертовий КМ5 d80-95мм грибковий б/у</v>
      </c>
      <c r="C44" s="59" t="s">
        <v>6</v>
      </c>
      <c r="D44" s="59">
        <v>1</v>
      </c>
      <c r="E44" s="91" t="s">
        <v>71</v>
      </c>
    </row>
    <row r="45" spans="1:5">
      <c r="A45" s="21">
        <f t="shared" si="0"/>
        <v>44</v>
      </c>
      <c r="B45" s="85" t="s">
        <v>6419</v>
      </c>
      <c r="C45" s="59" t="s">
        <v>6</v>
      </c>
      <c r="D45" s="59">
        <v>1</v>
      </c>
      <c r="E45" s="91">
        <v>1800</v>
      </c>
    </row>
    <row r="46" spans="1:5">
      <c r="A46" s="21">
        <f t="shared" si="0"/>
        <v>45</v>
      </c>
      <c r="B46" s="85" t="str">
        <f ca="1">IFERROR(__xludf.DUMMYFUNCTION("GOOGLETRANSLATE(B2443:B2458,""RU"",""UK"")"),"Центр наполегливий обертовий КМ5 d30-120мм грибковий б/у")</f>
        <v>Центр наполегливий обертовий КМ5 d30-120мм грибковий б/у</v>
      </c>
      <c r="C46" s="59" t="s">
        <v>6</v>
      </c>
      <c r="D46" s="59">
        <v>1</v>
      </c>
      <c r="E46" s="91">
        <v>1780</v>
      </c>
    </row>
    <row r="47" spans="1:5">
      <c r="A47" s="21">
        <f t="shared" si="0"/>
        <v>46</v>
      </c>
      <c r="B47" s="85" t="str">
        <f ca="1">IFERROR(__xludf.DUMMYFUNCTION("GOOGLETRANSLATE(B2444:B2459,""RU"",""UK"")"),"Центр наполегливий обертовий КМ5 розкочування (труба 30-40мм)")</f>
        <v>Центр наполегливий обертовий КМ5 розкочування (труба 30-40мм)</v>
      </c>
      <c r="C47" s="59" t="s">
        <v>6</v>
      </c>
      <c r="D47" s="59">
        <v>1</v>
      </c>
      <c r="E47" s="91" t="s">
        <v>1901</v>
      </c>
    </row>
    <row r="48" spans="1:5">
      <c r="A48" s="21">
        <f t="shared" si="0"/>
        <v>47</v>
      </c>
      <c r="B48" s="85" t="str">
        <f ca="1">IFERROR(__xludf.DUMMYFUNCTION("GOOGLETRANSLATE(B2445:B2460,""RU"",""UK"")"),"Центр наполегливий повідковий КМ5, що обертається.")</f>
        <v>Центр наполегливий повідковий КМ5, що обертається.</v>
      </c>
      <c r="C48" s="59" t="s">
        <v>6</v>
      </c>
      <c r="D48" s="59">
        <v>1</v>
      </c>
      <c r="E48" s="91" t="s">
        <v>71</v>
      </c>
    </row>
    <row r="49" spans="1:5">
      <c r="A49" s="21">
        <f t="shared" si="0"/>
        <v>48</v>
      </c>
      <c r="B49" s="85" t="str">
        <f ca="1">IFERROR(__xludf.DUMMYFUNCTION("GOOGLETRANSLATE(B2446:B2461,""RU"",""UK"")"),"Центр наполегливий обертовий потопаючий КМ5 б/у")</f>
        <v>Центр наполегливий обертовий потопаючий КМ5 б/у</v>
      </c>
      <c r="C49" s="59" t="s">
        <v>6</v>
      </c>
      <c r="D49" s="59">
        <v>2</v>
      </c>
      <c r="E49" s="91" t="s">
        <v>80</v>
      </c>
    </row>
    <row r="50" spans="1:5">
      <c r="A50" s="21">
        <f t="shared" si="0"/>
        <v>49</v>
      </c>
      <c r="B50" s="85" t="str">
        <f ca="1">IFERROR(__xludf.DUMMYFUNCTION("GOOGLETRANSLATE(B2447:B2462,""RU"",""UK"")"),"Центр наполегливий обертовий КМ5 вживаний")</f>
        <v>Центр наполегливий обертовий КМ5 вживаний</v>
      </c>
      <c r="C50" s="59" t="s">
        <v>6</v>
      </c>
      <c r="D50" s="59">
        <v>4</v>
      </c>
      <c r="E50" s="91" t="s">
        <v>231</v>
      </c>
    </row>
    <row r="51" spans="1:5">
      <c r="A51" s="21">
        <f t="shared" si="0"/>
        <v>50</v>
      </c>
      <c r="B51" s="85" t="str">
        <f ca="1">IFERROR(__xludf.DUMMYFUNCTION("GOOGLETRANSLATE(B2447:B2462,""RU"",""UK"")"),"Центр наполегливий обертовий КМ5 посиленний, вживаний")</f>
        <v>Центр наполегливий обертовий КМ5 посиленний, вживаний</v>
      </c>
      <c r="C51" s="59" t="s">
        <v>6</v>
      </c>
      <c r="D51" s="59">
        <v>1</v>
      </c>
      <c r="E51" s="91">
        <v>1400</v>
      </c>
    </row>
    <row r="52" spans="1:5">
      <c r="A52" s="21">
        <f t="shared" si="0"/>
        <v>51</v>
      </c>
      <c r="B52" s="85" t="str">
        <f ca="1">IFERROR(__xludf.DUMMYFUNCTION("GOOGLETRANSLATE(B2448:B2463,""RU"",""UK"")"),"Центр наполегливий, що обертається, КМ6 СРСР.")</f>
        <v>Центр наполегливий, що обертається, КМ6 СРСР.</v>
      </c>
      <c r="C52" s="59" t="s">
        <v>6</v>
      </c>
      <c r="D52" s="59">
        <v>8</v>
      </c>
      <c r="E52" s="91" t="s">
        <v>73</v>
      </c>
    </row>
    <row r="53" spans="1:5">
      <c r="A53" s="21">
        <f t="shared" si="0"/>
        <v>52</v>
      </c>
      <c r="B53" s="85" t="str">
        <f ca="1">IFERROR(__xludf.DUMMYFUNCTION("GOOGLETRANSLATE(B2449:B2464,""RU"",""UK"")"),"Центр наполегливий, що обертається КМ6 ПНР")</f>
        <v>Центр наполегливий, що обертається КМ6 ПНР</v>
      </c>
      <c r="C53" s="59" t="s">
        <v>6</v>
      </c>
      <c r="D53" s="59">
        <v>2</v>
      </c>
      <c r="E53" s="91">
        <v>3300</v>
      </c>
    </row>
    <row r="54" spans="1:5">
      <c r="A54" s="21">
        <f t="shared" si="0"/>
        <v>53</v>
      </c>
      <c r="B54" s="85" t="str">
        <f ca="1">IFERROR(__xludf.DUMMYFUNCTION("GOOGLETRANSLATE(B2448:B2463,""RU"",""UK"")"),"Центр наполегливий, що обертається, КМ6 усил. СРСР.")</f>
        <v>Центр наполегливий, що обертається, КМ6 усил. СРСР.</v>
      </c>
      <c r="C54" s="59" t="s">
        <v>6</v>
      </c>
      <c r="D54" s="59">
        <v>1</v>
      </c>
      <c r="E54" s="91">
        <v>3100</v>
      </c>
    </row>
    <row r="55" spans="1:5">
      <c r="A55" s="21">
        <f t="shared" si="0"/>
        <v>54</v>
      </c>
      <c r="B55" s="85" t="str">
        <f ca="1">IFERROR(__xludf.DUMMYFUNCTION("GOOGLETRANSLATE(B2450:B2465,""RU"",""UK"")"),"Центр глухий №0  обратний.")</f>
        <v>Центр глухий №0  обратний.</v>
      </c>
      <c r="C55" s="59" t="s">
        <v>6</v>
      </c>
      <c r="D55" s="160">
        <v>5</v>
      </c>
      <c r="E55" s="91" t="s">
        <v>119</v>
      </c>
    </row>
    <row r="56" spans="1:5">
      <c r="A56" s="21">
        <f t="shared" si="0"/>
        <v>55</v>
      </c>
      <c r="B56" s="85" t="str">
        <f ca="1">IFERROR(__xludf.DUMMYFUNCTION("GOOGLETRANSLATE(B2450:B2465,""RU"",""UK"")"),"Центр глухий  №1")</f>
        <v>Центр глухий  №1</v>
      </c>
      <c r="C56" s="59" t="s">
        <v>6</v>
      </c>
      <c r="D56" s="160">
        <v>2</v>
      </c>
      <c r="E56" s="91" t="s">
        <v>119</v>
      </c>
    </row>
    <row r="57" spans="1:5">
      <c r="A57" s="21">
        <f t="shared" si="0"/>
        <v>56</v>
      </c>
      <c r="B57" s="85" t="str">
        <f ca="1">IFERROR(__xludf.DUMMYFUNCTION("GOOGLETRANSLATE(B2451:B2466,""RU"",""UK"")"),"Центр  глухий №2")</f>
        <v>Центр  глухий №2</v>
      </c>
      <c r="C57" s="59" t="s">
        <v>6</v>
      </c>
      <c r="D57" s="59">
        <v>11</v>
      </c>
      <c r="E57" s="91" t="s">
        <v>222</v>
      </c>
    </row>
    <row r="58" spans="1:5">
      <c r="A58" s="21">
        <f t="shared" si="0"/>
        <v>57</v>
      </c>
      <c r="B58" s="85" t="str">
        <f ca="1">IFERROR(__xludf.DUMMYFUNCTION("GOOGLETRANSLATE(B2452:B2467,""RU"",""UK"")"),"Центр  глухий грибковий №2")</f>
        <v>Центр  глухий грибковий №2</v>
      </c>
      <c r="C58" s="59" t="s">
        <v>6</v>
      </c>
      <c r="D58" s="59">
        <v>1</v>
      </c>
      <c r="E58" s="91" t="s">
        <v>663</v>
      </c>
    </row>
    <row r="59" spans="1:5">
      <c r="A59" s="21">
        <f t="shared" si="0"/>
        <v>58</v>
      </c>
      <c r="B59" s="85" t="str">
        <f ca="1">IFERROR(__xludf.DUMMYFUNCTION("GOOGLETRANSLATE(B2453:B2468,""RU"",""UK"")"),"Центр глухий рифл. №2 (45х80мм)")</f>
        <v>Центр глухий рифл. №2 (45х80мм)</v>
      </c>
      <c r="C59" s="59" t="s">
        <v>6</v>
      </c>
      <c r="D59" s="59">
        <v>1</v>
      </c>
      <c r="E59" s="91" t="s">
        <v>106</v>
      </c>
    </row>
    <row r="60" spans="1:5">
      <c r="A60" s="21">
        <f t="shared" si="0"/>
        <v>59</v>
      </c>
      <c r="B60" s="85" t="str">
        <f ca="1">IFERROR(__xludf.DUMMYFUNCTION("GOOGLETRANSLATE(B2454:B2469,""RU"",""UK"")"),"Центр  глухий №3")</f>
        <v>Центр  глухий №3</v>
      </c>
      <c r="C60" s="59" t="s">
        <v>6</v>
      </c>
      <c r="D60" s="59">
        <v>36</v>
      </c>
      <c r="E60" s="91" t="s">
        <v>140</v>
      </c>
    </row>
    <row r="61" spans="1:5">
      <c r="A61" s="21">
        <f t="shared" si="0"/>
        <v>60</v>
      </c>
      <c r="B61" s="85" t="str">
        <f ca="1">IFERROR(__xludf.DUMMYFUNCTION("GOOGLETRANSLATE(B2455:B2470,""RU"",""UK"")"),"Центр  глухий №3 т/с")</f>
        <v>Центр  глухий №3 т/с</v>
      </c>
      <c r="C61" s="59" t="s">
        <v>6</v>
      </c>
      <c r="D61" s="59">
        <v>5</v>
      </c>
      <c r="E61" s="91" t="s">
        <v>20</v>
      </c>
    </row>
    <row r="62" spans="1:5">
      <c r="A62" s="21">
        <f t="shared" si="0"/>
        <v>61</v>
      </c>
      <c r="B62" s="85" t="str">
        <f ca="1">IFERROR(__xludf.DUMMYFUNCTION("GOOGLETRANSLATE(B2455:B2470,""RU"",""UK"")"),"Центр глухий №3 довгий, 160мм")</f>
        <v>Центр глухий №3 довгий, 160мм</v>
      </c>
      <c r="C62" s="59" t="s">
        <v>6</v>
      </c>
      <c r="D62" s="59">
        <v>2</v>
      </c>
      <c r="E62" s="91" t="s">
        <v>20</v>
      </c>
    </row>
    <row r="63" spans="1:5">
      <c r="A63" s="21">
        <f t="shared" si="0"/>
        <v>62</v>
      </c>
      <c r="B63" s="85" t="str">
        <f ca="1">IFERROR(__xludf.DUMMYFUNCTION("GOOGLETRANSLATE(B2456:B2471,""RU"",""UK"")"),"Центр  глухий рифл. №3 зворотний")</f>
        <v>Центр  глухий рифл. №3 зворотний</v>
      </c>
      <c r="C63" s="59" t="s">
        <v>6</v>
      </c>
      <c r="D63" s="59">
        <v>1</v>
      </c>
      <c r="E63" s="91" t="s">
        <v>20</v>
      </c>
    </row>
    <row r="64" spans="1:5">
      <c r="A64" s="21">
        <f t="shared" si="0"/>
        <v>63</v>
      </c>
      <c r="B64" s="85" t="str">
        <f ca="1">IFERROR(__xludf.DUMMYFUNCTION("GOOGLETRANSLATE(B2457:B2472,""RU"",""UK"")"),"Центр глухий для центрошукача №3 (2шт)")</f>
        <v>Центр глухий для центрошукача №3 (2шт)</v>
      </c>
      <c r="C64" s="59" t="s">
        <v>1031</v>
      </c>
      <c r="D64" s="59">
        <v>1</v>
      </c>
      <c r="E64" s="91" t="s">
        <v>102</v>
      </c>
    </row>
    <row r="65" spans="1:5">
      <c r="A65" s="21">
        <f t="shared" si="0"/>
        <v>64</v>
      </c>
      <c r="B65" s="85" t="str">
        <f ca="1">IFERROR(__xludf.DUMMYFUNCTION("GOOGLETRANSLATE(B2458:B2473,""RU"",""UK"")"),"Центр  глухий №4")</f>
        <v>Центр  глухий №4</v>
      </c>
      <c r="C65" s="59" t="s">
        <v>6</v>
      </c>
      <c r="D65" s="59">
        <v>20</v>
      </c>
      <c r="E65" s="91" t="s">
        <v>159</v>
      </c>
    </row>
    <row r="66" spans="1:5">
      <c r="A66" s="21">
        <f t="shared" si="0"/>
        <v>65</v>
      </c>
      <c r="B66" s="85" t="str">
        <f ca="1">IFERROR(__xludf.DUMMYFUNCTION("GOOGLETRANSLATE(B2459:B2474,""RU"",""UK"")"),"Центр  глухий №4т/с")</f>
        <v>Центр  глухий №4т/с</v>
      </c>
      <c r="C66" s="59" t="s">
        <v>6</v>
      </c>
      <c r="D66" s="59">
        <v>12</v>
      </c>
      <c r="E66" s="91" t="s">
        <v>106</v>
      </c>
    </row>
    <row r="67" spans="1:5">
      <c r="A67" s="21">
        <f t="shared" si="0"/>
        <v>66</v>
      </c>
      <c r="B67" s="85" t="str">
        <f ca="1">IFERROR(__xludf.DUMMYFUNCTION("GOOGLETRANSLATE(B2459:B2474,""RU"",""UK"")"),"Центр  глухий №4 довгий, 180мм")</f>
        <v>Центр  глухий №4 довгий, 180мм</v>
      </c>
      <c r="C67" s="59" t="s">
        <v>6</v>
      </c>
      <c r="D67" s="59">
        <v>1</v>
      </c>
      <c r="E67" s="91" t="s">
        <v>106</v>
      </c>
    </row>
    <row r="68" spans="1:5">
      <c r="A68" s="21">
        <f t="shared" si="0"/>
        <v>67</v>
      </c>
      <c r="B68" s="85" t="str">
        <f ca="1">IFERROR(__xludf.DUMMYFUNCTION("GOOGLETRANSLATE(B2460:B2475,""RU"",""UK"")"),"Центр  глухий №5")</f>
        <v>Центр  глухий №5</v>
      </c>
      <c r="C68" s="59" t="s">
        <v>6</v>
      </c>
      <c r="D68" s="59">
        <v>62</v>
      </c>
      <c r="E68" s="91" t="s">
        <v>106</v>
      </c>
    </row>
    <row r="69" spans="1:5">
      <c r="A69" s="21">
        <f t="shared" si="0"/>
        <v>68</v>
      </c>
      <c r="B69" s="85" t="str">
        <f ca="1">IFERROR(__xludf.DUMMYFUNCTION("GOOGLETRANSLATE(B2461:B2476,""RU"",""UK"")"),"Центр  глухий №5т/с")</f>
        <v>Центр  глухий №5т/с</v>
      </c>
      <c r="C69" s="59" t="s">
        <v>6</v>
      </c>
      <c r="D69" s="59">
        <v>10</v>
      </c>
      <c r="E69" s="91" t="s">
        <v>272</v>
      </c>
    </row>
    <row r="70" spans="1:5">
      <c r="A70" s="21">
        <f t="shared" si="0"/>
        <v>69</v>
      </c>
      <c r="B70" s="85" t="str">
        <f ca="1">IFERROR(__xludf.DUMMYFUNCTION("GOOGLETRANSLATE(B2462:B2477,""RU"",""UK"")"),"Центр  глухий №6")</f>
        <v>Центр  глухий №6</v>
      </c>
      <c r="C70" s="59" t="s">
        <v>6</v>
      </c>
      <c r="D70" s="59">
        <v>5</v>
      </c>
      <c r="E70" s="91" t="s">
        <v>102</v>
      </c>
    </row>
    <row r="71" spans="1:5">
      <c r="A71" s="21">
        <f t="shared" si="0"/>
        <v>70</v>
      </c>
      <c r="B71" s="85" t="str">
        <f ca="1">IFERROR(__xludf.DUMMYFUNCTION("GOOGLETRANSLATE(B2463:B2478,""RU"",""UK"")"),"Центр  глухий №6 рж.")</f>
        <v>Центр  глухий №6 рж.</v>
      </c>
      <c r="C71" s="59" t="s">
        <v>6</v>
      </c>
      <c r="D71" s="59">
        <v>1</v>
      </c>
      <c r="E71" s="91" t="s">
        <v>272</v>
      </c>
    </row>
    <row r="72" spans="1:5">
      <c r="A72" s="21">
        <f t="shared" si="0"/>
        <v>71</v>
      </c>
      <c r="B72" s="85" t="str">
        <f ca="1">IFERROR(__xludf.DUMMYFUNCTION("GOOGLETRANSLATE(B2464:B2479,""RU"",""UK"")"),"Оправлення для вирізування у металі круглих дисків, канавок, шайб. d50-280мм КМ3")</f>
        <v>Оправлення для вирізування у металі круглих дисків, канавок, шайб. d50-280мм КМ3</v>
      </c>
      <c r="C72" s="59" t="s">
        <v>6</v>
      </c>
      <c r="D72" s="59">
        <v>3</v>
      </c>
      <c r="E72" s="91" t="s">
        <v>63</v>
      </c>
    </row>
    <row r="73" spans="1:5">
      <c r="A73" s="21">
        <f t="shared" si="0"/>
        <v>72</v>
      </c>
      <c r="B73" s="225" t="s">
        <v>6264</v>
      </c>
      <c r="C73" s="59" t="s">
        <v>6</v>
      </c>
      <c r="D73" s="59">
        <v>1</v>
      </c>
      <c r="E73" s="91">
        <v>2100</v>
      </c>
    </row>
    <row r="74" spans="1:5">
      <c r="A74" s="21">
        <f t="shared" si="0"/>
        <v>73</v>
      </c>
      <c r="B74" s="225" t="s">
        <v>6263</v>
      </c>
      <c r="C74" s="59" t="s">
        <v>6</v>
      </c>
      <c r="D74" s="59">
        <v>1</v>
      </c>
      <c r="E74" s="91">
        <v>2100</v>
      </c>
    </row>
    <row r="75" spans="1:5">
      <c r="A75" s="21">
        <f t="shared" si="0"/>
        <v>74</v>
      </c>
      <c r="B75" s="174" t="str">
        <f ca="1">IFERROR(__xludf.DUMMYFUNCTION("GOOGLETRANSLATE(B2465:B2480,""RU"",""UK"")"),"Розточувальна оправка з мікроподачею різця 0,001мм КМ5 L130мм 70-95мм(10 різців)")</f>
        <v>Розточувальна оправка з мікроподачею різця 0,001мм КМ5 L130мм 70-95мм(10 різців)</v>
      </c>
      <c r="C75" s="175" t="s">
        <v>1031</v>
      </c>
      <c r="D75" s="175">
        <v>1</v>
      </c>
      <c r="E75" s="176" t="s">
        <v>84</v>
      </c>
    </row>
    <row r="76" spans="1:5">
      <c r="A76" s="21">
        <f t="shared" si="0"/>
        <v>75</v>
      </c>
      <c r="B76" s="174" t="str">
        <f ca="1">IFERROR(__xludf.DUMMYFUNCTION("GOOGLETRANSLATE(B2466:B2481,""RU"",""UK"")"),"Розточувальна оправка з мікроподачею різця 0,001мм КМ5 L220 d70-100мм")</f>
        <v>Розточувальна оправка з мікроподачею різця 0,001мм КМ5 L220 d70-100мм</v>
      </c>
      <c r="C76" s="175" t="s">
        <v>6</v>
      </c>
      <c r="D76" s="175">
        <v>1</v>
      </c>
      <c r="E76" s="176" t="s">
        <v>3359</v>
      </c>
    </row>
    <row r="77" spans="1:5">
      <c r="A77" s="21">
        <f t="shared" si="0"/>
        <v>76</v>
      </c>
      <c r="B77" s="174" t="str">
        <f ca="1">IFERROR(__xludf.DUMMYFUNCTION("GOOGLETRANSLATE(B2467:B2482,""RU"",""UK"")"),"Розточувальна оправка з мікроподачею різця 0,001мм КМ5 L140 d90-130мм")</f>
        <v>Розточувальна оправка з мікроподачею різця 0,001мм КМ5 L140 d90-130мм</v>
      </c>
      <c r="C77" s="175" t="s">
        <v>6</v>
      </c>
      <c r="D77" s="175">
        <v>1</v>
      </c>
      <c r="E77" s="176" t="s">
        <v>3359</v>
      </c>
    </row>
    <row r="78" spans="1:5">
      <c r="A78" s="21">
        <f t="shared" si="0"/>
        <v>77</v>
      </c>
      <c r="B78" s="174" t="str">
        <f ca="1">IFERROR(__xludf.DUMMYFUNCTION("GOOGLETRANSLATE(B2468:B2483,""RU"",""UK"")"),"Розточувальна оправка з мікроподачею різця 0,001мм КМ5 d120-145 (8 різців Т30К4)")</f>
        <v>Розточувальна оправка з мікроподачею різця 0,001мм КМ5 d120-145 (8 різців Т30К4)</v>
      </c>
      <c r="C78" s="175" t="s">
        <v>1031</v>
      </c>
      <c r="D78" s="175">
        <v>1</v>
      </c>
      <c r="E78" s="176" t="s">
        <v>84</v>
      </c>
    </row>
    <row r="79" spans="1:5">
      <c r="A79" s="21">
        <f t="shared" si="0"/>
        <v>78</v>
      </c>
      <c r="B79" s="174" t="s">
        <v>6343</v>
      </c>
      <c r="C79" s="175" t="s">
        <v>6</v>
      </c>
      <c r="D79" s="175">
        <v>1</v>
      </c>
      <c r="E79" s="176">
        <v>980</v>
      </c>
    </row>
    <row r="80" spans="1:5">
      <c r="A80" s="21">
        <f t="shared" si="0"/>
        <v>79</v>
      </c>
      <c r="B80" s="174" t="str">
        <f ca="1">IFERROR(__xludf.DUMMYFUNCTION("GOOGLETRANSLATE(B2469:B2484,""RU"",""UK"")"),"Розточувальна оправка з мікроподачею різця 0,001мм КМ4 d10-45мм вживана")</f>
        <v>Розточувальна оправка з мікроподачею різця 0,001мм КМ4 d10-45мм вживана</v>
      </c>
      <c r="C80" s="175" t="s">
        <v>6</v>
      </c>
      <c r="D80" s="175">
        <v>1</v>
      </c>
      <c r="E80" s="176">
        <v>1600</v>
      </c>
    </row>
    <row r="81" spans="1:5">
      <c r="A81" s="21">
        <f t="shared" si="0"/>
        <v>80</v>
      </c>
      <c r="B81" s="205" t="s">
        <v>6290</v>
      </c>
      <c r="C81" s="175" t="s">
        <v>6</v>
      </c>
      <c r="D81" s="175">
        <v>1</v>
      </c>
      <c r="E81" s="176">
        <v>3300</v>
      </c>
    </row>
    <row r="82" spans="1:5">
      <c r="A82" s="21">
        <f t="shared" si="0"/>
        <v>81</v>
      </c>
      <c r="B82" s="224" t="str">
        <f ca="1">IFERROR(__xludf.DUMMYFUNCTION("GOOGLETRANSLATE(B2469:B2484,""RU"",""UK"")"),"Розточувальна оправка з мікроподачею різця 0,001мм КМ3 d10-45мм ")</f>
        <v xml:space="preserve">Розточувальна оправка з мікроподачею різця 0,001мм КМ3 d10-45мм </v>
      </c>
      <c r="C82" s="175" t="s">
        <v>6</v>
      </c>
      <c r="D82" s="175">
        <v>1</v>
      </c>
      <c r="E82" s="176">
        <v>2200</v>
      </c>
    </row>
    <row r="83" spans="1:5">
      <c r="A83" s="21">
        <f t="shared" si="0"/>
        <v>82</v>
      </c>
      <c r="B83" s="174" t="s">
        <v>6114</v>
      </c>
      <c r="C83" s="175" t="s">
        <v>6</v>
      </c>
      <c r="D83" s="175">
        <v>1</v>
      </c>
      <c r="E83" s="176">
        <v>500</v>
      </c>
    </row>
    <row r="84" spans="1:5">
      <c r="A84" s="21">
        <f t="shared" si="0"/>
        <v>83</v>
      </c>
      <c r="B84" s="174" t="str">
        <f ca="1">IFERROR(__xludf.DUMMYFUNCTION("GOOGLETRANSLATE(B2471:B2486,""RU"",""UK"")"),"Розточувальна оправка з мікроподачею різця ISO40 L150 d45-65мм різець 10х10")</f>
        <v>Розточувальна оправка з мікроподачею різця ISO40 L150 d45-65мм різець 10х10</v>
      </c>
      <c r="C84" s="175" t="s">
        <v>6</v>
      </c>
      <c r="D84" s="175">
        <v>1</v>
      </c>
      <c r="E84" s="176">
        <v>2200</v>
      </c>
    </row>
    <row r="85" spans="1:5">
      <c r="A85" s="21">
        <f t="shared" si="0"/>
        <v>84</v>
      </c>
      <c r="B85" s="174" t="str">
        <f ca="1">IFERROR(__xludf.DUMMYFUNCTION("GOOGLETRANSLATE(B2472:B2487,""RU"",""UK"")"),"Розточувальна оправка з мікроподачею різця ISO40 L150 d60-80мм різець 12х12")</f>
        <v>Розточувальна оправка з мікроподачею різця ISO40 L150 d60-80мм різець 12х12</v>
      </c>
      <c r="C85" s="175" t="s">
        <v>6</v>
      </c>
      <c r="D85" s="175">
        <v>3</v>
      </c>
      <c r="E85" s="176" t="s">
        <v>3366</v>
      </c>
    </row>
    <row r="86" spans="1:5">
      <c r="A86" s="21">
        <f t="shared" si="0"/>
        <v>85</v>
      </c>
      <c r="B86" s="174" t="str">
        <f ca="1">IFERROR(__xludf.DUMMYFUNCTION("GOOGLETRANSLATE(B2474:B2489,""RU"",""UK"")"),"Розточувальна оправка (головка) ISO40 (7/24) L140 d55-70мм різець 12х12мм")</f>
        <v>Розточувальна оправка (головка) ISO40 (7/24) L140 d55-70мм різець 12х12мм</v>
      </c>
      <c r="C86" s="175" t="s">
        <v>6</v>
      </c>
      <c r="D86" s="175">
        <v>2</v>
      </c>
      <c r="E86" s="176" t="s">
        <v>71</v>
      </c>
    </row>
    <row r="87" spans="1:5">
      <c r="A87" s="21">
        <f t="shared" ref="A87:A175" si="1">A86+1</f>
        <v>86</v>
      </c>
      <c r="B87" s="164" t="str">
        <f ca="1">IFERROR(__xludf.DUMMYFUNCTION("GOOGLETRANSLATE(B2475:B2490,""RU"",""UK"")"),"Розточувальна оправка (головка) ISO40 (7/24) L230 d55-70мм різець 12х12мм")</f>
        <v>Розточувальна оправка (головка) ISO40 (7/24) L230 d55-70мм різець 12х12мм</v>
      </c>
      <c r="C87" s="175" t="s">
        <v>6</v>
      </c>
      <c r="D87" s="175">
        <v>0</v>
      </c>
      <c r="E87" s="176" t="s">
        <v>3371</v>
      </c>
    </row>
    <row r="88" spans="1:5">
      <c r="A88" s="21">
        <f t="shared" si="1"/>
        <v>87</v>
      </c>
      <c r="B88" s="174" t="str">
        <f ca="1">IFERROR(__xludf.DUMMYFUNCTION("GOOGLETRANSLATE(B2476:B2491,""RU"",""UK"")"),"Розточувальна оправка (головка) ISO40 (7/24) L140 d70-90мм різець 16х16мм")</f>
        <v>Розточувальна оправка (головка) ISO40 (7/24) L140 d70-90мм різець 16х16мм</v>
      </c>
      <c r="C88" s="175" t="s">
        <v>6</v>
      </c>
      <c r="D88" s="175">
        <v>1</v>
      </c>
      <c r="E88" s="176" t="s">
        <v>3371</v>
      </c>
    </row>
    <row r="89" spans="1:5">
      <c r="A89" s="21">
        <f t="shared" si="1"/>
        <v>88</v>
      </c>
      <c r="B89" s="174" t="str">
        <f ca="1">IFERROR(__xludf.DUMMYFUNCTION("GOOGLETRANSLATE(B2478:B2493,""RU"",""UK"")"),"Розточувальна оправка (головка) ISO40 d100-360 мех. кр. 4гр.L200мм (всього 3 ставки)")</f>
        <v>Розточувальна оправка (головка) ISO40 d100-360 мех. кр. 4гр.L200мм (всього 3 ставки)</v>
      </c>
      <c r="C89" s="175" t="s">
        <v>1031</v>
      </c>
      <c r="D89" s="175">
        <v>1</v>
      </c>
      <c r="E89" s="176">
        <v>5200</v>
      </c>
    </row>
    <row r="90" spans="1:5">
      <c r="A90" s="21">
        <f t="shared" si="1"/>
        <v>89</v>
      </c>
      <c r="B90" s="174" t="str">
        <f ca="1">IFERROR(__xludf.DUMMYFUNCTION("GOOGLETRANSLATE(B2479:B2494,""RU"",""UK"")"),"Розточувальна оправка ІСО40 d63-100 2-х стор.мех.кр.т/с ромб.L150")</f>
        <v>Розточувальна оправка ІСО40 d63-100 2-х стор.мех.кр.т/с ромб.L150</v>
      </c>
      <c r="C90" s="175" t="s">
        <v>6</v>
      </c>
      <c r="D90" s="175">
        <v>1</v>
      </c>
      <c r="E90" s="176">
        <v>3600</v>
      </c>
    </row>
    <row r="91" spans="1:5">
      <c r="A91" s="21">
        <f t="shared" si="1"/>
        <v>90</v>
      </c>
      <c r="B91" s="214" t="s">
        <v>6073</v>
      </c>
      <c r="C91" s="178" t="s">
        <v>6</v>
      </c>
      <c r="D91" s="179" t="s">
        <v>6135</v>
      </c>
      <c r="E91" s="180">
        <v>1800</v>
      </c>
    </row>
    <row r="92" spans="1:5">
      <c r="A92" s="21">
        <f t="shared" si="1"/>
        <v>91</v>
      </c>
      <c r="B92" s="214" t="s">
        <v>6075</v>
      </c>
      <c r="C92" s="178" t="s">
        <v>6</v>
      </c>
      <c r="D92" s="179" t="s">
        <v>6135</v>
      </c>
      <c r="E92" s="180">
        <v>1800</v>
      </c>
    </row>
    <row r="93" spans="1:5">
      <c r="A93" s="21">
        <f t="shared" si="1"/>
        <v>92</v>
      </c>
      <c r="B93" s="177" t="s">
        <v>6094</v>
      </c>
      <c r="C93" s="178" t="s">
        <v>6</v>
      </c>
      <c r="D93" s="179" t="s">
        <v>6074</v>
      </c>
      <c r="E93" s="180">
        <v>2800</v>
      </c>
    </row>
    <row r="94" spans="1:5">
      <c r="A94" s="21">
        <f t="shared" si="1"/>
        <v>93</v>
      </c>
      <c r="B94" s="214" t="s">
        <v>6076</v>
      </c>
      <c r="C94" s="178" t="s">
        <v>6</v>
      </c>
      <c r="D94" s="179" t="s">
        <v>6135</v>
      </c>
      <c r="E94" s="180">
        <v>2000</v>
      </c>
    </row>
    <row r="95" spans="1:5">
      <c r="A95" s="21">
        <f t="shared" si="1"/>
        <v>94</v>
      </c>
      <c r="B95" s="174" t="str">
        <f ca="1">IFERROR(__xludf.DUMMYFUNCTION("GOOGLETRANSLATE(B2484:B2499,""RU"",""UK"")"),"Розточувальна оправка (головка) К50 з мікром. регул. різця (0,01) d10-45 мм")</f>
        <v>Розточувальна оправка (головка) К50 з мікром. регул. різця (0,01) d10-45 мм</v>
      </c>
      <c r="C95" s="175" t="s">
        <v>6</v>
      </c>
      <c r="D95" s="175">
        <v>7</v>
      </c>
      <c r="E95" s="176">
        <v>1900</v>
      </c>
    </row>
    <row r="96" spans="1:5">
      <c r="A96" s="21">
        <f t="shared" si="1"/>
        <v>95</v>
      </c>
      <c r="B96" s="174" t="str">
        <f ca="1">IFERROR(__xludf.DUMMYFUNCTION("GOOGLETRANSLATE(B2484:B2499,""RU"",""UK"")"),"Розточувальна оправка (головка) К50 з мікром. регул. різця (0,01) d10-45 мм L200мм")</f>
        <v>Розточувальна оправка (головка) К50 з мікром. регул. різця (0,01) d10-45 мм L200мм</v>
      </c>
      <c r="C96" s="175" t="s">
        <v>6</v>
      </c>
      <c r="D96" s="175">
        <v>6</v>
      </c>
      <c r="E96" s="176">
        <v>2300</v>
      </c>
    </row>
    <row r="97" spans="1:5">
      <c r="A97" s="21">
        <f t="shared" si="1"/>
        <v>96</v>
      </c>
      <c r="B97" s="181" t="s">
        <v>6081</v>
      </c>
      <c r="C97" s="182" t="s">
        <v>6</v>
      </c>
      <c r="D97" s="183" t="s">
        <v>6074</v>
      </c>
      <c r="E97" s="184">
        <v>2700</v>
      </c>
    </row>
    <row r="98" spans="1:5">
      <c r="A98" s="21">
        <f t="shared" si="1"/>
        <v>97</v>
      </c>
      <c r="B98" s="181" t="s">
        <v>6301</v>
      </c>
      <c r="C98" s="182" t="s">
        <v>6</v>
      </c>
      <c r="D98" s="183" t="s">
        <v>6074</v>
      </c>
      <c r="E98" s="184">
        <v>1900</v>
      </c>
    </row>
    <row r="99" spans="1:5">
      <c r="A99" s="21">
        <f t="shared" si="1"/>
        <v>98</v>
      </c>
      <c r="B99" s="181" t="s">
        <v>6314</v>
      </c>
      <c r="C99" s="182" t="s">
        <v>6</v>
      </c>
      <c r="D99" s="183" t="s">
        <v>6074</v>
      </c>
      <c r="E99" s="184">
        <v>1700</v>
      </c>
    </row>
    <row r="100" spans="1:5">
      <c r="A100" s="21">
        <f t="shared" si="1"/>
        <v>99</v>
      </c>
      <c r="B100" s="181" t="s">
        <v>6300</v>
      </c>
      <c r="C100" s="182" t="s">
        <v>6</v>
      </c>
      <c r="D100" s="183" t="s">
        <v>6074</v>
      </c>
      <c r="E100" s="184">
        <v>2200</v>
      </c>
    </row>
    <row r="101" spans="1:5">
      <c r="A101" s="21">
        <f t="shared" ref="A101:A102" si="2">A100+1</f>
        <v>100</v>
      </c>
      <c r="B101" s="181" t="s">
        <v>6302</v>
      </c>
      <c r="C101" s="182" t="s">
        <v>6</v>
      </c>
      <c r="D101" s="183" t="s">
        <v>6074</v>
      </c>
      <c r="E101" s="184">
        <v>1500</v>
      </c>
    </row>
    <row r="102" spans="1:5">
      <c r="A102" s="21">
        <f t="shared" si="2"/>
        <v>101</v>
      </c>
      <c r="B102" s="185" t="s">
        <v>6080</v>
      </c>
      <c r="C102" s="186" t="s">
        <v>6</v>
      </c>
      <c r="D102" s="187">
        <v>1</v>
      </c>
      <c r="E102" s="188">
        <v>2200</v>
      </c>
    </row>
    <row r="103" spans="1:5">
      <c r="A103" s="21">
        <f t="shared" si="1"/>
        <v>102</v>
      </c>
      <c r="B103" s="185" t="s">
        <v>6086</v>
      </c>
      <c r="C103" s="186" t="s">
        <v>6</v>
      </c>
      <c r="D103" s="187">
        <v>1</v>
      </c>
      <c r="E103" s="188">
        <v>2200</v>
      </c>
    </row>
    <row r="104" spans="1:5">
      <c r="A104" s="21">
        <f t="shared" si="1"/>
        <v>103</v>
      </c>
      <c r="B104" s="185" t="s">
        <v>6084</v>
      </c>
      <c r="C104" s="186" t="s">
        <v>6</v>
      </c>
      <c r="D104" s="187">
        <v>1</v>
      </c>
      <c r="E104" s="188">
        <v>2400</v>
      </c>
    </row>
    <row r="105" spans="1:5">
      <c r="A105" s="21">
        <f t="shared" si="1"/>
        <v>104</v>
      </c>
      <c r="B105" s="223" t="s">
        <v>6115</v>
      </c>
      <c r="C105" s="186" t="s">
        <v>6</v>
      </c>
      <c r="D105" s="187">
        <v>0</v>
      </c>
      <c r="E105" s="188">
        <v>1700</v>
      </c>
    </row>
    <row r="106" spans="1:5">
      <c r="A106" s="21">
        <f t="shared" si="1"/>
        <v>105</v>
      </c>
      <c r="B106" s="185" t="s">
        <v>6082</v>
      </c>
      <c r="C106" s="186" t="s">
        <v>6</v>
      </c>
      <c r="D106" s="187">
        <v>2</v>
      </c>
      <c r="E106" s="188">
        <v>2700</v>
      </c>
    </row>
    <row r="107" spans="1:5">
      <c r="A107" s="21">
        <f t="shared" si="1"/>
        <v>106</v>
      </c>
      <c r="B107" s="185" t="s">
        <v>6083</v>
      </c>
      <c r="C107" s="186" t="s">
        <v>6</v>
      </c>
      <c r="D107" s="187">
        <v>1</v>
      </c>
      <c r="E107" s="188">
        <v>3000</v>
      </c>
    </row>
    <row r="108" spans="1:5">
      <c r="A108" s="21">
        <f t="shared" si="1"/>
        <v>107</v>
      </c>
      <c r="B108" s="185" t="s">
        <v>6303</v>
      </c>
      <c r="C108" s="186" t="s">
        <v>6</v>
      </c>
      <c r="D108" s="187">
        <v>1</v>
      </c>
      <c r="E108" s="188">
        <v>1800</v>
      </c>
    </row>
    <row r="109" spans="1:5">
      <c r="A109" s="21">
        <f t="shared" si="1"/>
        <v>108</v>
      </c>
      <c r="B109" s="211" t="s">
        <v>6136</v>
      </c>
      <c r="C109" s="178" t="s">
        <v>3118</v>
      </c>
      <c r="D109" s="179" t="s">
        <v>6135</v>
      </c>
      <c r="E109" s="180">
        <v>6000</v>
      </c>
    </row>
    <row r="110" spans="1:5">
      <c r="A110" s="21">
        <f t="shared" si="1"/>
        <v>109</v>
      </c>
      <c r="B110" s="218" t="s">
        <v>6196</v>
      </c>
      <c r="C110" s="202" t="s">
        <v>3118</v>
      </c>
      <c r="D110" s="183" t="s">
        <v>6135</v>
      </c>
      <c r="E110" s="203">
        <v>3900</v>
      </c>
    </row>
    <row r="111" spans="1:5">
      <c r="A111" s="21">
        <f t="shared" si="1"/>
        <v>110</v>
      </c>
      <c r="B111" s="174" t="str">
        <f ca="1">IFERROR(__xludf.DUMMYFUNCTION("GOOGLETRANSLATE(B2493:B2508,""RU"",""UK"")"),"Розточувальна оправка (головка) з мікроподачою різьця циліндр. D36мм d10-45мм")</f>
        <v>Розточувальна оправка (головка) з мікроподачою різьця циліндр. D36мм d10-45мм</v>
      </c>
      <c r="C111" s="175" t="s">
        <v>6</v>
      </c>
      <c r="D111" s="175">
        <v>3</v>
      </c>
      <c r="E111" s="176">
        <v>2000</v>
      </c>
    </row>
    <row r="112" spans="1:5">
      <c r="A112" s="21">
        <f t="shared" si="1"/>
        <v>111</v>
      </c>
      <c r="B112" s="174" t="str">
        <f ca="1">IFERROR(__xludf.DUMMYFUNCTION("GOOGLETRANSLATE(B2494:B2509,""RU"",""UK"")"),"Розточувальна оправка (головка) з мікроподачою різьця циліндр. D48мм d10-45мм")</f>
        <v>Розточувальна оправка (головка) з мікроподачою різьця циліндр. D48мм d10-45мм</v>
      </c>
      <c r="C112" s="175" t="s">
        <v>6</v>
      </c>
      <c r="D112" s="175">
        <v>3</v>
      </c>
      <c r="E112" s="176">
        <v>2000</v>
      </c>
    </row>
    <row r="113" spans="1:5">
      <c r="A113" s="21">
        <f t="shared" si="1"/>
        <v>112</v>
      </c>
      <c r="B113" s="204" t="str">
        <f ca="1">IFERROR(__xludf.DUMMYFUNCTION("GOOGLETRANSLATE(B2471:B2486,""RU"",""UK"")"),"Розточувальна головка з мікроподачею різця  d70-95мм, 0,001мм, посадка 32мм,  різець 12мм")</f>
        <v>Розточувальна головка з мікроподачею різця  d70-95мм, 0,001мм, посадка 32мм,  різець 12мм</v>
      </c>
      <c r="C113" s="175" t="s">
        <v>6</v>
      </c>
      <c r="D113" s="175">
        <v>1</v>
      </c>
      <c r="E113" s="176">
        <v>700</v>
      </c>
    </row>
    <row r="114" spans="1:5">
      <c r="A114" s="21">
        <f t="shared" si="1"/>
        <v>113</v>
      </c>
      <c r="B114" s="204" t="str">
        <f ca="1">IFERROR(__xludf.DUMMYFUNCTION("GOOGLETRANSLATE(B2471:B2486,""RU"",""UK"")"),"Розточувальна головка з мікроподачею різця  d95-120мм, 0,001мм, посадка 32мм,  різець 12мм")</f>
        <v>Розточувальна головка з мікроподачею різця  d95-120мм, 0,001мм, посадка 32мм,  різець 12мм</v>
      </c>
      <c r="C114" s="175" t="s">
        <v>6</v>
      </c>
      <c r="D114" s="175">
        <v>1</v>
      </c>
      <c r="E114" s="176">
        <v>700</v>
      </c>
    </row>
    <row r="115" spans="1:5">
      <c r="A115" s="21">
        <f t="shared" si="1"/>
        <v>114</v>
      </c>
      <c r="B115" s="174" t="s">
        <v>6113</v>
      </c>
      <c r="C115" s="175" t="s">
        <v>6</v>
      </c>
      <c r="D115" s="175">
        <v>6</v>
      </c>
      <c r="E115" s="176">
        <v>500</v>
      </c>
    </row>
    <row r="116" spans="1:5">
      <c r="A116" s="21">
        <f t="shared" si="1"/>
        <v>115</v>
      </c>
      <c r="B116" s="85" t="str">
        <f ca="1">IFERROR(__xludf.DUMMYFUNCTION("GOOGLETRANSLATE(B2496:B2511,""RU"",""UK"")"),"Вставка на розточувальну оправку 2192-4011.02 (ОРША) 180-270мм. Ромб")</f>
        <v>Вставка на розточувальну оправку 2192-4011.02 (ОРША) 180-270мм. Ромб</v>
      </c>
      <c r="C116" s="59" t="s">
        <v>6</v>
      </c>
      <c r="D116" s="59">
        <v>2</v>
      </c>
      <c r="E116" s="91" t="s">
        <v>75</v>
      </c>
    </row>
    <row r="117" spans="1:5">
      <c r="A117" s="21">
        <f t="shared" si="1"/>
        <v>116</v>
      </c>
      <c r="B117" s="85" t="str">
        <f ca="1">IFERROR(__xludf.DUMMYFUNCTION("GOOGLETRANSLATE(B2497:B2512,""RU"",""UK"")"),"Вставка на розточувальну оправку 2192-4011.03 (ОРША) 180-270мм. Квадрат")</f>
        <v>Вставка на розточувальну оправку 2192-4011.03 (ОРША) 180-270мм. Квадрат</v>
      </c>
      <c r="C117" s="59" t="s">
        <v>6</v>
      </c>
      <c r="D117" s="59">
        <v>8</v>
      </c>
      <c r="E117" s="91" t="s">
        <v>75</v>
      </c>
    </row>
    <row r="118" spans="1:5">
      <c r="A118" s="21">
        <f t="shared" si="1"/>
        <v>117</v>
      </c>
      <c r="B118" s="85" t="str">
        <f ca="1">IFERROR(__xludf.DUMMYFUNCTION("GOOGLETRANSLATE(B2498:B2513,""RU"",""UK"")"),"Вставка на розточувальну оправку 2192-4010.05 (ОРША) 270-360мм. Квадрат")</f>
        <v>Вставка на розточувальну оправку 2192-4010.05 (ОРША) 270-360мм. Квадрат</v>
      </c>
      <c r="C118" s="59" t="s">
        <v>6</v>
      </c>
      <c r="D118" s="59">
        <v>7</v>
      </c>
      <c r="E118" s="91" t="s">
        <v>75</v>
      </c>
    </row>
    <row r="119" spans="1:5">
      <c r="A119" s="21">
        <f t="shared" si="1"/>
        <v>118</v>
      </c>
      <c r="B119" s="85" t="str">
        <f ca="1">IFERROR(__xludf.DUMMYFUNCTION("GOOGLETRANSLATE(B2499:B2514,""RU"",""UK"")"),"Вставка на розточувальну оправку 2192-4010.04 (ОРША) 270-360мм. Ромб")</f>
        <v>Вставка на розточувальну оправку 2192-4010.04 (ОРША) 270-360мм. Ромб</v>
      </c>
      <c r="C119" s="59" t="s">
        <v>6</v>
      </c>
      <c r="D119" s="59">
        <v>1</v>
      </c>
      <c r="E119" s="91" t="s">
        <v>75</v>
      </c>
    </row>
    <row r="120" spans="1:5">
      <c r="A120" s="21">
        <f t="shared" si="1"/>
        <v>119</v>
      </c>
      <c r="B120" s="85" t="str">
        <f ca="1">IFERROR(__xludf.DUMMYFUNCTION("GOOGLETRANSLATE(B2500:B2515,""RU"",""UK"")"),"Оправлення КМ2 на d20мм")</f>
        <v>Оправлення КМ2 на d20мм</v>
      </c>
      <c r="C120" s="59" t="s">
        <v>6</v>
      </c>
      <c r="D120" s="59">
        <v>1</v>
      </c>
      <c r="E120" s="91" t="s">
        <v>24</v>
      </c>
    </row>
    <row r="121" spans="1:5">
      <c r="A121" s="21">
        <f t="shared" si="1"/>
        <v>120</v>
      </c>
      <c r="B121" s="198" t="s">
        <v>6144</v>
      </c>
      <c r="C121" s="59" t="s">
        <v>6</v>
      </c>
      <c r="D121" s="59">
        <v>1</v>
      </c>
      <c r="E121" s="91">
        <v>1300</v>
      </c>
    </row>
    <row r="122" spans="1:5">
      <c r="A122" s="21">
        <f t="shared" si="1"/>
        <v>121</v>
      </c>
      <c r="B122" s="200" t="s">
        <v>6147</v>
      </c>
      <c r="C122" s="59" t="s">
        <v>6</v>
      </c>
      <c r="D122" s="59">
        <v>0</v>
      </c>
      <c r="E122" s="91">
        <v>1600</v>
      </c>
    </row>
    <row r="123" spans="1:5">
      <c r="A123" s="21">
        <f t="shared" si="1"/>
        <v>122</v>
      </c>
      <c r="B123" s="198" t="s">
        <v>6145</v>
      </c>
      <c r="C123" s="59" t="s">
        <v>6</v>
      </c>
      <c r="D123" s="59">
        <v>1</v>
      </c>
      <c r="E123" s="91">
        <v>1650</v>
      </c>
    </row>
    <row r="124" spans="1:5">
      <c r="A124" s="21">
        <f t="shared" si="1"/>
        <v>123</v>
      </c>
      <c r="B124" s="198" t="s">
        <v>6146</v>
      </c>
      <c r="C124" s="59" t="s">
        <v>6</v>
      </c>
      <c r="D124" s="59">
        <v>1</v>
      </c>
      <c r="E124" s="91">
        <v>1650</v>
      </c>
    </row>
    <row r="125" spans="1:5">
      <c r="A125" s="21">
        <f t="shared" si="1"/>
        <v>124</v>
      </c>
      <c r="B125" s="85" t="str">
        <f ca="1">IFERROR(__xludf.DUMMYFUNCTION("GOOGLETRANSLATE(B2501:B2516,""RU"",""UK"")"),"Оправлення КМ3 на d20мм/КМ3 на d32мм")</f>
        <v>Оправлення КМ3 на d20мм/КМ3 на d32мм</v>
      </c>
      <c r="C125" s="59" t="s">
        <v>6</v>
      </c>
      <c r="D125" s="59" t="s">
        <v>749</v>
      </c>
      <c r="E125" s="91" t="s">
        <v>36</v>
      </c>
    </row>
    <row r="126" spans="1:5">
      <c r="A126" s="21">
        <f t="shared" si="1"/>
        <v>125</v>
      </c>
      <c r="B126" s="85" t="str">
        <f ca="1">IFERROR(__xludf.DUMMYFUNCTION("GOOGLETRANSLATE(B2502:B2517,""RU"",""UK"")"),"Оправлення КМ3 на d22мм/КМ3 на d27мм")</f>
        <v>Оправлення КМ3 на d22мм/КМ3 на d27мм</v>
      </c>
      <c r="C126" s="59" t="s">
        <v>6</v>
      </c>
      <c r="D126" s="59" t="s">
        <v>749</v>
      </c>
      <c r="E126" s="91" t="s">
        <v>36</v>
      </c>
    </row>
    <row r="127" spans="1:5">
      <c r="A127" s="21">
        <f t="shared" si="1"/>
        <v>126</v>
      </c>
      <c r="B127" s="85" t="str">
        <f ca="1">IFERROR(__xludf.DUMMYFUNCTION("GOOGLETRANSLATE(B2503:B2518,""RU"",""UK"")"),"Оправлення КМ3 на d20х220мм")</f>
        <v>Оправлення КМ3 на d20х220мм</v>
      </c>
      <c r="C127" s="59" t="s">
        <v>6</v>
      </c>
      <c r="D127" s="59">
        <v>3</v>
      </c>
      <c r="E127" s="91" t="s">
        <v>27</v>
      </c>
    </row>
    <row r="128" spans="1:5">
      <c r="A128" s="21">
        <f t="shared" si="1"/>
        <v>127</v>
      </c>
      <c r="B128" s="198" t="str">
        <f ca="1">IFERROR(__xludf.DUMMYFUNCTION("GOOGLETRANSLATE(B2504:B2519,""RU"",""UK"")"),"Оправлення до фрези КМ4 L250мм на d22мм")</f>
        <v>Оправлення до фрези КМ4 L250мм на d22мм</v>
      </c>
      <c r="C128" s="60" t="s">
        <v>6</v>
      </c>
      <c r="D128" s="193">
        <v>1</v>
      </c>
      <c r="E128" s="103">
        <v>600</v>
      </c>
    </row>
    <row r="129" spans="1:5">
      <c r="A129" s="21">
        <f t="shared" si="1"/>
        <v>128</v>
      </c>
      <c r="B129" s="198" t="str">
        <f ca="1">IFERROR(__xludf.DUMMYFUNCTION("GOOGLETRANSLATE(B2504:B2519,""RU"",""UK"")"),"Оправлення до фрези КМ5 на d32мм, корозія")</f>
        <v>Оправлення до фрези КМ5 на d32мм, корозія</v>
      </c>
      <c r="C129" s="60" t="s">
        <v>6</v>
      </c>
      <c r="D129" s="193">
        <v>1</v>
      </c>
      <c r="E129" s="103">
        <v>600</v>
      </c>
    </row>
    <row r="130" spans="1:5">
      <c r="A130" s="21">
        <f t="shared" si="1"/>
        <v>129</v>
      </c>
      <c r="B130" s="164" t="str">
        <f ca="1">IFERROR(__xludf.DUMMYFUNCTION("GOOGLETRANSLATE(B2507:B2522,""RU"",""UK"")"),"Оправлення для насадних розгорток, зенкерів КМ3 d13мм L300мм")</f>
        <v>Оправлення для насадних розгорток, зенкерів КМ3 d13мм L300мм</v>
      </c>
      <c r="C130" s="175" t="s">
        <v>6</v>
      </c>
      <c r="D130" s="175">
        <v>0</v>
      </c>
      <c r="E130" s="176">
        <v>660</v>
      </c>
    </row>
    <row r="131" spans="1:5">
      <c r="A131" s="21">
        <f t="shared" si="1"/>
        <v>130</v>
      </c>
      <c r="B131" s="174" t="str">
        <f ca="1">IFERROR(__xludf.DUMMYFUNCTION("GOOGLETRANSLATE(B2508:B2523,""RU"",""UK"")"),"Оправлення для насадних розгорток, зенкерів КМ4 d19мм L300мм")</f>
        <v>Оправлення для насадних розгорток, зенкерів КМ4 d19мм L300мм</v>
      </c>
      <c r="C131" s="175" t="s">
        <v>6</v>
      </c>
      <c r="D131" s="175">
        <v>3</v>
      </c>
      <c r="E131" s="176">
        <v>800</v>
      </c>
    </row>
    <row r="132" spans="1:5">
      <c r="A132" s="21">
        <f t="shared" si="1"/>
        <v>131</v>
      </c>
      <c r="B132" s="174" t="str">
        <f ca="1">IFERROR(__xludf.DUMMYFUNCTION("GOOGLETRANSLATE(B2508:B2523,""RU"",""UK"")"),"Оправлення для насадних розгорток, зенкерів КМ4 d22мм L420мм")</f>
        <v>Оправлення для насадних розгорток, зенкерів КМ4 d22мм L420мм</v>
      </c>
      <c r="C132" s="175" t="s">
        <v>6</v>
      </c>
      <c r="D132" s="175">
        <v>1</v>
      </c>
      <c r="E132" s="176">
        <v>800</v>
      </c>
    </row>
    <row r="133" spans="1:5">
      <c r="A133" s="21">
        <f t="shared" si="1"/>
        <v>132</v>
      </c>
      <c r="B133" s="174" t="str">
        <f ca="1">IFERROR(__xludf.DUMMYFUNCTION("GOOGLETRANSLATE(B2508:B2523,""RU"",""UK"")"),"Оправлення для насадних розгорток, зенкерів КМ4 d27мм L440мм")</f>
        <v>Оправлення для насадних розгорток, зенкерів КМ4 d27мм L440мм</v>
      </c>
      <c r="C133" s="175" t="s">
        <v>6</v>
      </c>
      <c r="D133" s="175">
        <v>5</v>
      </c>
      <c r="E133" s="176">
        <v>900</v>
      </c>
    </row>
    <row r="134" spans="1:5">
      <c r="A134" s="21">
        <f t="shared" si="1"/>
        <v>133</v>
      </c>
      <c r="B134" s="164" t="str">
        <f ca="1">IFERROR(__xludf.DUMMYFUNCTION("GOOGLETRANSLATE(B2510:B2525,""RU"",""UK"")"),"Оправлення для дискових фрез К40 конусність 7/24 на d22мм L440мм удл.")</f>
        <v>Оправлення для дискових фрез К40 конусність 7/24 на d22мм L440мм удл.</v>
      </c>
      <c r="C134" s="175" t="s">
        <v>6</v>
      </c>
      <c r="D134" s="175">
        <v>0</v>
      </c>
      <c r="E134" s="176">
        <v>1500</v>
      </c>
    </row>
    <row r="135" spans="1:5">
      <c r="A135" s="21">
        <f t="shared" si="1"/>
        <v>134</v>
      </c>
      <c r="B135" s="174" t="str">
        <f ca="1">IFERROR(__xludf.DUMMYFUNCTION("GOOGLETRANSLATE(B2510:B2525,""RU"",""UK"")"),"Оправлення для торцевих фрез К40 конусність 7/24 на d27мм L320мм удл.")</f>
        <v>Оправлення для торцевих фрез К40 конусність 7/24 на d27мм L320мм удл.</v>
      </c>
      <c r="C135" s="175" t="s">
        <v>6</v>
      </c>
      <c r="D135" s="175">
        <v>1</v>
      </c>
      <c r="E135" s="176">
        <v>1200</v>
      </c>
    </row>
    <row r="136" spans="1:5">
      <c r="A136" s="21">
        <f t="shared" si="1"/>
        <v>135</v>
      </c>
      <c r="B136" s="174" t="str">
        <f ca="1">IFERROR(__xludf.DUMMYFUNCTION("GOOGLETRANSLATE(B2510:B2525,""RU"",""UK"")"),"Оправлення для торцевих фрез К40 конусність 7/24 на d32мм")</f>
        <v>Оправлення для торцевих фрез К40 конусність 7/24 на d32мм</v>
      </c>
      <c r="C136" s="175" t="s">
        <v>6</v>
      </c>
      <c r="D136" s="175">
        <v>2</v>
      </c>
      <c r="E136" s="176" t="s">
        <v>78</v>
      </c>
    </row>
    <row r="137" spans="1:5">
      <c r="A137" s="21">
        <f t="shared" si="1"/>
        <v>136</v>
      </c>
      <c r="B137" s="174" t="str">
        <f ca="1">IFERROR(__xludf.DUMMYFUNCTION("GOOGLETRANSLATE(B2512:B2527,""RU"",""UK"")"),"Оправлення для дискових фрез КМ4 d16mm L400мм")</f>
        <v>Оправлення для дискових фрез КМ4 d16mm L400мм</v>
      </c>
      <c r="C137" s="175" t="s">
        <v>6</v>
      </c>
      <c r="D137" s="175">
        <v>0</v>
      </c>
      <c r="E137" s="176" t="s">
        <v>102</v>
      </c>
    </row>
    <row r="138" spans="1:5">
      <c r="A138" s="21">
        <f t="shared" si="1"/>
        <v>137</v>
      </c>
      <c r="B138" s="174" t="str">
        <f ca="1">IFERROR(__xludf.DUMMYFUNCTION("GOOGLETRANSLATE(B2512:B2527,""RU"",""UK"")"),"Оправлення для дискових фрез КМ4 d27mm L450мм")</f>
        <v>Оправлення для дискових фрез КМ4 d27mm L450мм</v>
      </c>
      <c r="C138" s="175" t="s">
        <v>6</v>
      </c>
      <c r="D138" s="175">
        <v>0</v>
      </c>
      <c r="E138" s="176">
        <v>1200</v>
      </c>
    </row>
    <row r="139" spans="1:5">
      <c r="A139" s="21">
        <f t="shared" si="1"/>
        <v>138</v>
      </c>
      <c r="B139" s="198" t="s">
        <v>6112</v>
      </c>
      <c r="C139" s="59" t="s">
        <v>6</v>
      </c>
      <c r="D139" s="59">
        <v>2</v>
      </c>
      <c r="E139" s="91">
        <v>900</v>
      </c>
    </row>
    <row r="140" spans="1:5">
      <c r="A140" s="21">
        <f t="shared" si="1"/>
        <v>139</v>
      </c>
      <c r="B140" s="169" t="str">
        <f ca="1">IFERROR(__xludf.DUMMYFUNCTION("GOOGLETRANSLATE(B2513:B2528,""RU"",""UK"")"),"Оправлення КМ2н/КМ1 вн L150мм")</f>
        <v>Оправлення КМ2н/КМ1 вн L150мм</v>
      </c>
      <c r="C140" s="171" t="s">
        <v>6</v>
      </c>
      <c r="D140" s="171">
        <v>1</v>
      </c>
      <c r="E140" s="173" t="s">
        <v>140</v>
      </c>
    </row>
    <row r="141" spans="1:5">
      <c r="A141" s="21">
        <f t="shared" si="1"/>
        <v>140</v>
      </c>
      <c r="B141" s="85" t="str">
        <f ca="1">IFERROR(__xludf.DUMMYFUNCTION("GOOGLETRANSLATE(B2514:B2529,""RU"",""UK"")"),"Оправлення К40 конусність 7/24 на d22мм")</f>
        <v>Оправлення К40 конусність 7/24 на d22мм</v>
      </c>
      <c r="C141" s="59" t="s">
        <v>6</v>
      </c>
      <c r="D141" s="59">
        <v>1</v>
      </c>
      <c r="E141" s="91" t="s">
        <v>27</v>
      </c>
    </row>
    <row r="142" spans="1:5">
      <c r="A142" s="21">
        <f t="shared" si="1"/>
        <v>141</v>
      </c>
      <c r="B142" s="85" t="str">
        <f ca="1">IFERROR(__xludf.DUMMYFUNCTION("GOOGLETRANSLATE(B2515:B2530,""RU"",""UK"")"),"Оправлення К40 конусність 7/24 на d22х260мм")</f>
        <v>Оправлення К40 конусність 7/24 на d22х260мм</v>
      </c>
      <c r="C142" s="59" t="s">
        <v>6</v>
      </c>
      <c r="D142" s="59">
        <v>1</v>
      </c>
      <c r="E142" s="91" t="s">
        <v>111</v>
      </c>
    </row>
    <row r="143" spans="1:5">
      <c r="A143" s="21">
        <f t="shared" si="1"/>
        <v>142</v>
      </c>
      <c r="B143" s="85" t="str">
        <f ca="1">IFERROR(__xludf.DUMMYFUNCTION("GOOGLETRANSLATE(B2516:B2531,""RU"",""UK"")"),"Оправлення К40 конусність 7/24 на d27мм")</f>
        <v>Оправлення К40 конусність 7/24 на d27мм</v>
      </c>
      <c r="C143" s="59" t="s">
        <v>6</v>
      </c>
      <c r="D143" s="59">
        <v>1</v>
      </c>
      <c r="E143" s="91" t="s">
        <v>111</v>
      </c>
    </row>
    <row r="144" spans="1:5">
      <c r="A144" s="21">
        <f t="shared" si="1"/>
        <v>143</v>
      </c>
      <c r="B144" s="85" t="str">
        <f ca="1">IFERROR(__xludf.DUMMYFUNCTION("GOOGLETRANSLATE(B2517:B2532,""RU"",""UK"")"),"Оправлення К40 конусність 7/24 на d27х240мм")</f>
        <v>Оправлення К40 конусність 7/24 на d27х240мм</v>
      </c>
      <c r="C144" s="59" t="s">
        <v>6</v>
      </c>
      <c r="D144" s="59">
        <v>1</v>
      </c>
      <c r="E144" s="91" t="s">
        <v>111</v>
      </c>
    </row>
    <row r="145" spans="1:5">
      <c r="A145" s="21">
        <f t="shared" si="1"/>
        <v>144</v>
      </c>
      <c r="B145" s="85" t="str">
        <f ca="1">IFERROR(__xludf.DUMMYFUNCTION("GOOGLETRANSLATE(B2518:B2533,""RU"",""UK"")"),"Оправлення К40 конусність 7/24 на d32мм")</f>
        <v>Оправлення К40 конусність 7/24 на d32мм</v>
      </c>
      <c r="C145" s="59" t="s">
        <v>6</v>
      </c>
      <c r="D145" s="59">
        <v>2</v>
      </c>
      <c r="E145" s="91" t="s">
        <v>111</v>
      </c>
    </row>
    <row r="146" spans="1:5">
      <c r="A146" s="21">
        <f t="shared" si="1"/>
        <v>145</v>
      </c>
      <c r="B146" s="85" t="str">
        <f ca="1">IFERROR(__xludf.DUMMYFUNCTION("GOOGLETRANSLATE(B2519:B2534,""RU"",""UK"")"),"Оправлення К40 конусність 7/24 на d32х150мм")</f>
        <v>Оправлення К40 конусність 7/24 на d32х150мм</v>
      </c>
      <c r="C146" s="59" t="s">
        <v>6</v>
      </c>
      <c r="D146" s="59">
        <v>0</v>
      </c>
      <c r="E146" s="91" t="s">
        <v>88</v>
      </c>
    </row>
    <row r="147" spans="1:5">
      <c r="A147" s="21">
        <f t="shared" si="1"/>
        <v>146</v>
      </c>
      <c r="B147" s="85" t="str">
        <f ca="1">IFERROR(__xludf.DUMMYFUNCTION("GOOGLETRANSLATE(B2520:B2535,""RU"",""UK"")"),"Оправлення К40 конусність 7/24 на КМ2")</f>
        <v>Оправлення К40 конусність 7/24 на КМ2</v>
      </c>
      <c r="C147" s="59" t="s">
        <v>6</v>
      </c>
      <c r="D147" s="59">
        <v>1</v>
      </c>
      <c r="E147" s="91" t="s">
        <v>100</v>
      </c>
    </row>
    <row r="148" spans="1:5">
      <c r="A148" s="21">
        <f t="shared" si="1"/>
        <v>147</v>
      </c>
      <c r="B148" s="174" t="str">
        <f ca="1">IFERROR(__xludf.DUMMYFUNCTION("GOOGLETRANSLATE(B2523:B2538,""RU"",""UK"")"),"Оправлення (втулка перехідна) ИСО40 конусність 7/24 на D36mm удл.")</f>
        <v>Оправлення (втулка перехідна) ИСО40 конусність 7/24 на D36mm удл.</v>
      </c>
      <c r="C148" s="175" t="s">
        <v>6</v>
      </c>
      <c r="D148" s="175">
        <v>1</v>
      </c>
      <c r="E148" s="176">
        <v>1400</v>
      </c>
    </row>
    <row r="149" spans="1:5">
      <c r="A149" s="21">
        <f t="shared" si="1"/>
        <v>148</v>
      </c>
      <c r="B149" s="174" t="str">
        <f ca="1">IFERROR(__xludf.DUMMYFUNCTION("GOOGLETRANSLATE(B2523:B2538,""RU"",""UK"")"),"Оправлення (втулка перехідна) ИСО45 конусність 7/24 на КМ2")</f>
        <v>Оправлення (втулка перехідна) ИСО45 конусність 7/24 на КМ2</v>
      </c>
      <c r="C149" s="175" t="s">
        <v>6</v>
      </c>
      <c r="D149" s="175">
        <v>1</v>
      </c>
      <c r="E149" s="176">
        <v>1050</v>
      </c>
    </row>
    <row r="150" spans="1:5">
      <c r="A150" s="21">
        <f t="shared" si="1"/>
        <v>149</v>
      </c>
      <c r="B150" s="174" t="str">
        <f ca="1">IFERROR(__xludf.DUMMYFUNCTION("GOOGLETRANSLATE(B2523:B2538,""RU"",""UK"")"),"Оправлення (втулка перехідна) ИСО50 конусність 7/24 на КМ2")</f>
        <v>Оправлення (втулка перехідна) ИСО50 конусність 7/24 на КМ2</v>
      </c>
      <c r="C150" s="175" t="s">
        <v>6</v>
      </c>
      <c r="D150" s="175">
        <v>22</v>
      </c>
      <c r="E150" s="176">
        <v>1050</v>
      </c>
    </row>
    <row r="151" spans="1:5">
      <c r="A151" s="21">
        <f t="shared" si="1"/>
        <v>150</v>
      </c>
      <c r="B151" s="174" t="s">
        <v>6306</v>
      </c>
      <c r="C151" s="175" t="s">
        <v>6</v>
      </c>
      <c r="D151" s="175">
        <v>1</v>
      </c>
      <c r="E151" s="176">
        <v>600</v>
      </c>
    </row>
    <row r="152" spans="1:5">
      <c r="A152" s="21">
        <f t="shared" si="1"/>
        <v>151</v>
      </c>
      <c r="B152" s="174" t="s">
        <v>6312</v>
      </c>
      <c r="C152" s="175" t="s">
        <v>6</v>
      </c>
      <c r="D152" s="175">
        <v>1</v>
      </c>
      <c r="E152" s="176">
        <v>660</v>
      </c>
    </row>
    <row r="153" spans="1:5">
      <c r="A153" s="21">
        <f t="shared" si="1"/>
        <v>152</v>
      </c>
      <c r="B153" s="174" t="s">
        <v>6308</v>
      </c>
      <c r="C153" s="175" t="s">
        <v>6</v>
      </c>
      <c r="D153" s="175">
        <v>1</v>
      </c>
      <c r="E153" s="176">
        <v>690</v>
      </c>
    </row>
    <row r="154" spans="1:5">
      <c r="A154" s="21">
        <f t="shared" si="1"/>
        <v>153</v>
      </c>
      <c r="B154" s="174" t="str">
        <f ca="1">IFERROR(__xludf.DUMMYFUNCTION("GOOGLETRANSLATE(B2523:B2538,""RU"",""UK"")"),"Оправлення (втулка перехідна) ИСО50 конусність 7/24 на КМ3")</f>
        <v>Оправлення (втулка перехідна) ИСО50 конусність 7/24 на КМ3</v>
      </c>
      <c r="C154" s="175" t="s">
        <v>6</v>
      </c>
      <c r="D154" s="175">
        <v>19</v>
      </c>
      <c r="E154" s="176">
        <v>1050</v>
      </c>
    </row>
    <row r="155" spans="1:5">
      <c r="A155" s="21">
        <f t="shared" si="1"/>
        <v>154</v>
      </c>
      <c r="B155" s="174" t="s">
        <v>6313</v>
      </c>
      <c r="C155" s="175" t="s">
        <v>6</v>
      </c>
      <c r="D155" s="175">
        <v>2</v>
      </c>
      <c r="E155" s="176">
        <v>600</v>
      </c>
    </row>
    <row r="156" spans="1:5">
      <c r="A156" s="21">
        <f t="shared" si="1"/>
        <v>155</v>
      </c>
      <c r="B156" s="174" t="s">
        <v>6304</v>
      </c>
      <c r="C156" s="175" t="s">
        <v>6</v>
      </c>
      <c r="D156" s="175">
        <v>1</v>
      </c>
      <c r="E156" s="176">
        <v>600</v>
      </c>
    </row>
    <row r="157" spans="1:5">
      <c r="A157" s="21">
        <f t="shared" si="1"/>
        <v>156</v>
      </c>
      <c r="B157" s="174" t="s">
        <v>6311</v>
      </c>
      <c r="C157" s="175" t="s">
        <v>6</v>
      </c>
      <c r="D157" s="175">
        <v>1</v>
      </c>
      <c r="E157" s="176">
        <v>660</v>
      </c>
    </row>
    <row r="158" spans="1:5">
      <c r="A158" s="21">
        <f t="shared" si="1"/>
        <v>157</v>
      </c>
      <c r="B158" s="174" t="str">
        <f ca="1">IFERROR(__xludf.DUMMYFUNCTION("GOOGLETRANSLATE(B2523:B2538,""RU"",""UK"")"),"Оправлення (втулка перехідна) ИСО50 конусність 7/24 на КМ4")</f>
        <v>Оправлення (втулка перехідна) ИСО50 конусність 7/24 на КМ4</v>
      </c>
      <c r="C158" s="175" t="s">
        <v>6</v>
      </c>
      <c r="D158" s="175">
        <v>11</v>
      </c>
      <c r="E158" s="176">
        <v>1050</v>
      </c>
    </row>
    <row r="159" spans="1:5">
      <c r="A159" s="21">
        <f t="shared" si="1"/>
        <v>158</v>
      </c>
      <c r="B159" s="174" t="s">
        <v>6401</v>
      </c>
      <c r="C159" s="175" t="s">
        <v>6</v>
      </c>
      <c r="D159" s="175">
        <v>2</v>
      </c>
      <c r="E159" s="176">
        <v>1200</v>
      </c>
    </row>
    <row r="160" spans="1:5">
      <c r="A160" s="21">
        <f t="shared" si="1"/>
        <v>159</v>
      </c>
      <c r="B160" s="174" t="s">
        <v>6309</v>
      </c>
      <c r="C160" s="175" t="s">
        <v>6</v>
      </c>
      <c r="D160" s="175">
        <v>2</v>
      </c>
      <c r="E160" s="176">
        <v>600</v>
      </c>
    </row>
    <row r="161" spans="1:5">
      <c r="A161" s="21">
        <f t="shared" si="1"/>
        <v>160</v>
      </c>
      <c r="B161" s="174" t="s">
        <v>6305</v>
      </c>
      <c r="C161" s="175" t="s">
        <v>6</v>
      </c>
      <c r="D161" s="175">
        <v>1</v>
      </c>
      <c r="E161" s="176">
        <v>690</v>
      </c>
    </row>
    <row r="162" spans="1:5">
      <c r="A162" s="21">
        <f t="shared" si="1"/>
        <v>161</v>
      </c>
      <c r="B162" s="174" t="s">
        <v>6307</v>
      </c>
      <c r="C162" s="175" t="s">
        <v>6</v>
      </c>
      <c r="D162" s="175">
        <v>1</v>
      </c>
      <c r="E162" s="176">
        <v>750</v>
      </c>
    </row>
    <row r="163" spans="1:5">
      <c r="A163" s="21">
        <f t="shared" si="1"/>
        <v>162</v>
      </c>
      <c r="B163" s="174" t="str">
        <f ca="1">IFERROR(__xludf.DUMMYFUNCTION("GOOGLETRANSLATE(B2523:B2538,""RU"",""UK"")"),"Оправлення (втулка перехідна) ИСО50 конусність 7/24 на D48")</f>
        <v>Оправлення (втулка перехідна) ИСО50 конусність 7/24 на D48</v>
      </c>
      <c r="C163" s="175" t="s">
        <v>6</v>
      </c>
      <c r="D163" s="175">
        <v>1</v>
      </c>
      <c r="E163" s="176">
        <v>1400</v>
      </c>
    </row>
    <row r="164" spans="1:5">
      <c r="A164" s="21">
        <f t="shared" si="1"/>
        <v>163</v>
      </c>
      <c r="B164" s="174" t="s">
        <v>6310</v>
      </c>
      <c r="C164" s="175" t="s">
        <v>6</v>
      </c>
      <c r="D164" s="175">
        <v>1</v>
      </c>
      <c r="E164" s="176">
        <v>690</v>
      </c>
    </row>
    <row r="165" spans="1:5">
      <c r="A165" s="21">
        <f t="shared" si="1"/>
        <v>164</v>
      </c>
      <c r="B165" s="174" t="str">
        <f ca="1">IFERROR(__xludf.DUMMYFUNCTION("GOOGLETRANSLATE(B2525:B2540,""RU"",""UK"")"),"Оправлення до тоцових, торценасадних фрез ИСО50 конусність 7/24 на d27мм")</f>
        <v>Оправлення до тоцових, торценасадних фрез ИСО50 конусність 7/24 на d27мм</v>
      </c>
      <c r="C165" s="175" t="s">
        <v>6</v>
      </c>
      <c r="D165" s="175">
        <v>3</v>
      </c>
      <c r="E165" s="176">
        <v>1500</v>
      </c>
    </row>
    <row r="166" spans="1:5">
      <c r="A166" s="21">
        <f t="shared" si="1"/>
        <v>165</v>
      </c>
      <c r="B166" s="174" t="str">
        <f ca="1">IFERROR(__xludf.DUMMYFUNCTION("GOOGLETRANSLATE(B2525:B2540,""RU"",""UK"")"),"Оправлення до тоцових, торценасадних фрез ИСО50 конусність 7/24 на d32мм")</f>
        <v>Оправлення до тоцових, торценасадних фрез ИСО50 конусність 7/24 на d32мм</v>
      </c>
      <c r="C166" s="175" t="s">
        <v>6</v>
      </c>
      <c r="D166" s="175">
        <v>6</v>
      </c>
      <c r="E166" s="176">
        <v>1500</v>
      </c>
    </row>
    <row r="167" spans="1:5">
      <c r="A167" s="21">
        <f t="shared" si="1"/>
        <v>166</v>
      </c>
      <c r="B167" s="174" t="str">
        <f ca="1">IFERROR(__xludf.DUMMYFUNCTION("GOOGLETRANSLATE(B2525:B2540,""RU"",""UK"")"),"Оправлення до тоцових, торценасадних фрез ИСО50 конусність 7/24 на d32мм вживана")</f>
        <v>Оправлення до тоцових, торценасадних фрез ИСО50 конусність 7/24 на d32мм вживана</v>
      </c>
      <c r="C167" s="175" t="s">
        <v>6</v>
      </c>
      <c r="D167" s="175">
        <v>1</v>
      </c>
      <c r="E167" s="176">
        <v>700</v>
      </c>
    </row>
    <row r="168" spans="1:5">
      <c r="A168" s="21">
        <f t="shared" si="1"/>
        <v>167</v>
      </c>
      <c r="B168" s="174" t="str">
        <f ca="1">IFERROR(__xludf.DUMMYFUNCTION("GOOGLETRANSLATE(B2525:B2540,""RU"",""UK"")"),"Оправлення до тоцових, торценасадних фрез ИСО50 конусність 7/24 на d40мм")</f>
        <v>Оправлення до тоцових, торценасадних фрез ИСО50 конусність 7/24 на d40мм</v>
      </c>
      <c r="C168" s="175" t="s">
        <v>6</v>
      </c>
      <c r="D168" s="175">
        <v>7</v>
      </c>
      <c r="E168" s="176">
        <v>1500</v>
      </c>
    </row>
    <row r="169" spans="1:5">
      <c r="A169" s="21">
        <f t="shared" si="1"/>
        <v>168</v>
      </c>
      <c r="B169" s="174" t="s">
        <v>6111</v>
      </c>
      <c r="C169" s="175" t="s">
        <v>6</v>
      </c>
      <c r="D169" s="175">
        <v>1</v>
      </c>
      <c r="E169" s="176">
        <v>1500</v>
      </c>
    </row>
    <row r="170" spans="1:5">
      <c r="A170" s="21">
        <f t="shared" si="1"/>
        <v>169</v>
      </c>
      <c r="B170" s="204" t="s">
        <v>6398</v>
      </c>
      <c r="C170" s="175" t="s">
        <v>6</v>
      </c>
      <c r="D170" s="175">
        <v>1</v>
      </c>
      <c r="E170" s="176">
        <v>1500</v>
      </c>
    </row>
    <row r="171" spans="1:5">
      <c r="A171" s="21">
        <f t="shared" si="1"/>
        <v>170</v>
      </c>
      <c r="B171" s="204" t="s">
        <v>6399</v>
      </c>
      <c r="C171" s="175" t="s">
        <v>6</v>
      </c>
      <c r="D171" s="175">
        <v>2</v>
      </c>
      <c r="E171" s="176">
        <v>1550</v>
      </c>
    </row>
    <row r="172" spans="1:5">
      <c r="A172" s="21">
        <f t="shared" si="1"/>
        <v>171</v>
      </c>
      <c r="B172" s="204" t="s">
        <v>6400</v>
      </c>
      <c r="C172" s="175" t="s">
        <v>6</v>
      </c>
      <c r="D172" s="175">
        <v>1</v>
      </c>
      <c r="E172" s="176">
        <v>1550</v>
      </c>
    </row>
    <row r="173" spans="1:5">
      <c r="A173" s="21">
        <f t="shared" si="1"/>
        <v>172</v>
      </c>
      <c r="B173" s="174" t="str">
        <f ca="1">IFERROR(__xludf.DUMMYFUNCTION("GOOGLETRANSLATE(B2525:B2540,""RU"",""UK"")"),"Оправлення до тоцових, торценасадних фрез ИСО50 конусність 7/24 на d50мм")</f>
        <v>Оправлення до тоцових, торценасадних фрез ИСО50 конусність 7/24 на d50мм</v>
      </c>
      <c r="C173" s="175" t="s">
        <v>6</v>
      </c>
      <c r="D173" s="175">
        <v>1</v>
      </c>
      <c r="E173" s="176">
        <v>1500</v>
      </c>
    </row>
    <row r="174" spans="1:5">
      <c r="A174" s="21">
        <f t="shared" si="1"/>
        <v>173</v>
      </c>
      <c r="B174" s="174" t="str">
        <f ca="1">IFERROR(__xludf.DUMMYFUNCTION("GOOGLETRANSLATE(B2525:B2540,""RU"",""UK"")"),"Оправлення для циліндричних фрез ИСО50 конусність 7/24 на d22мм L40мм")</f>
        <v>Оправлення для циліндричних фрез ИСО50 конусність 7/24 на d22мм L40мм</v>
      </c>
      <c r="C174" s="175" t="s">
        <v>6</v>
      </c>
      <c r="D174" s="175">
        <v>7</v>
      </c>
      <c r="E174" s="176">
        <v>1200</v>
      </c>
    </row>
    <row r="175" spans="1:5">
      <c r="A175" s="21">
        <f t="shared" si="1"/>
        <v>174</v>
      </c>
      <c r="B175" s="174" t="str">
        <f ca="1">IFERROR(__xludf.DUMMYFUNCTION("GOOGLETRANSLATE(B2525:B2540,""RU"",""UK"")"),"Оправлення для циліндричних фрез ИСО50 конусність 7/24 на d27мм L60мм")</f>
        <v>Оправлення для циліндричних фрез ИСО50 конусність 7/24 на d27мм L60мм</v>
      </c>
      <c r="C175" s="175" t="s">
        <v>6</v>
      </c>
      <c r="D175" s="175">
        <v>9</v>
      </c>
      <c r="E175" s="176">
        <v>1200</v>
      </c>
    </row>
    <row r="176" spans="1:5">
      <c r="A176" s="226">
        <v>170</v>
      </c>
      <c r="B176" s="239" t="s">
        <v>6397</v>
      </c>
      <c r="C176" s="202" t="s">
        <v>6</v>
      </c>
      <c r="D176" s="202">
        <v>1</v>
      </c>
      <c r="E176" s="240">
        <v>1400</v>
      </c>
    </row>
  </sheetData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zoomScale="220" zoomScaleNormal="220" workbookViewId="0">
      <selection activeCell="D14" sqref="D14"/>
    </sheetView>
  </sheetViews>
  <sheetFormatPr defaultRowHeight="12.75"/>
  <cols>
    <col min="2" max="2" width="68" customWidth="1"/>
  </cols>
  <sheetData>
    <row r="1" spans="1:5">
      <c r="A1" s="27"/>
      <c r="B1" s="110" t="s">
        <v>6102</v>
      </c>
      <c r="C1" s="28"/>
      <c r="D1" s="28"/>
      <c r="E1" s="94"/>
    </row>
    <row r="2" spans="1:5">
      <c r="A2" s="21">
        <v>1</v>
      </c>
      <c r="B2" s="85" t="str">
        <f ca="1">IFERROR(__xludf.DUMMYFUNCTION("GOOGLETRANSLATE(B3576:B3591,""RU"",""UK"")"),"Патрон токарний трикулачковий ПСС-70мм")</f>
        <v>Патрон токарний трикулачковий ПСС-70мм</v>
      </c>
      <c r="C2" s="59" t="s">
        <v>6</v>
      </c>
      <c r="D2" s="59">
        <v>1</v>
      </c>
      <c r="E2" s="91" t="s">
        <v>14</v>
      </c>
    </row>
    <row r="3" spans="1:5">
      <c r="A3" s="21">
        <f t="shared" ref="A3:A77" si="0">A2+1</f>
        <v>2</v>
      </c>
      <c r="B3" s="169" t="str">
        <f ca="1">IFERROR(__xludf.DUMMYFUNCTION("GOOGLETRANSLATE(B3577:B3592,""RU"",""UK"")"),"Патрон токарний трикулачковий ПСС-80мм Польща")</f>
        <v>Патрон токарний трикулачковий ПСС-80мм Польща</v>
      </c>
      <c r="C3" s="59" t="s">
        <v>6</v>
      </c>
      <c r="D3" s="59">
        <v>1</v>
      </c>
      <c r="E3" s="91" t="s">
        <v>3770</v>
      </c>
    </row>
    <row r="4" spans="1:5">
      <c r="A4" s="21">
        <f t="shared" si="0"/>
        <v>3</v>
      </c>
      <c r="B4" s="169" t="str">
        <f ca="1">IFERROR(__xludf.DUMMYFUNCTION("GOOGLETRANSLATE(B3578:B3593,""RU"",""UK"")"),"Патрон токарний трикулачковий ПСС-100мм Польща, мало вживаний")</f>
        <v>Патрон токарний трикулачковий ПСС-100мм Польща, мало вживаний</v>
      </c>
      <c r="C4" s="59" t="s">
        <v>6</v>
      </c>
      <c r="D4" s="59">
        <v>1</v>
      </c>
      <c r="E4" s="91" t="s">
        <v>4761</v>
      </c>
    </row>
    <row r="5" spans="1:5">
      <c r="A5" s="21">
        <f t="shared" si="0"/>
        <v>4</v>
      </c>
      <c r="B5" s="85" t="str">
        <f ca="1">IFERROR(__xludf.DUMMYFUNCTION("GOOGLETRANSLATE(B3579:B3594,""RU"",""UK"")"),"Патрон токарний трикулачковий ПСС-100мм")</f>
        <v>Патрон токарний трикулачковий ПСС-100мм</v>
      </c>
      <c r="C5" s="59" t="s">
        <v>6</v>
      </c>
      <c r="D5" s="59">
        <v>2</v>
      </c>
      <c r="E5" s="91">
        <v>5400</v>
      </c>
    </row>
    <row r="6" spans="1:5">
      <c r="A6" s="21">
        <f t="shared" si="0"/>
        <v>5</v>
      </c>
      <c r="B6" s="169" t="str">
        <f ca="1">IFERROR(__xludf.DUMMYFUNCTION("GOOGLETRANSLATE(B3580:B3595,""RU"",""UK"")"),"Патрон токарний трикулачковий ПСС-125мм на планшайбу (прямі, зворотні) Гродно")</f>
        <v>Патрон токарний трикулачковий ПСС-125мм на планшайбу (прямі, зворотні) Гродно</v>
      </c>
      <c r="C6" s="59" t="s">
        <v>6</v>
      </c>
      <c r="D6" s="59">
        <v>2</v>
      </c>
      <c r="E6" s="91" t="s">
        <v>94</v>
      </c>
    </row>
    <row r="7" spans="1:5">
      <c r="A7" s="21">
        <f t="shared" si="0"/>
        <v>6</v>
      </c>
      <c r="B7" s="169" t="str">
        <f ca="1">IFERROR(__xludf.DUMMYFUNCTION("GOOGLETRANSLATE(B3581:B3596,""RU"",""UK"")"),"Патрон токарний трикулачковий ПСС-125мм Польща")</f>
        <v>Патрон токарний трикулачковий ПСС-125мм Польща</v>
      </c>
      <c r="C7" s="59" t="s">
        <v>6</v>
      </c>
      <c r="D7" s="59">
        <v>1</v>
      </c>
      <c r="E7" s="91" t="s">
        <v>3474</v>
      </c>
    </row>
    <row r="8" spans="1:5">
      <c r="A8" s="21">
        <f t="shared" si="0"/>
        <v>7</v>
      </c>
      <c r="B8" s="169" t="str">
        <f ca="1">IFERROR(__xludf.DUMMYFUNCTION("GOOGLETRANSLATE(B3581:B3596,""RU"",""UK"")"),"Патрон токарний трикулачковий ПСС-125мм Польща, зворотни кул. Мало вживані")</f>
        <v>Патрон токарний трикулачковий ПСС-125мм Польща, зворотни кул. Мало вживані</v>
      </c>
      <c r="C8" s="59" t="s">
        <v>6</v>
      </c>
      <c r="D8" s="59">
        <v>1</v>
      </c>
      <c r="E8" s="91">
        <v>13000</v>
      </c>
    </row>
    <row r="9" spans="1:5">
      <c r="A9" s="21">
        <f t="shared" si="0"/>
        <v>8</v>
      </c>
      <c r="B9" s="85" t="str">
        <f ca="1">IFERROR(__xludf.DUMMYFUNCTION("GOOGLETRANSLATE(B3582:B3597,""RU"",""UK"")"),"Патрон токарний трикулачковий ПСС-125мм Польща без кул.")</f>
        <v>Патрон токарний трикулачковий ПСС-125мм Польща без кул.</v>
      </c>
      <c r="C9" s="59" t="s">
        <v>6</v>
      </c>
      <c r="D9" s="59">
        <v>1</v>
      </c>
      <c r="E9" s="91" t="s">
        <v>14</v>
      </c>
    </row>
    <row r="10" spans="1:5">
      <c r="A10" s="21">
        <f t="shared" si="0"/>
        <v>9</v>
      </c>
      <c r="B10" s="85" t="str">
        <f ca="1">IFERROR(__xludf.DUMMYFUNCTION("GOOGLETRANSLATE(B3583:B3598,""RU"",""UK"")"),"Патрон токарний трикулачковий ПСС-160мм ПНР СТ-160ПФ4")</f>
        <v>Патрон токарний трикулачковий ПСС-160мм ПНР СТ-160ПФ4</v>
      </c>
      <c r="C10" s="59" t="s">
        <v>6</v>
      </c>
      <c r="D10" s="59">
        <v>1</v>
      </c>
      <c r="E10" s="91" t="s">
        <v>4768</v>
      </c>
    </row>
    <row r="11" spans="1:5">
      <c r="A11" s="21">
        <f t="shared" si="0"/>
        <v>10</v>
      </c>
      <c r="B11" s="85" t="str">
        <f ca="1">IFERROR(__xludf.DUMMYFUNCTION("GOOGLETRANSLATE(B3583:B3598,""RU"",""UK"")"),"Патрон токарний трикулачковий ПСС-160мм ПНР СТ-160АФ4")</f>
        <v>Патрон токарний трикулачковий ПСС-160мм ПНР СТ-160АФ4</v>
      </c>
      <c r="C11" s="59" t="s">
        <v>6</v>
      </c>
      <c r="D11" s="59">
        <v>1</v>
      </c>
      <c r="E11" s="91">
        <v>26000</v>
      </c>
    </row>
    <row r="12" spans="1:5">
      <c r="A12" s="21">
        <f t="shared" si="0"/>
        <v>11</v>
      </c>
      <c r="B12" s="169" t="str">
        <f ca="1">IFERROR(__xludf.DUMMYFUNCTION("GOOGLETRANSLATE(B3584:B3599,""RU"",""UK"")"),"Патрон токарний трикулачковий ПСС-160мм ПНР Ф5 легке б/у")</f>
        <v>Патрон токарний трикулачковий ПСС-160мм ПНР Ф5 легке б/у</v>
      </c>
      <c r="C12" s="59" t="s">
        <v>6</v>
      </c>
      <c r="D12" s="59">
        <v>1</v>
      </c>
      <c r="E12" s="91" t="s">
        <v>4770</v>
      </c>
    </row>
    <row r="13" spans="1:5">
      <c r="A13" s="21">
        <f t="shared" si="0"/>
        <v>12</v>
      </c>
      <c r="B13" s="85" t="str">
        <f ca="1">IFERROR(__xludf.DUMMYFUNCTION("GOOGLETRANSLATE(B3585:B3600,""RU"",""UK"")"),"Патрон токарний трикулачковий ПСС-160мм конус Ф5, Гродно")</f>
        <v>Патрон токарний трикулачковий ПСС-160мм конус Ф5, Гродно</v>
      </c>
      <c r="C13" s="59" t="s">
        <v>6</v>
      </c>
      <c r="D13" s="59">
        <v>1</v>
      </c>
      <c r="E13" s="91" t="s">
        <v>3770</v>
      </c>
    </row>
    <row r="14" spans="1:5">
      <c r="A14" s="21">
        <f t="shared" si="0"/>
        <v>13</v>
      </c>
      <c r="B14" s="85" t="str">
        <f ca="1">IFERROR(__xludf.DUMMYFUNCTION("GOOGLETRANSLATE(B3586:B3601,""RU"",""UK"")"),"Патрон токарний трикулачковий ПСС-160мм Псков")</f>
        <v>Патрон токарний трикулачковий ПСС-160мм Псков</v>
      </c>
      <c r="C14" s="59" t="s">
        <v>6</v>
      </c>
      <c r="D14" s="59">
        <v>7</v>
      </c>
      <c r="E14" s="91">
        <v>6500</v>
      </c>
    </row>
    <row r="15" spans="1:5">
      <c r="A15" s="21">
        <f t="shared" si="0"/>
        <v>14</v>
      </c>
      <c r="B15" s="85" t="str">
        <f ca="1">IFERROR(__xludf.DUMMYFUNCTION("GOOGLETRANSLATE(B3587:B3602,""RU"",""UK"")"),"Патрон токарний трикулачковий клиновий механізований 160мм.")</f>
        <v>Патрон токарний трикулачковий клиновий механізований 160мм.</v>
      </c>
      <c r="C15" s="59" t="s">
        <v>6</v>
      </c>
      <c r="D15" s="59">
        <v>1</v>
      </c>
      <c r="E15" s="91" t="s">
        <v>61</v>
      </c>
    </row>
    <row r="16" spans="1:5">
      <c r="A16" s="21">
        <f t="shared" si="0"/>
        <v>15</v>
      </c>
      <c r="B16" s="85" t="str">
        <f ca="1">IFERROR(__xludf.DUMMYFUNCTION("GOOGLETRANSLATE(B3588:B3603,""RU"",""UK"")"),"Патрон токарний трикулачковий ПСС-200мм Польща Ф6 (4 шпильки)")</f>
        <v>Патрон токарний трикулачковий ПСС-200мм Польща Ф6 (4 шпильки)</v>
      </c>
      <c r="C16" s="59" t="s">
        <v>6</v>
      </c>
      <c r="D16" s="59">
        <v>1</v>
      </c>
      <c r="E16" s="91" t="s">
        <v>4768</v>
      </c>
    </row>
    <row r="17" spans="1:5">
      <c r="A17" s="21">
        <f t="shared" si="0"/>
        <v>16</v>
      </c>
      <c r="B17" s="85" t="str">
        <f ca="1">IFERROR(__xludf.DUMMYFUNCTION("GOOGLETRANSLATE(B3588:B3603,""RU"",""UK"")"),"Патрон токарний трикулачковий ПСС-200мм Польща Ф6 (4 шпильки) мало вживаний")</f>
        <v>Патрон токарний трикулачковий ПСС-200мм Польща Ф6 (4 шпильки) мало вживаний</v>
      </c>
      <c r="C17" s="59" t="s">
        <v>6</v>
      </c>
      <c r="D17" s="59">
        <v>1</v>
      </c>
      <c r="E17" s="91">
        <v>12000</v>
      </c>
    </row>
    <row r="18" spans="1:5">
      <c r="A18" s="21">
        <f t="shared" si="0"/>
        <v>17</v>
      </c>
      <c r="B18" s="85" t="str">
        <f ca="1">IFERROR(__xludf.DUMMYFUNCTION("GOOGLETRANSLATE(B3589:B3604,""RU"",""UK"")"),"Патрон токарний трикулачковий ПСС-200мм Гродно Ф6")</f>
        <v>Патрон токарний трикулачковий ПСС-200мм Гродно Ф6</v>
      </c>
      <c r="C18" s="59" t="s">
        <v>6</v>
      </c>
      <c r="D18" s="59">
        <v>2</v>
      </c>
      <c r="E18" s="91" t="s">
        <v>4770</v>
      </c>
    </row>
    <row r="19" spans="1:5">
      <c r="A19" s="21">
        <f t="shared" si="0"/>
        <v>18</v>
      </c>
      <c r="B19" s="85" t="str">
        <f ca="1">IFERROR(__xludf.DUMMYFUNCTION("GOOGLETRANSLATE(B3590:B3605,""RU"",""UK"")"),"Патрон токарний трикулачковий ПСС-200мм Псков планшайба")</f>
        <v>Патрон токарний трикулачковий ПСС-200мм Псков планшайба</v>
      </c>
      <c r="C19" s="59" t="s">
        <v>6</v>
      </c>
      <c r="D19" s="59">
        <v>1</v>
      </c>
      <c r="E19" s="91" t="s">
        <v>3638</v>
      </c>
    </row>
    <row r="20" spans="1:5">
      <c r="A20" s="21">
        <f t="shared" si="0"/>
        <v>19</v>
      </c>
      <c r="B20" s="85" t="s">
        <v>6332</v>
      </c>
      <c r="C20" s="59" t="s">
        <v>6</v>
      </c>
      <c r="D20" s="59">
        <v>1</v>
      </c>
      <c r="E20" s="91">
        <v>1100</v>
      </c>
    </row>
    <row r="21" spans="1:5">
      <c r="A21" s="21">
        <f t="shared" si="0"/>
        <v>20</v>
      </c>
      <c r="B21" s="169" t="s">
        <v>6297</v>
      </c>
      <c r="C21" s="59" t="s">
        <v>6</v>
      </c>
      <c r="D21" s="59">
        <v>1</v>
      </c>
      <c r="E21" s="91" t="s">
        <v>3716</v>
      </c>
    </row>
    <row r="22" spans="1:5">
      <c r="A22" s="21">
        <f t="shared" si="0"/>
        <v>21</v>
      </c>
      <c r="B22" s="221" t="str">
        <f ca="1">IFERROR(__xludf.DUMMYFUNCTION("GOOGLETRANSLATE(B3592:B3607,""RU"",""UK"")"),"Патрон токарний трикулачковий ПСС-250мм Гродно Ф6 (4 шп) із зберігається.")</f>
        <v>Патрон токарний трикулачковий ПСС-250мм Гродно Ф6 (4 шп) із зберігається.</v>
      </c>
      <c r="C22" s="59" t="s">
        <v>6</v>
      </c>
      <c r="D22" s="59">
        <v>1</v>
      </c>
      <c r="E22" s="91" t="s">
        <v>4780</v>
      </c>
    </row>
    <row r="23" spans="1:5">
      <c r="A23" s="21">
        <f t="shared" si="0"/>
        <v>22</v>
      </c>
      <c r="B23" s="85" t="str">
        <f ca="1">IFERROR(__xludf.DUMMYFUNCTION("GOOGLETRANSLATE(B3593:B3608,""RU"",""UK"")"),"Патрон токарний трикулачковий ПСС-250мм Гродно Ф6 (4 шп) б/у")</f>
        <v>Патрон токарний трикулачковий ПСС-250мм Гродно Ф6 (4 шп) б/у</v>
      </c>
      <c r="C23" s="59" t="s">
        <v>6</v>
      </c>
      <c r="D23" s="59">
        <v>3</v>
      </c>
      <c r="E23" s="91" t="s">
        <v>4782</v>
      </c>
    </row>
    <row r="24" spans="1:5">
      <c r="A24" s="21">
        <f t="shared" si="0"/>
        <v>23</v>
      </c>
      <c r="B24" s="169" t="str">
        <f ca="1">IFERROR(__xludf.DUMMYFUNCTION("GOOGLETRANSLATE(B3594:B3609,""RU"",""UK"")"),"Патрон токарний трикулачковий ПСС-250П Ф6 ПНР, вживаний")</f>
        <v>Патрон токарний трикулачковий ПСС-250П Ф6 ПНР, вживаний</v>
      </c>
      <c r="C24" s="59" t="s">
        <v>6</v>
      </c>
      <c r="D24" s="59">
        <v>1</v>
      </c>
      <c r="E24" s="91">
        <v>11800</v>
      </c>
    </row>
    <row r="25" spans="1:5">
      <c r="A25" s="21">
        <f t="shared" si="0"/>
        <v>24</v>
      </c>
      <c r="B25" s="85" t="str">
        <f ca="1">IFERROR(__xludf.DUMMYFUNCTION("GOOGLETRANSLATE(B3595:B3610,""RU"",""UK"")"),"Патрон токарний трикулачковий ПСС-230 б/в (обр. кулачки) РЕВ")</f>
        <v>Патрон токарний трикулачковий ПСС-230 б/в (обр. кулачки) РЕВ</v>
      </c>
      <c r="C25" s="59" t="s">
        <v>6</v>
      </c>
      <c r="D25" s="59">
        <v>1</v>
      </c>
      <c r="E25" s="91" t="s">
        <v>914</v>
      </c>
    </row>
    <row r="26" spans="1:5">
      <c r="A26" s="21">
        <f t="shared" si="0"/>
        <v>25</v>
      </c>
      <c r="B26" s="169" t="str">
        <f ca="1">IFERROR(__xludf.DUMMYFUNCTION("GOOGLETRANSLATE(B3596:B3611,""RU"",""UK"")"),"Патрон токарний чотирикулачковий на планшайбу СТ-250 Борисоглібськ")</f>
        <v>Патрон токарний чотирикулачковий на планшайбу СТ-250 Борисоглібськ</v>
      </c>
      <c r="C26" s="59" t="s">
        <v>6</v>
      </c>
      <c r="D26" s="59">
        <v>1</v>
      </c>
      <c r="E26" s="91" t="s">
        <v>4761</v>
      </c>
    </row>
    <row r="27" spans="1:5">
      <c r="A27" s="21">
        <f t="shared" si="0"/>
        <v>26</v>
      </c>
      <c r="B27" s="200" t="str">
        <f ca="1">IFERROR(__xludf.DUMMYFUNCTION("GOOGLETRANSLATE(B3597:B3612,""RU"",""UK"")"),"Патрон токарний чотирикулачковий СТ-250 конус F6 Борисоглібськ")</f>
        <v>Патрон токарний чотирикулачковий СТ-250 конус F6 Борисоглібськ</v>
      </c>
      <c r="C27" s="59" t="s">
        <v>6</v>
      </c>
      <c r="D27" s="59">
        <v>0</v>
      </c>
      <c r="E27" s="91" t="s">
        <v>3677</v>
      </c>
    </row>
    <row r="28" spans="1:5">
      <c r="A28" s="21">
        <f t="shared" si="0"/>
        <v>27</v>
      </c>
      <c r="B28" s="85" t="str">
        <f ca="1">IFERROR(__xludf.DUMMYFUNCTION("GOOGLETRANSLATE(B3599:B3614,""RU"",""UK"")"),"Патрон токарний трикулачковий ПСС-315мм Гродно F8 (4 шп)")</f>
        <v>Патрон токарний трикулачковий ПСС-315мм Гродно F8 (4 шп)</v>
      </c>
      <c r="C28" s="59" t="s">
        <v>6</v>
      </c>
      <c r="D28" s="59">
        <v>10</v>
      </c>
      <c r="E28" s="91" t="s">
        <v>4790</v>
      </c>
    </row>
    <row r="29" spans="1:5">
      <c r="A29" s="21">
        <f t="shared" si="0"/>
        <v>28</v>
      </c>
      <c r="B29" s="85" t="str">
        <f ca="1">IFERROR(__xludf.DUMMYFUNCTION("GOOGLETRANSLATE(B3600:B3615,""RU"",""UK"")"),"Патрон токарний трикулачковий ПСС-315мм Польща F8 (4 шп)")</f>
        <v>Патрон токарний трикулачковий ПСС-315мм Польща F8 (4 шп)</v>
      </c>
      <c r="C29" s="59" t="s">
        <v>6</v>
      </c>
      <c r="D29" s="59">
        <v>1</v>
      </c>
      <c r="E29" s="91" t="s">
        <v>4784</v>
      </c>
    </row>
    <row r="30" spans="1:5">
      <c r="A30" s="21">
        <f t="shared" si="0"/>
        <v>29</v>
      </c>
      <c r="B30" s="85" t="str">
        <f ca="1">IFERROR(__xludf.DUMMYFUNCTION("GOOGLETRANSLATE(B3601:B3616,""RU"",""UK"")"),"Патрон токарний чотирикулачковий СТ-315мм F6 (4 шп)")</f>
        <v>Патрон токарний чотирикулачковий СТ-315мм F6 (4 шп)</v>
      </c>
      <c r="C30" s="59" t="s">
        <v>6</v>
      </c>
      <c r="D30" s="59">
        <v>3</v>
      </c>
      <c r="E30" s="91" t="s">
        <v>3677</v>
      </c>
    </row>
    <row r="31" spans="1:5">
      <c r="A31" s="21">
        <f t="shared" si="0"/>
        <v>30</v>
      </c>
      <c r="B31" s="85" t="str">
        <f ca="1">IFERROR(__xludf.DUMMYFUNCTION("GOOGLETRANSLATE(B3602:B3617,""RU"",""UK"")"),"Патрон токарний чотирикулачковий СТ-400мм конус")</f>
        <v>Патрон токарний чотирикулачковий СТ-400мм конус</v>
      </c>
      <c r="C31" s="59" t="s">
        <v>6</v>
      </c>
      <c r="D31" s="59">
        <v>3</v>
      </c>
      <c r="E31" s="91" t="s">
        <v>4794</v>
      </c>
    </row>
    <row r="32" spans="1:5">
      <c r="A32" s="21">
        <f t="shared" si="0"/>
        <v>31</v>
      </c>
      <c r="B32" s="85" t="str">
        <f ca="1">IFERROR(__xludf.DUMMYFUNCTION("GOOGLETRANSLATE(B3603:B3618,""RU"",""UK"")"),"Патрон токарний чотирикулачковий СТ-500мм")</f>
        <v>Патрон токарний чотирикулачковий СТ-500мм</v>
      </c>
      <c r="C32" s="59" t="s">
        <v>6</v>
      </c>
      <c r="D32" s="59">
        <v>1</v>
      </c>
      <c r="E32" s="91" t="s">
        <v>4782</v>
      </c>
    </row>
    <row r="33" spans="1:5">
      <c r="A33" s="21">
        <f t="shared" si="0"/>
        <v>32</v>
      </c>
      <c r="B33" s="205" t="s">
        <v>6123</v>
      </c>
      <c r="C33" s="59" t="s">
        <v>4370</v>
      </c>
      <c r="D33" s="59">
        <v>3</v>
      </c>
      <c r="E33" s="91">
        <v>1500</v>
      </c>
    </row>
    <row r="34" spans="1:5">
      <c r="A34" s="21">
        <f t="shared" si="0"/>
        <v>33</v>
      </c>
      <c r="B34" s="168" t="str">
        <f ca="1">IFERROR(__xludf.DUMMYFUNCTION("GOOGLETRANSLATE(B3604:B3619,""RU"",""UK"")"),"Кулачки прямі 250мм Крок 10")</f>
        <v>Кулачки прямі 250мм Крок 10</v>
      </c>
      <c r="C34" s="59" t="s">
        <v>4370</v>
      </c>
      <c r="D34" s="59">
        <v>1</v>
      </c>
      <c r="E34" s="91" t="s">
        <v>73</v>
      </c>
    </row>
    <row r="35" spans="1:5">
      <c r="A35" s="21">
        <f t="shared" si="0"/>
        <v>34</v>
      </c>
      <c r="B35" s="85" t="str">
        <f ca="1">IFERROR(__xludf.DUMMYFUNCTION("GOOGLETRANSLATE(B3605:B3620,""RU"",""UK"")"),"Кулачки прямі 250мм Крок 10 (б/в)")</f>
        <v>Кулачки прямі 250мм Крок 10 (б/в)</v>
      </c>
      <c r="C35" s="59" t="s">
        <v>4370</v>
      </c>
      <c r="D35" s="59">
        <v>3</v>
      </c>
      <c r="E35" s="91" t="s">
        <v>71</v>
      </c>
    </row>
    <row r="36" spans="1:5">
      <c r="A36" s="21">
        <f t="shared" si="0"/>
        <v>35</v>
      </c>
      <c r="B36" s="85" t="str">
        <f ca="1">IFERROR(__xludf.DUMMYFUNCTION("GOOGLETRANSLATE(B3606:B3621,""RU"",""UK"")"),"Кулачки зворотні 250мм Крок 10")</f>
        <v>Кулачки зворотні 250мм Крок 10</v>
      </c>
      <c r="C36" s="59" t="s">
        <v>4370</v>
      </c>
      <c r="D36" s="59">
        <v>7</v>
      </c>
      <c r="E36" s="91" t="s">
        <v>71</v>
      </c>
    </row>
    <row r="37" spans="1:5">
      <c r="A37" s="21">
        <f t="shared" si="0"/>
        <v>36</v>
      </c>
      <c r="B37" s="85" t="str">
        <f ca="1">IFERROR(__xludf.DUMMYFUNCTION("GOOGLETRANSLATE(B3607:B3622,""RU"",""UK"")"),"Кулачки зворотні 250мм Крок 10 ПНР")</f>
        <v>Кулачки зворотні 250мм Крок 10 ПНР</v>
      </c>
      <c r="C37" s="59" t="s">
        <v>4370</v>
      </c>
      <c r="D37" s="59">
        <v>5</v>
      </c>
      <c r="E37" s="91" t="s">
        <v>38</v>
      </c>
    </row>
    <row r="38" spans="1:5">
      <c r="A38" s="21">
        <f t="shared" si="0"/>
        <v>37</v>
      </c>
      <c r="B38" s="85" t="str">
        <f ca="1">IFERROR(__xludf.DUMMYFUNCTION("GOOGLETRANSLATE(B3608:B3623,""RU"",""UK"")"),"Патрони цангові кон. 7:24-К50 (6-20мм (компл. 12шт))")</f>
        <v>Патрони цангові кон. 7:24-К50 (6-20мм (компл. 12шт))</v>
      </c>
      <c r="C38" s="37" t="s">
        <v>4370</v>
      </c>
      <c r="D38" s="37">
        <v>2</v>
      </c>
      <c r="E38" s="92" t="s">
        <v>50</v>
      </c>
    </row>
    <row r="39" spans="1:5">
      <c r="A39" s="21">
        <f t="shared" si="0"/>
        <v>38</v>
      </c>
      <c r="B39" s="85" t="str">
        <f ca="1">IFERROR(__xludf.DUMMYFUNCTION("GOOGLETRANSLATE(B3609:B3624,""RU"",""UK"")"),"Патрони цангові кон. 7:24-К50, К45 (5-20мм (компл. 9шт))")</f>
        <v>Патрони цангові кон. 7:24-К50, К45 (5-20мм (компл. 9шт))</v>
      </c>
      <c r="C39" s="37" t="s">
        <v>4370</v>
      </c>
      <c r="D39" s="37">
        <v>1</v>
      </c>
      <c r="E39" s="92" t="s">
        <v>59</v>
      </c>
    </row>
    <row r="40" spans="1:5">
      <c r="A40" s="21">
        <f t="shared" si="0"/>
        <v>39</v>
      </c>
      <c r="B40" s="85" t="str">
        <f ca="1">IFERROR(__xludf.DUMMYFUNCTION("GOOGLETRANSLATE(B3610:B3625,""RU"",""UK"")"),"Патрони цангові кон. 7:24-К50, К40 (5-20мм (компл. 12шт))")</f>
        <v>Патрони цангові кон. 7:24-К50, К40 (5-20мм (компл. 12шт))</v>
      </c>
      <c r="C40" s="37" t="s">
        <v>4370</v>
      </c>
      <c r="D40" s="37">
        <v>1</v>
      </c>
      <c r="E40" s="92" t="s">
        <v>991</v>
      </c>
    </row>
    <row r="41" spans="1:5">
      <c r="A41" s="21">
        <f t="shared" si="0"/>
        <v>40</v>
      </c>
      <c r="B41" s="85" t="str">
        <f ca="1">IFERROR(__xludf.DUMMYFUNCTION("GOOGLETRANSLATE(B3611:B3626,""RU"",""UK"")"),"Патрони цангові кон. 7:24-К50(5; 6,5; 7; 8,5; 10; 10,5; 11; 12; 13; 14мм-компл10шт)")</f>
        <v>Патрони цангові кон. 7:24-К50(5; 6,5; 7; 8,5; 10; 10,5; 11; 12; 13; 14мм-компл10шт)</v>
      </c>
      <c r="C41" s="37" t="s">
        <v>4370</v>
      </c>
      <c r="D41" s="37">
        <v>1</v>
      </c>
      <c r="E41" s="92" t="s">
        <v>910</v>
      </c>
    </row>
    <row r="42" spans="1:5">
      <c r="A42" s="21">
        <f t="shared" si="0"/>
        <v>41</v>
      </c>
      <c r="B42" s="85" t="str">
        <f ca="1">IFERROR(__xludf.DUMMYFUNCTION("GOOGLETRANSLATE(B3612:B3627,""RU"",""UK"")"),"Патрони цангові кон. 7:24-К50 (5, 8, 8,5, 9, 10, 12, 14, 16мм -компл. 8шт)")</f>
        <v>Патрони цангові кон. 7:24-К50 (5, 8, 8,5, 9, 10, 12, 14, 16мм -компл. 8шт)</v>
      </c>
      <c r="C42" s="37" t="s">
        <v>4370</v>
      </c>
      <c r="D42" s="37">
        <v>1</v>
      </c>
      <c r="E42" s="92" t="s">
        <v>3672</v>
      </c>
    </row>
    <row r="43" spans="1:5">
      <c r="A43" s="21">
        <f t="shared" si="0"/>
        <v>42</v>
      </c>
      <c r="B43" s="85" t="str">
        <f ca="1">IFERROR(__xludf.DUMMYFUNCTION("GOOGLETRANSLATE(B3613:B3628,""RU"",""UK"")"),"Патрони цангові кон. 7:24-К50 (5, 8, 10, 10,5, 12, 14мм - компл.6шт)")</f>
        <v>Патрони цангові кон. 7:24-К50 (5, 8, 10, 10,5, 12, 14мм - компл.6шт)</v>
      </c>
      <c r="C43" s="37" t="s">
        <v>4370</v>
      </c>
      <c r="D43" s="37">
        <v>1</v>
      </c>
      <c r="E43" s="92" t="s">
        <v>10</v>
      </c>
    </row>
    <row r="44" spans="1:5">
      <c r="A44" s="21">
        <f t="shared" si="0"/>
        <v>43</v>
      </c>
      <c r="B44" s="85" t="str">
        <f ca="1">IFERROR(__xludf.DUMMYFUNCTION("GOOGLETRANSLATE(B3614:B3629,""RU"",""UK"")"),"Патрони цангові кон. 7:24-К50 (5, 8, 10, 12, 14мм -компл.5шт)")</f>
        <v>Патрони цангові кон. 7:24-К50 (5, 8, 10, 12, 14мм -компл.5шт)</v>
      </c>
      <c r="C44" s="37" t="s">
        <v>4370</v>
      </c>
      <c r="D44" s="37">
        <v>1</v>
      </c>
      <c r="E44" s="92" t="s">
        <v>38</v>
      </c>
    </row>
    <row r="45" spans="1:5">
      <c r="A45" s="21">
        <f t="shared" si="0"/>
        <v>44</v>
      </c>
      <c r="B45" s="169" t="str">
        <f ca="1">IFERROR(__xludf.DUMMYFUNCTION("GOOGLETRANSLATE(B3615:B3630,""RU"",""UK"")"),"Патрони цангові 7:24-К50 набор цанговый 6-20мм (16шт) конус ИСО50")</f>
        <v>Патрони цангові 7:24-К50 набор цанговый 6-20мм (16шт) конус ИСО50</v>
      </c>
      <c r="C45" s="37" t="s">
        <v>4370</v>
      </c>
      <c r="D45" s="37">
        <v>1</v>
      </c>
      <c r="E45" s="92">
        <v>2950</v>
      </c>
    </row>
    <row r="46" spans="1:5">
      <c r="A46" s="21">
        <f t="shared" si="0"/>
        <v>45</v>
      </c>
      <c r="B46" s="169" t="s">
        <v>6319</v>
      </c>
      <c r="C46" s="37" t="s">
        <v>4370</v>
      </c>
      <c r="D46" s="37">
        <v>1</v>
      </c>
      <c r="E46" s="92">
        <v>2550</v>
      </c>
    </row>
    <row r="47" spans="1:5">
      <c r="A47" s="21">
        <f t="shared" si="0"/>
        <v>46</v>
      </c>
      <c r="B47" s="169" t="s">
        <v>6320</v>
      </c>
      <c r="C47" s="37" t="s">
        <v>4370</v>
      </c>
      <c r="D47" s="37">
        <v>1</v>
      </c>
      <c r="E47" s="92">
        <v>2250</v>
      </c>
    </row>
    <row r="48" spans="1:5">
      <c r="A48" s="21">
        <f t="shared" si="0"/>
        <v>47</v>
      </c>
      <c r="B48" s="169" t="s">
        <v>6321</v>
      </c>
      <c r="C48" s="37" t="s">
        <v>4370</v>
      </c>
      <c r="D48" s="37">
        <v>1</v>
      </c>
      <c r="E48" s="92">
        <v>1950</v>
      </c>
    </row>
    <row r="49" spans="1:5">
      <c r="A49" s="21">
        <f t="shared" si="0"/>
        <v>48</v>
      </c>
      <c r="B49" s="85" t="str">
        <f ca="1">IFERROR(__xludf.DUMMYFUNCTION("GOOGLETRANSLATE(B3616:B3631,""RU"",""UK"")"),"Патрони цангові кон. 7:24-К50 (4, 6, 8, 12, 16мм-компл.5шт))")</f>
        <v>Патрони цангові кон. 7:24-К50 (4, 6, 8, 12, 16мм-компл.5шт))</v>
      </c>
      <c r="C49" s="37" t="s">
        <v>4370</v>
      </c>
      <c r="D49" s="37">
        <v>1</v>
      </c>
      <c r="E49" s="92" t="s">
        <v>10</v>
      </c>
    </row>
    <row r="50" spans="1:5">
      <c r="A50" s="21">
        <f t="shared" si="0"/>
        <v>49</v>
      </c>
      <c r="B50" s="85" t="str">
        <f ca="1">IFERROR(__xludf.DUMMYFUNCTION("GOOGLETRANSLATE(B3617:B3632,""RU"",""UK"")"),"Патрони цангові кон. 7:24-К50 (20, 25, 32, 40мм-компл.4шт)")</f>
        <v>Патрони цангові кон. 7:24-К50 (20, 25, 32, 40мм-компл.4шт)</v>
      </c>
      <c r="C50" s="37" t="s">
        <v>4370</v>
      </c>
      <c r="D50" s="37">
        <v>1</v>
      </c>
      <c r="E50" s="92" t="s">
        <v>38</v>
      </c>
    </row>
    <row r="51" spans="1:5">
      <c r="A51" s="21">
        <f t="shared" si="0"/>
        <v>50</v>
      </c>
      <c r="B51" s="85" t="s">
        <v>6315</v>
      </c>
      <c r="C51" s="37" t="s">
        <v>378</v>
      </c>
      <c r="D51" s="37">
        <v>1</v>
      </c>
      <c r="E51" s="92">
        <v>1300</v>
      </c>
    </row>
    <row r="52" spans="1:5">
      <c r="A52" s="21">
        <f t="shared" si="0"/>
        <v>51</v>
      </c>
      <c r="B52" s="200" t="str">
        <f ca="1">IFERROR(__xludf.DUMMYFUNCTION("GOOGLETRANSLATE(B3617:B3632,""RU"",""UK"")"),"Патрони цангові кон. 7:24-ИСО К50 цанги до 20мм ")</f>
        <v xml:space="preserve">Патрони цангові кон. 7:24-ИСО К50 цанги до 20мм </v>
      </c>
      <c r="C52" s="37" t="s">
        <v>6</v>
      </c>
      <c r="D52" s="37">
        <v>1</v>
      </c>
      <c r="E52" s="92">
        <v>1500</v>
      </c>
    </row>
    <row r="53" spans="1:5">
      <c r="A53" s="21">
        <f t="shared" si="0"/>
        <v>52</v>
      </c>
      <c r="B53" s="200" t="str">
        <f ca="1">IFERROR(__xludf.DUMMYFUNCTION("GOOGLETRANSLATE(B3617:B3632,""RU"",""UK"")"),"Патрони цангові кон. 7:24-ИСО К50 цанги от 20 до 40мм")</f>
        <v>Патрони цангові кон. 7:24-ИСО К50 цанги от 20 до 40мм</v>
      </c>
      <c r="C53" s="37" t="s">
        <v>6</v>
      </c>
      <c r="D53" s="37">
        <v>1</v>
      </c>
      <c r="E53" s="92">
        <v>1600</v>
      </c>
    </row>
    <row r="54" spans="1:5">
      <c r="A54" s="21">
        <f t="shared" si="0"/>
        <v>53</v>
      </c>
      <c r="B54" s="85" t="str">
        <f ca="1">IFERROR(__xludf.DUMMYFUNCTION("GOOGLETRANSLATE(B3618:B3633,""RU"",""UK"")"),"Патрони цангові кон. 7:24-К40 (20, 25, 32, 40мм-компл.4шт)")</f>
        <v>Патрони цангові кон. 7:24-К40 (20, 25, 32, 40мм-компл.4шт)</v>
      </c>
      <c r="C54" s="37" t="s">
        <v>4370</v>
      </c>
      <c r="D54" s="37">
        <v>2</v>
      </c>
      <c r="E54" s="92" t="s">
        <v>10</v>
      </c>
    </row>
    <row r="55" spans="1:5">
      <c r="A55" s="21">
        <f t="shared" si="0"/>
        <v>54</v>
      </c>
      <c r="B55" s="85" t="str">
        <f ca="1">IFERROR(__xludf.DUMMYFUNCTION("GOOGLETRANSLATE(B3619:B3634,""RU"",""UK"")"),"Патрони цангові кон. 7:24-К40 (20-2, 25-2, 32-2, 40-2-компл.8шт)")</f>
        <v>Патрони цангові кон. 7:24-К40 (20-2, 25-2, 32-2, 40-2-компл.8шт)</v>
      </c>
      <c r="C55" s="37" t="s">
        <v>4370</v>
      </c>
      <c r="D55" s="37">
        <v>2</v>
      </c>
      <c r="E55" s="92" t="s">
        <v>914</v>
      </c>
    </row>
    <row r="56" spans="1:5">
      <c r="A56" s="21">
        <f t="shared" si="0"/>
        <v>55</v>
      </c>
      <c r="B56" s="85" t="str">
        <f ca="1">IFERROR(__xludf.DUMMYFUNCTION("GOOGLETRANSLATE(B3620:B3635,""RU"",""UK"")"),"Патрони цангові кон. 7:24-К40 (5-20мм (комп. 15шт))")</f>
        <v>Патрони цангові кон. 7:24-К40 (5-20мм (комп. 15шт))</v>
      </c>
      <c r="C56" s="37" t="s">
        <v>4370</v>
      </c>
      <c r="D56" s="37">
        <v>2</v>
      </c>
      <c r="E56" s="92" t="s">
        <v>991</v>
      </c>
    </row>
    <row r="57" spans="1:5">
      <c r="A57" s="21">
        <f t="shared" si="0"/>
        <v>56</v>
      </c>
      <c r="B57" s="85" t="str">
        <f ca="1">IFERROR(__xludf.DUMMYFUNCTION("GOOGLETRANSLATE(B3621:B3636,""RU"",""UK"")"),"Патрони цангові кон. 7:24-К40 (5-20мм (комп. 11шт))")</f>
        <v>Патрони цангові кон. 7:24-К40 (5-20мм (комп. 11шт))</v>
      </c>
      <c r="C57" s="37" t="s">
        <v>4370</v>
      </c>
      <c r="D57" s="37">
        <v>1</v>
      </c>
      <c r="E57" s="92" t="s">
        <v>59</v>
      </c>
    </row>
    <row r="58" spans="1:5">
      <c r="A58" s="21">
        <f t="shared" si="0"/>
        <v>57</v>
      </c>
      <c r="B58" s="85" t="str">
        <f ca="1">IFERROR(__xludf.DUMMYFUNCTION("GOOGLETRANSLATE(B3622:B3637,""RU"",""UK"")"),"Патрони цангові кон. 7:24-К40 (5-20мм (комп. 10шт))")</f>
        <v>Патрони цангові кон. 7:24-К40 (5-20мм (комп. 10шт))</v>
      </c>
      <c r="C58" s="26" t="s">
        <v>4370</v>
      </c>
      <c r="D58" s="26">
        <v>1</v>
      </c>
      <c r="E58" s="105" t="s">
        <v>12</v>
      </c>
    </row>
    <row r="59" spans="1:5">
      <c r="A59" s="21">
        <f t="shared" si="0"/>
        <v>58</v>
      </c>
      <c r="B59" s="85" t="str">
        <f ca="1">IFERROR(__xludf.DUMMYFUNCTION("GOOGLETRANSLATE(B3623:B3638,""RU"",""UK"")"),"Патрони цангові кон. 7:24-К40 (20-40мм (комп. 8шт))")</f>
        <v>Патрони цангові кон. 7:24-К40 (20-40мм (комп. 8шт))</v>
      </c>
      <c r="C59" s="37" t="s">
        <v>4370</v>
      </c>
      <c r="D59" s="37">
        <v>1</v>
      </c>
      <c r="E59" s="92" t="s">
        <v>61</v>
      </c>
    </row>
    <row r="60" spans="1:5">
      <c r="A60" s="21">
        <f t="shared" si="0"/>
        <v>59</v>
      </c>
      <c r="B60" s="85" t="str">
        <f ca="1">IFERROR(__xludf.DUMMYFUNCTION("GOOGLETRANSLATE(B3624:B3639,""RU"",""UK"")"),"Патрони цангові кон. 7:24-К40 (4, 5, 6, 8, 10мм -5шт)")</f>
        <v>Патрони цангові кон. 7:24-К40 (4, 5, 6, 8, 10мм -5шт)</v>
      </c>
      <c r="C60" s="37" t="s">
        <v>4370</v>
      </c>
      <c r="D60" s="37">
        <v>1</v>
      </c>
      <c r="E60" s="92" t="s">
        <v>10</v>
      </c>
    </row>
    <row r="61" spans="1:5">
      <c r="A61" s="21">
        <f t="shared" si="0"/>
        <v>60</v>
      </c>
      <c r="B61" s="85" t="str">
        <f ca="1">IFERROR(__xludf.DUMMYFUNCTION("GOOGLETRANSLATE(B3625:B3640,""RU"",""UK"")"),"Патрони цангові кон. 7:24-К40 (10, 12, 14, 16, 18, 20мм -компл.6шт)")</f>
        <v>Патрони цангові кон. 7:24-К40 (10, 12, 14, 16, 18, 20мм -компл.6шт)</v>
      </c>
      <c r="C61" s="37" t="s">
        <v>4370</v>
      </c>
      <c r="D61" s="37">
        <v>2</v>
      </c>
      <c r="E61" s="92" t="s">
        <v>73</v>
      </c>
    </row>
    <row r="62" spans="1:5">
      <c r="A62" s="21">
        <f t="shared" si="0"/>
        <v>61</v>
      </c>
      <c r="B62" s="85" t="str">
        <f ca="1">IFERROR(__xludf.DUMMYFUNCTION("GOOGLETRANSLATE(B3626:B3641,""RU"",""UK"")"),"Патрони цангові кон. 7:24-К40 (10, 12, 14, 18, 20мм -компл.5шт)")</f>
        <v>Патрони цангові кон. 7:24-К40 (10, 12, 14, 18, 20мм -компл.5шт)</v>
      </c>
      <c r="C62" s="37" t="s">
        <v>4370</v>
      </c>
      <c r="D62" s="37">
        <v>1</v>
      </c>
      <c r="E62" s="92" t="s">
        <v>10</v>
      </c>
    </row>
    <row r="63" spans="1:5">
      <c r="A63" s="21">
        <f t="shared" si="0"/>
        <v>62</v>
      </c>
      <c r="B63" s="85" t="str">
        <f ca="1">IFERROR(__xludf.DUMMYFUNCTION("GOOGLETRANSLATE(B3626:B3641,""RU"",""UK"")"),"Патрони цангові кон. 7:24-К30 (11, 14, 16, 18мм -компл.4шт)")</f>
        <v>Патрони цангові кон. 7:24-К30 (11, 14, 16, 18мм -компл.4шт)</v>
      </c>
      <c r="C63" s="37" t="s">
        <v>4370</v>
      </c>
      <c r="D63" s="37">
        <v>1</v>
      </c>
      <c r="E63" s="92">
        <v>1600</v>
      </c>
    </row>
    <row r="64" spans="1:5">
      <c r="A64" s="21">
        <f t="shared" si="0"/>
        <v>63</v>
      </c>
      <c r="B64" s="85" t="s">
        <v>6355</v>
      </c>
      <c r="C64" s="37" t="s">
        <v>6</v>
      </c>
      <c r="D64" s="37">
        <v>1</v>
      </c>
      <c r="E64" s="92">
        <v>1650</v>
      </c>
    </row>
    <row r="65" spans="1:5">
      <c r="A65" s="21">
        <f t="shared" si="0"/>
        <v>64</v>
      </c>
      <c r="B65" s="85" t="str">
        <f ca="1">IFERROR(__xludf.DUMMYFUNCTION("GOOGLETRANSLATE(B3627:B3642,""RU"",""UK"")"),"Патрони цангові кон. КМ4, КМ6 (3-20мм (комп. 18шт))")</f>
        <v>Патрони цангові кон. КМ4, КМ6 (3-20мм (комп. 18шт))</v>
      </c>
      <c r="C65" s="37" t="s">
        <v>4370</v>
      </c>
      <c r="D65" s="37">
        <v>1</v>
      </c>
      <c r="E65" s="92" t="s">
        <v>1000</v>
      </c>
    </row>
    <row r="66" spans="1:5">
      <c r="A66" s="21">
        <f t="shared" si="0"/>
        <v>65</v>
      </c>
      <c r="B66" s="85" t="str">
        <f ca="1">IFERROR(__xludf.DUMMYFUNCTION("GOOGLETRANSLATE(B3630:B3645,""RU"",""UK"")"),"Патрони цангові кон. КМ4 (14, 16, 18, 20мм (комп. 4шт))")</f>
        <v>Патрони цангові кон. КМ4 (14, 16, 18, 20мм (комп. 4шт))</v>
      </c>
      <c r="C66" s="37" t="s">
        <v>4370</v>
      </c>
      <c r="D66" s="37">
        <v>4</v>
      </c>
      <c r="E66" s="92" t="s">
        <v>73</v>
      </c>
    </row>
    <row r="67" spans="1:5">
      <c r="A67" s="21">
        <f t="shared" si="0"/>
        <v>66</v>
      </c>
      <c r="B67" s="85" t="str">
        <f ca="1">IFERROR(__xludf.DUMMYFUNCTION("GOOGLETRANSLATE(B3631:B3646,""RU"",""UK"")"),"Патрони цангові кон. КМ4 (14, 16, 20мм (комп. 3шт))")</f>
        <v>Патрони цангові кон. КМ4 (14, 16, 20мм (комп. 3шт))</v>
      </c>
      <c r="C67" s="37" t="s">
        <v>4370</v>
      </c>
      <c r="D67" s="37">
        <v>1</v>
      </c>
      <c r="E67" s="92" t="s">
        <v>10</v>
      </c>
    </row>
    <row r="68" spans="1:5">
      <c r="A68" s="21">
        <f t="shared" si="0"/>
        <v>67</v>
      </c>
      <c r="B68" s="200" t="s">
        <v>6342</v>
      </c>
      <c r="C68" s="37" t="s">
        <v>6</v>
      </c>
      <c r="D68" s="37">
        <v>0</v>
      </c>
      <c r="E68" s="92">
        <v>900</v>
      </c>
    </row>
    <row r="69" spans="1:5">
      <c r="A69" s="21">
        <f t="shared" si="0"/>
        <v>68</v>
      </c>
      <c r="B69" s="85" t="str">
        <f ca="1">IFERROR(__xludf.DUMMYFUNCTION("GOOGLETRANSLATE(B3632:B3647,""RU"",""UK"")"),"Патрони цангові кон. КМ5 (10, 12, 14, 16, 18, 20мм (комп. 6шт))")</f>
        <v>Патрони цангові кон. КМ5 (10, 12, 14, 16, 18, 20мм (комп. 6шт))</v>
      </c>
      <c r="C69" s="37" t="s">
        <v>4370</v>
      </c>
      <c r="D69" s="37">
        <v>1</v>
      </c>
      <c r="E69" s="92" t="s">
        <v>73</v>
      </c>
    </row>
    <row r="70" spans="1:5">
      <c r="A70" s="21">
        <f t="shared" si="0"/>
        <v>69</v>
      </c>
      <c r="B70" s="85" t="str">
        <f ca="1">IFERROR(__xludf.DUMMYFUNCTION("GOOGLETRANSLATE(B3633:B3648,""RU"",""UK"")"),"Патрони цангові кон. КМ5 (4, 6, 9, 18, 20мм (комп. 5шт))")</f>
        <v>Патрони цангові кон. КМ5 (4, 6, 9, 18, 20мм (комп. 5шт))</v>
      </c>
      <c r="C70" s="37" t="s">
        <v>4370</v>
      </c>
      <c r="D70" s="37">
        <v>1</v>
      </c>
      <c r="E70" s="92" t="s">
        <v>38</v>
      </c>
    </row>
    <row r="71" spans="1:5">
      <c r="A71" s="21">
        <f t="shared" si="0"/>
        <v>70</v>
      </c>
      <c r="B71" s="85" t="str">
        <f ca="1">IFERROR(__xludf.DUMMYFUNCTION("GOOGLETRANSLATE(B3634:B3649,""RU"",""UK"")"),"Патрон цанговий М3/М4/М5/ІСО40")</f>
        <v>Патрон цанговий М3/М4/М5/ІСО40</v>
      </c>
      <c r="C71" s="59" t="s">
        <v>6</v>
      </c>
      <c r="D71" s="59">
        <v>15</v>
      </c>
      <c r="E71" s="91" t="s">
        <v>33</v>
      </c>
    </row>
    <row r="72" spans="1:5">
      <c r="A72" s="21">
        <f t="shared" si="0"/>
        <v>71</v>
      </c>
      <c r="B72" s="174" t="str">
        <f ca="1">IFERROR(__xludf.DUMMYFUNCTION("GOOGLETRANSLATE(B3636:B3651,""RU"",""UK"")"),"Патрон свердлильний ПС 1-6мм конус В10 радянський")</f>
        <v>Патрон свердлильний ПС 1-6мм конус В10 радянський</v>
      </c>
      <c r="C72" s="59" t="s">
        <v>6</v>
      </c>
      <c r="D72" s="59">
        <v>28</v>
      </c>
      <c r="E72" s="91">
        <v>222</v>
      </c>
    </row>
    <row r="73" spans="1:5">
      <c r="A73" s="21">
        <f t="shared" si="0"/>
        <v>72</v>
      </c>
      <c r="B73" s="174" t="str">
        <f ca="1">IFERROR(__xludf.DUMMYFUNCTION("GOOGLETRANSLATE(B3637:B3652,""RU"",""UK"")"),"Патрон свердлильний ПС 0,8-6мм самозатискний конус В12 СРСР")</f>
        <v>Патрон свердлильний ПС 0,8-6мм самозатискний конус В12 СРСР</v>
      </c>
      <c r="C73" s="59" t="s">
        <v>6</v>
      </c>
      <c r="D73" s="59">
        <v>17</v>
      </c>
      <c r="E73" s="91">
        <v>222</v>
      </c>
    </row>
    <row r="74" spans="1:5">
      <c r="A74" s="21">
        <f t="shared" si="0"/>
        <v>73</v>
      </c>
      <c r="B74" s="174" t="str">
        <f ca="1">IFERROR(__xludf.DUMMYFUNCTION("GOOGLETRANSLATE(B3639:B3654,""RU"",""UK"")"),"Патрон свердлильний ПС 1.5-10мм конус В12 СРСР ")</f>
        <v xml:space="preserve">Патрон свердлильний ПС 1.5-10мм конус В12 СРСР </v>
      </c>
      <c r="C74" s="59" t="s">
        <v>6</v>
      </c>
      <c r="D74" s="160">
        <v>2</v>
      </c>
      <c r="E74" s="91" t="s">
        <v>140</v>
      </c>
    </row>
    <row r="75" spans="1:5">
      <c r="A75" s="21">
        <f t="shared" si="0"/>
        <v>74</v>
      </c>
      <c r="B75" s="174" t="str">
        <f ca="1">IFERROR(__xludf.DUMMYFUNCTION("GOOGLETRANSLATE(B3639:B3654,""RU"",""UK"")"),"Патрон свердлильний ПС 2-10мм СРСР Конус В12")</f>
        <v>Патрон свердлильний ПС 2-10мм СРСР Конус В12</v>
      </c>
      <c r="C75" s="59" t="s">
        <v>6</v>
      </c>
      <c r="D75" s="160">
        <v>30</v>
      </c>
      <c r="E75" s="91">
        <v>300</v>
      </c>
    </row>
    <row r="76" spans="1:5">
      <c r="A76" s="21">
        <f t="shared" si="0"/>
        <v>75</v>
      </c>
      <c r="B76" s="174" t="str">
        <f ca="1">IFERROR(__xludf.DUMMYFUNCTION("GOOGLETRANSLATE(B3640:B3655,""RU"",""UK"")"),"Патрон свердлильний ПС 1-10мм самозатискний конус В16 СРСР")</f>
        <v>Патрон свердлильний ПС 1-10мм самозатискний конус В16 СРСР</v>
      </c>
      <c r="C76" s="59" t="s">
        <v>6</v>
      </c>
      <c r="D76" s="59">
        <v>4</v>
      </c>
      <c r="E76" s="91">
        <v>300</v>
      </c>
    </row>
    <row r="77" spans="1:5">
      <c r="A77" s="21">
        <f t="shared" si="0"/>
        <v>76</v>
      </c>
      <c r="B77" s="85" t="str">
        <f ca="1">IFERROR(__xludf.DUMMYFUNCTION("GOOGLETRANSLATE(B3643:B3658,""RU"",""UK"")"),"Патрон свердлильний 3 - 16мм В16")</f>
        <v>Патрон свердлильний 3 - 16мм В16</v>
      </c>
      <c r="C77" s="59" t="s">
        <v>6</v>
      </c>
      <c r="D77" s="59">
        <v>2</v>
      </c>
      <c r="E77" s="91" t="s">
        <v>4264</v>
      </c>
    </row>
    <row r="78" spans="1:5">
      <c r="A78" s="21">
        <f t="shared" ref="A78:A80" si="1">A77+1</f>
        <v>77</v>
      </c>
      <c r="B78" s="85" t="str">
        <f ca="1">IFERROR(__xludf.DUMMYFUNCTION("GOOGLETRANSLATE(B3643:B3658,""RU"",""UK"")"),"Патрон свердлильний 3 - 16мм В18")</f>
        <v>Патрон свердлильний 3 - 16мм В18</v>
      </c>
      <c r="C78" s="59" t="s">
        <v>6</v>
      </c>
      <c r="D78" s="59">
        <v>1</v>
      </c>
      <c r="E78" s="91" t="s">
        <v>4264</v>
      </c>
    </row>
    <row r="79" spans="1:5">
      <c r="A79" s="21">
        <f t="shared" si="1"/>
        <v>78</v>
      </c>
      <c r="B79" s="174" t="str">
        <f ca="1">IFERROR(__xludf.DUMMYFUNCTION("GOOGLETRANSLATE(B3643:B3658,""RU"",""UK"")"),"Патрон свердлильний 14мм конус В2 радянський")</f>
        <v>Патрон свердлильний 14мм конус В2 радянський</v>
      </c>
      <c r="C79" s="59" t="s">
        <v>6</v>
      </c>
      <c r="D79" s="59">
        <v>2</v>
      </c>
      <c r="E79" s="91">
        <v>600</v>
      </c>
    </row>
    <row r="80" spans="1:5">
      <c r="A80" s="21">
        <f t="shared" si="1"/>
        <v>79</v>
      </c>
      <c r="B80" s="85" t="str">
        <f ca="1">IFERROR(__xludf.DUMMYFUNCTION("GOOGLETRANSLATE(B3644:B3659,""RU"",""UK"")"),"Патрон швидкознімний КМ2/КМ3/КМ4")</f>
        <v>Патрон швидкознімний КМ2/КМ3/КМ4</v>
      </c>
      <c r="C80" s="59" t="s">
        <v>6</v>
      </c>
      <c r="D80" s="59" t="s">
        <v>4838</v>
      </c>
      <c r="E80" s="91" t="s">
        <v>20</v>
      </c>
    </row>
    <row r="81" spans="1:5">
      <c r="A81" s="21">
        <f t="shared" ref="A81:A82" si="2">A80+1</f>
        <v>80</v>
      </c>
      <c r="B81" s="221" t="s">
        <v>6266</v>
      </c>
      <c r="C81" s="59" t="s">
        <v>378</v>
      </c>
      <c r="D81" s="59">
        <v>2</v>
      </c>
      <c r="E81" s="91">
        <v>2100</v>
      </c>
    </row>
    <row r="82" spans="1:5">
      <c r="A82" s="21">
        <f t="shared" si="2"/>
        <v>81</v>
      </c>
      <c r="B82" s="85" t="str">
        <f ca="1">IFERROR(__xludf.DUMMYFUNCTION("GOOGLETRANSLATE(B3792:B3807,""RU"",""UK"")"),"Патрон різьбонарізний швидкознімний (цил. хв.36мм) для мітчиків М8-М16 (5шт)")</f>
        <v>Патрон різьбонарізний швидкознімний (цил. хв.36мм) для мітчиків М8-М16 (5шт)</v>
      </c>
      <c r="C82" s="59" t="s">
        <v>378</v>
      </c>
      <c r="D82" s="59">
        <v>1</v>
      </c>
      <c r="E82" s="91" t="s">
        <v>71</v>
      </c>
    </row>
  </sheetData>
  <pageMargins left="0.7" right="0.7" top="0.75" bottom="0.75" header="0.3" footer="0.3"/>
  <pageSetup paperSize="9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0"/>
  <sheetViews>
    <sheetView topLeftCell="A43" zoomScale="240" zoomScaleNormal="240" workbookViewId="0">
      <selection activeCell="D51" sqref="D51"/>
    </sheetView>
  </sheetViews>
  <sheetFormatPr defaultRowHeight="12.75"/>
  <cols>
    <col min="2" max="2" width="63.5703125" customWidth="1"/>
  </cols>
  <sheetData>
    <row r="1" spans="1:5">
      <c r="A1" s="27"/>
      <c r="B1" s="110" t="s">
        <v>6050</v>
      </c>
      <c r="C1" s="28"/>
      <c r="D1" s="28"/>
      <c r="E1" s="94"/>
    </row>
    <row r="2" spans="1:5">
      <c r="A2" s="21">
        <v>1</v>
      </c>
      <c r="B2" s="85" t="str">
        <f ca="1">IFERROR(__xludf.DUMMYFUNCTION("GOOGLETRANSLATE(B3646:B3661,""RU"",""UK"")"),"Плашка М - 1.0")</f>
        <v>Плашка М - 1.0</v>
      </c>
      <c r="C2" s="59" t="s">
        <v>6</v>
      </c>
      <c r="D2" s="59">
        <v>12</v>
      </c>
      <c r="E2" s="91" t="s">
        <v>4841</v>
      </c>
    </row>
    <row r="3" spans="1:5">
      <c r="A3" s="21">
        <v>2</v>
      </c>
      <c r="B3" s="85" t="str">
        <f ca="1">IFERROR(__xludf.DUMMYFUNCTION("GOOGLETRANSLATE(B3646:B3661,""RU"",""UK"")"),"Плашка М - 1.4")</f>
        <v>Плашка М - 1.4</v>
      </c>
      <c r="C3" s="59" t="s">
        <v>6</v>
      </c>
      <c r="D3" s="59">
        <v>5</v>
      </c>
      <c r="E3" s="91" t="s">
        <v>4841</v>
      </c>
    </row>
    <row r="4" spans="1:5">
      <c r="A4" s="21">
        <v>3</v>
      </c>
      <c r="B4" s="85" t="str">
        <f ca="1">IFERROR(__xludf.DUMMYFUNCTION("GOOGLETRANSLATE(B3647:B3662,""RU"",""UK"")"),"Плашка М - 1.6")</f>
        <v>Плашка М - 1.6</v>
      </c>
      <c r="C4" s="59" t="s">
        <v>6</v>
      </c>
      <c r="D4" s="59">
        <v>19</v>
      </c>
      <c r="E4" s="91" t="s">
        <v>4841</v>
      </c>
    </row>
    <row r="5" spans="1:5">
      <c r="A5" s="21">
        <v>4</v>
      </c>
      <c r="B5" s="85" t="str">
        <f ca="1">IFERROR(__xludf.DUMMYFUNCTION("GOOGLETRANSLATE(B3647:B3662,""RU"",""UK"")"),"Плашка М - 1.8")</f>
        <v>Плашка М - 1.8</v>
      </c>
      <c r="C5" s="59" t="s">
        <v>6</v>
      </c>
      <c r="D5" s="59">
        <v>10</v>
      </c>
      <c r="E5" s="91" t="s">
        <v>4841</v>
      </c>
    </row>
    <row r="6" spans="1:5">
      <c r="A6" s="21">
        <v>5</v>
      </c>
      <c r="B6" s="85" t="str">
        <f ca="1">IFERROR(__xludf.DUMMYFUNCTION("GOOGLETRANSLATE(B3648:B3663,""RU"",""UK"")"),"Плашка М - 2.0")</f>
        <v>Плашка М - 2.0</v>
      </c>
      <c r="C6" s="59" t="s">
        <v>6</v>
      </c>
      <c r="D6" s="59">
        <v>3</v>
      </c>
      <c r="E6" s="91" t="s">
        <v>4841</v>
      </c>
    </row>
    <row r="7" spans="1:5">
      <c r="A7" s="21">
        <v>6</v>
      </c>
      <c r="B7" s="85" t="str">
        <f ca="1">IFERROR(__xludf.DUMMYFUNCTION("GOOGLETRANSLATE(B3648:B3663,""RU"",""UK"")"),"Плашка М - 2х0,25")</f>
        <v>Плашка М - 2х0,25</v>
      </c>
      <c r="C7" s="59" t="s">
        <v>6</v>
      </c>
      <c r="D7" s="59">
        <v>5</v>
      </c>
      <c r="E7" s="91" t="s">
        <v>4841</v>
      </c>
    </row>
    <row r="8" spans="1:5">
      <c r="A8" s="21">
        <v>7</v>
      </c>
      <c r="B8" s="85" t="str">
        <f ca="1">IFERROR(__xludf.DUMMYFUNCTION("GOOGLETRANSLATE(B3648:B3663,""RU"",""UK"")"),"Плашка М - 2.2")</f>
        <v>Плашка М - 2.2</v>
      </c>
      <c r="C8" s="59" t="s">
        <v>6</v>
      </c>
      <c r="D8" s="59">
        <v>8</v>
      </c>
      <c r="E8" s="91" t="s">
        <v>4841</v>
      </c>
    </row>
    <row r="9" spans="1:5">
      <c r="A9" s="21">
        <v>8</v>
      </c>
      <c r="B9" s="85" t="str">
        <f ca="1">IFERROR(__xludf.DUMMYFUNCTION("GOOGLETRANSLATE(B3648:B3663,""RU"",""UK"")"),"Плашка М - 2.5")</f>
        <v>Плашка М - 2.5</v>
      </c>
      <c r="C9" s="59" t="s">
        <v>6</v>
      </c>
      <c r="D9" s="59">
        <v>9</v>
      </c>
      <c r="E9" s="91" t="s">
        <v>4841</v>
      </c>
    </row>
    <row r="10" spans="1:5">
      <c r="A10" s="21">
        <v>9</v>
      </c>
      <c r="B10" s="85" t="str">
        <f ca="1">IFERROR(__xludf.DUMMYFUNCTION("GOOGLETRANSLATE(B3649:B3664,""RU"",""UK"")"),"Плашка М - 3.0 ")</f>
        <v xml:space="preserve">Плашка М - 3.0 </v>
      </c>
      <c r="C10" s="59" t="s">
        <v>6</v>
      </c>
      <c r="D10" s="59">
        <v>712</v>
      </c>
      <c r="E10" s="91" t="s">
        <v>4841</v>
      </c>
    </row>
    <row r="11" spans="1:5">
      <c r="A11" s="21">
        <f>A10+1</f>
        <v>10</v>
      </c>
      <c r="B11" s="85" t="str">
        <f ca="1">IFERROR(__xludf.DUMMYFUNCTION("GOOGLETRANSLATE(B3649:B3664,""RU"",""UK"")"),"Плашка М - 3.0 лів")</f>
        <v>Плашка М - 3.0 лів</v>
      </c>
      <c r="C11" s="59" t="s">
        <v>6</v>
      </c>
      <c r="D11" s="59">
        <v>6</v>
      </c>
      <c r="E11" s="91">
        <v>45</v>
      </c>
    </row>
    <row r="12" spans="1:5">
      <c r="A12" s="21">
        <f t="shared" ref="A12:A13" si="0">A11+1</f>
        <v>11</v>
      </c>
      <c r="B12" s="85" t="str">
        <f ca="1">IFERROR(__xludf.DUMMYFUNCTION("GOOGLETRANSLATE(B3649:B3664,""RU"",""UK"")"),"Плашка М - 3х0,35")</f>
        <v>Плашка М - 3х0,35</v>
      </c>
      <c r="C12" s="59" t="s">
        <v>6</v>
      </c>
      <c r="D12" s="59">
        <v>4</v>
      </c>
      <c r="E12" s="91" t="s">
        <v>4841</v>
      </c>
    </row>
    <row r="13" spans="1:5">
      <c r="A13" s="21">
        <f t="shared" si="0"/>
        <v>12</v>
      </c>
      <c r="B13" s="85" t="str">
        <f ca="1">IFERROR(__xludf.DUMMYFUNCTION("GOOGLETRANSLATE(B3650:B3665,""RU"",""UK"")"),"Плашка М - 3,5")</f>
        <v>Плашка М - 3,5</v>
      </c>
      <c r="C13" s="59" t="s">
        <v>6</v>
      </c>
      <c r="D13" s="59">
        <v>178</v>
      </c>
      <c r="E13" s="91" t="s">
        <v>248</v>
      </c>
    </row>
    <row r="14" spans="1:5">
      <c r="A14" s="21">
        <f t="shared" ref="A14:A131" si="1">A13+1</f>
        <v>13</v>
      </c>
      <c r="B14" s="85" t="str">
        <f ca="1">IFERROR(__xludf.DUMMYFUNCTION("GOOGLETRANSLATE(B3651:B3666,""RU"",""UK"")"),"Плашка М - 4")</f>
        <v>Плашка М - 4</v>
      </c>
      <c r="C14" s="59" t="s">
        <v>6</v>
      </c>
      <c r="D14" s="59">
        <v>225</v>
      </c>
      <c r="E14" s="91" t="s">
        <v>169</v>
      </c>
    </row>
    <row r="15" spans="1:5">
      <c r="A15" s="21">
        <f t="shared" si="1"/>
        <v>14</v>
      </c>
      <c r="B15" s="85" t="str">
        <f ca="1">IFERROR(__xludf.DUMMYFUNCTION("GOOGLETRANSLATE(B3651:B3666,""RU"",""UK"")"),"Плашка М - 4,5")</f>
        <v>Плашка М - 4,5</v>
      </c>
      <c r="C15" s="59" t="s">
        <v>6</v>
      </c>
      <c r="D15" s="59">
        <v>5</v>
      </c>
      <c r="E15" s="91" t="s">
        <v>169</v>
      </c>
    </row>
    <row r="16" spans="1:5">
      <c r="A16" s="21">
        <f t="shared" si="1"/>
        <v>15</v>
      </c>
      <c r="B16" s="85" t="str">
        <f ca="1">IFERROR(__xludf.DUMMYFUNCTION("GOOGLETRANSLATE(B3652:B3667,""RU"",""UK"")"),"Плашка М - 4лів")</f>
        <v>Плашка М - 4лів</v>
      </c>
      <c r="C16" s="59" t="s">
        <v>6</v>
      </c>
      <c r="D16" s="59">
        <v>18</v>
      </c>
      <c r="E16" s="91">
        <v>52</v>
      </c>
    </row>
    <row r="17" spans="1:5">
      <c r="A17" s="21">
        <f t="shared" si="1"/>
        <v>16</v>
      </c>
      <c r="B17" s="85" t="str">
        <f ca="1">IFERROR(__xludf.DUMMYFUNCTION("GOOGLETRANSLATE(B3653:B3668,""RU"",""UK"")"),"Плашка М - 5")</f>
        <v>Плашка М - 5</v>
      </c>
      <c r="C17" s="59" t="s">
        <v>6</v>
      </c>
      <c r="D17" s="59">
        <v>54</v>
      </c>
      <c r="E17" s="91">
        <v>51</v>
      </c>
    </row>
    <row r="18" spans="1:5">
      <c r="A18" s="21">
        <f t="shared" si="1"/>
        <v>17</v>
      </c>
      <c r="B18" s="85" t="str">
        <f ca="1">IFERROR(__xludf.DUMMYFUNCTION("GOOGLETRANSLATE(B3653:B3668,""RU"",""UK"")"),"Плашка М - 5х0,5")</f>
        <v>Плашка М - 5х0,5</v>
      </c>
      <c r="C18" s="59" t="s">
        <v>6</v>
      </c>
      <c r="D18" s="59">
        <v>4</v>
      </c>
      <c r="E18" s="91">
        <v>51</v>
      </c>
    </row>
    <row r="19" spans="1:5">
      <c r="A19" s="21">
        <f t="shared" si="1"/>
        <v>18</v>
      </c>
      <c r="B19" s="85" t="str">
        <f ca="1">IFERROR(__xludf.DUMMYFUNCTION("GOOGLETRANSLATE(B3654:B3669,""RU"",""UK"")"),"Плашка М - 5лів")</f>
        <v>Плашка М - 5лів</v>
      </c>
      <c r="C19" s="59" t="s">
        <v>6</v>
      </c>
      <c r="D19" s="59">
        <v>3</v>
      </c>
      <c r="E19" s="91" t="s">
        <v>255</v>
      </c>
    </row>
    <row r="20" spans="1:5">
      <c r="A20" s="21">
        <f t="shared" si="1"/>
        <v>19</v>
      </c>
      <c r="B20" s="85" t="str">
        <f ca="1">IFERROR(__xludf.DUMMYFUNCTION("GOOGLETRANSLATE(B3655:B3670,""RU"",""UK"")"),"Плашка М - 6")</f>
        <v>Плашка М - 6</v>
      </c>
      <c r="C20" s="59" t="s">
        <v>6</v>
      </c>
      <c r="D20" s="59">
        <v>112</v>
      </c>
      <c r="E20" s="91">
        <v>72</v>
      </c>
    </row>
    <row r="21" spans="1:5">
      <c r="A21" s="21">
        <f t="shared" si="1"/>
        <v>20</v>
      </c>
      <c r="B21" s="85" t="str">
        <f ca="1">IFERROR(__xludf.DUMMYFUNCTION("GOOGLETRANSLATE(B3655:B3670,""RU"",""UK"")"),"Плашка М - 6х0.5")</f>
        <v>Плашка М - 6х0.5</v>
      </c>
      <c r="C21" s="59" t="s">
        <v>6</v>
      </c>
      <c r="D21" s="160">
        <v>4</v>
      </c>
      <c r="E21" s="91">
        <v>72</v>
      </c>
    </row>
    <row r="22" spans="1:5">
      <c r="A22" s="21">
        <f t="shared" si="1"/>
        <v>21</v>
      </c>
      <c r="B22" s="85" t="str">
        <f ca="1">IFERROR(__xludf.DUMMYFUNCTION("GOOGLETRANSLATE(B3655:B3670,""RU"",""UK"")"),"Плашка М - 6х0,75")</f>
        <v>Плашка М - 6х0,75</v>
      </c>
      <c r="C22" s="59" t="s">
        <v>6</v>
      </c>
      <c r="D22" s="160">
        <v>46</v>
      </c>
      <c r="E22" s="91">
        <v>72</v>
      </c>
    </row>
    <row r="23" spans="1:5">
      <c r="A23" s="21">
        <f t="shared" si="1"/>
        <v>22</v>
      </c>
      <c r="B23" s="85" t="str">
        <f ca="1">IFERROR(__xludf.DUMMYFUNCTION("GOOGLETRANSLATE(B3656:B3671,""RU"",""UK"")"),"Плашка М - 6 лів")</f>
        <v>Плашка М - 6 лів</v>
      </c>
      <c r="C23" s="59" t="s">
        <v>6</v>
      </c>
      <c r="D23" s="59">
        <v>1</v>
      </c>
      <c r="E23" s="91">
        <v>75</v>
      </c>
    </row>
    <row r="24" spans="1:5">
      <c r="A24" s="21">
        <f t="shared" si="1"/>
        <v>23</v>
      </c>
      <c r="B24" s="85" t="str">
        <f ca="1">IFERROR(__xludf.DUMMYFUNCTION("GOOGLETRANSLATE(B3657:B3672,""RU"",""UK"")"),"Плашка М - 7")</f>
        <v>Плашка М - 7</v>
      </c>
      <c r="C24" s="59" t="s">
        <v>6</v>
      </c>
      <c r="D24" s="59">
        <v>7</v>
      </c>
      <c r="E24" s="91">
        <v>75</v>
      </c>
    </row>
    <row r="25" spans="1:5">
      <c r="A25" s="21">
        <f t="shared" si="1"/>
        <v>24</v>
      </c>
      <c r="B25" s="85" t="str">
        <f ca="1">IFERROR(__xludf.DUMMYFUNCTION("GOOGLETRANSLATE(B3657:B3672,""RU"",""UK"")"),"Плашка М - 7х0,5")</f>
        <v>Плашка М - 7х0,5</v>
      </c>
      <c r="C25" s="59" t="s">
        <v>6</v>
      </c>
      <c r="D25" s="59">
        <v>17</v>
      </c>
      <c r="E25" s="91">
        <v>75</v>
      </c>
    </row>
    <row r="26" spans="1:5">
      <c r="A26" s="21">
        <f t="shared" si="1"/>
        <v>25</v>
      </c>
      <c r="B26" s="85" t="str">
        <f ca="1">IFERROR(__xludf.DUMMYFUNCTION("GOOGLETRANSLATE(B3657:B3672,""RU"",""UK"")"),"Плашка М - 7х0,75")</f>
        <v>Плашка М - 7х0,75</v>
      </c>
      <c r="C26" s="59" t="s">
        <v>6</v>
      </c>
      <c r="D26" s="59">
        <v>42</v>
      </c>
      <c r="E26" s="91">
        <v>75</v>
      </c>
    </row>
    <row r="27" spans="1:5">
      <c r="A27" s="21">
        <f t="shared" si="1"/>
        <v>26</v>
      </c>
      <c r="B27" s="85" t="str">
        <f ca="1">IFERROR(__xludf.DUMMYFUNCTION("GOOGLETRANSLATE(B3658:B3673,""RU"",""UK"")"),"Плашка М - 8")</f>
        <v>Плашка М - 8</v>
      </c>
      <c r="C27" s="59" t="s">
        <v>6</v>
      </c>
      <c r="D27" s="59">
        <v>91</v>
      </c>
      <c r="E27" s="91">
        <v>84</v>
      </c>
    </row>
    <row r="28" spans="1:5">
      <c r="A28" s="21">
        <f t="shared" si="1"/>
        <v>27</v>
      </c>
      <c r="B28" s="85" t="str">
        <f ca="1">IFERROR(__xludf.DUMMYFUNCTION("GOOGLETRANSLATE(B3658:B3673,""RU"",""UK"")"),"Плашка М - 8х0.5")</f>
        <v>Плашка М - 8х0.5</v>
      </c>
      <c r="C28" s="59" t="s">
        <v>6</v>
      </c>
      <c r="D28" s="59">
        <v>87</v>
      </c>
      <c r="E28" s="91">
        <v>84</v>
      </c>
    </row>
    <row r="29" spans="1:5">
      <c r="A29" s="21">
        <f t="shared" si="1"/>
        <v>28</v>
      </c>
      <c r="B29" s="85" t="str">
        <f ca="1">IFERROR(__xludf.DUMMYFUNCTION("GOOGLETRANSLATE(B3659:B3674,""RU"",""UK"")"),"Плашка М - 8х0,75")</f>
        <v>Плашка М - 8х0,75</v>
      </c>
      <c r="C29" s="59" t="s">
        <v>6</v>
      </c>
      <c r="D29" s="59">
        <v>87</v>
      </c>
      <c r="E29" s="91">
        <v>84</v>
      </c>
    </row>
    <row r="30" spans="1:5">
      <c r="A30" s="21">
        <f t="shared" si="1"/>
        <v>29</v>
      </c>
      <c r="B30" s="85" t="str">
        <f ca="1">IFERROR(__xludf.DUMMYFUNCTION("GOOGLETRANSLATE(B3659:B3674,""RU"",""UK"")"),"Плашка М - 8х1")</f>
        <v>Плашка М - 8х1</v>
      </c>
      <c r="C30" s="59" t="s">
        <v>6</v>
      </c>
      <c r="D30" s="59">
        <v>313</v>
      </c>
      <c r="E30" s="91">
        <v>84</v>
      </c>
    </row>
    <row r="31" spans="1:5">
      <c r="A31" s="21">
        <f t="shared" si="1"/>
        <v>30</v>
      </c>
      <c r="B31" s="85" t="str">
        <f ca="1">IFERROR(__xludf.DUMMYFUNCTION("GOOGLETRANSLATE(B3660:B3675,""RU"",""UK"")"),"Плашка М - 8лів.")</f>
        <v>Плашка М - 8лів.</v>
      </c>
      <c r="C31" s="59" t="s">
        <v>6</v>
      </c>
      <c r="D31" s="59">
        <v>16</v>
      </c>
      <c r="E31" s="91" t="s">
        <v>338</v>
      </c>
    </row>
    <row r="32" spans="1:5">
      <c r="A32" s="21">
        <f t="shared" si="1"/>
        <v>31</v>
      </c>
      <c r="B32" s="85" t="str">
        <f ca="1">IFERROR(__xludf.DUMMYFUNCTION("GOOGLETRANSLATE(B3660:B3675,""RU"",""UK"")"),"Плашка М - 8х1лів")</f>
        <v>Плашка М - 8х1лів</v>
      </c>
      <c r="C32" s="59" t="s">
        <v>6</v>
      </c>
      <c r="D32" s="59">
        <v>30</v>
      </c>
      <c r="E32" s="91" t="s">
        <v>338</v>
      </c>
    </row>
    <row r="33" spans="1:5">
      <c r="A33" s="21">
        <f t="shared" si="1"/>
        <v>32</v>
      </c>
      <c r="B33" s="85" t="str">
        <f ca="1">IFERROR(__xludf.DUMMYFUNCTION("GOOGLETRANSLATE(B3661:B3676,""RU"",""UK"")"),"Плашка М - 9")</f>
        <v>Плашка М - 9</v>
      </c>
      <c r="C33" s="59" t="s">
        <v>6</v>
      </c>
      <c r="D33" s="59">
        <v>46</v>
      </c>
      <c r="E33" s="91" t="s">
        <v>185</v>
      </c>
    </row>
    <row r="34" spans="1:5">
      <c r="A34" s="21">
        <f t="shared" si="1"/>
        <v>33</v>
      </c>
      <c r="B34" s="85" t="str">
        <f ca="1">IFERROR(__xludf.DUMMYFUNCTION("GOOGLETRANSLATE(B3661:B3676,""RU"",""UK"")"),"Плашка М - 9х0,5")</f>
        <v>Плашка М - 9х0,5</v>
      </c>
      <c r="C34" s="59" t="s">
        <v>6</v>
      </c>
      <c r="D34" s="59">
        <v>4</v>
      </c>
      <c r="E34" s="91" t="s">
        <v>185</v>
      </c>
    </row>
    <row r="35" spans="1:5">
      <c r="A35" s="21">
        <f t="shared" si="1"/>
        <v>34</v>
      </c>
      <c r="B35" s="85" t="str">
        <f ca="1">IFERROR(__xludf.DUMMYFUNCTION("GOOGLETRANSLATE(B3661:B3676,""RU"",""UK"")"),"Плашка М - 9х1")</f>
        <v>Плашка М - 9х1</v>
      </c>
      <c r="C35" s="59" t="s">
        <v>6</v>
      </c>
      <c r="D35" s="59">
        <v>6</v>
      </c>
      <c r="E35" s="91" t="s">
        <v>185</v>
      </c>
    </row>
    <row r="36" spans="1:5">
      <c r="A36" s="21">
        <f t="shared" si="1"/>
        <v>35</v>
      </c>
      <c r="B36" s="85" t="str">
        <f ca="1">IFERROR(__xludf.DUMMYFUNCTION("GOOGLETRANSLATE(B3662:B3677,""RU"",""UK"")"),"Плашка М - 10")</f>
        <v>Плашка М - 10</v>
      </c>
      <c r="C36" s="59" t="s">
        <v>6</v>
      </c>
      <c r="D36" s="59">
        <v>8</v>
      </c>
      <c r="E36" s="91">
        <v>120</v>
      </c>
    </row>
    <row r="37" spans="1:5">
      <c r="A37" s="21">
        <f t="shared" si="1"/>
        <v>36</v>
      </c>
      <c r="B37" s="85" t="str">
        <f ca="1">IFERROR(__xludf.DUMMYFUNCTION("GOOGLETRANSLATE(B3663:B3678,""RU"",""UK"")"),"Плашка М - 10х0,5")</f>
        <v>Плашка М - 10х0,5</v>
      </c>
      <c r="C37" s="59" t="s">
        <v>6</v>
      </c>
      <c r="D37" s="59">
        <v>54</v>
      </c>
      <c r="E37" s="91">
        <v>120</v>
      </c>
    </row>
    <row r="38" spans="1:5">
      <c r="A38" s="21">
        <f t="shared" si="1"/>
        <v>37</v>
      </c>
      <c r="B38" s="85" t="str">
        <f ca="1">IFERROR(__xludf.DUMMYFUNCTION("GOOGLETRANSLATE(B3663:B3678,""RU"",""UK"")"),"Плашка М - 10х0,75")</f>
        <v>Плашка М - 10х0,75</v>
      </c>
      <c r="C38" s="59" t="s">
        <v>6</v>
      </c>
      <c r="D38" s="59">
        <v>123</v>
      </c>
      <c r="E38" s="91">
        <v>120</v>
      </c>
    </row>
    <row r="39" spans="1:5">
      <c r="A39" s="21">
        <f t="shared" si="1"/>
        <v>38</v>
      </c>
      <c r="B39" s="85" t="str">
        <f ca="1">IFERROR(__xludf.DUMMYFUNCTION("GOOGLETRANSLATE(B3664:B3679,""RU"",""UK"")"),"Плашка М - 10х1")</f>
        <v>Плашка М - 10х1</v>
      </c>
      <c r="C39" s="59" t="s">
        <v>6</v>
      </c>
      <c r="D39" s="59">
        <v>21</v>
      </c>
      <c r="E39" s="91">
        <v>120</v>
      </c>
    </row>
    <row r="40" spans="1:5">
      <c r="A40" s="21">
        <f t="shared" si="1"/>
        <v>39</v>
      </c>
      <c r="B40" s="85" t="str">
        <f ca="1">IFERROR(__xludf.DUMMYFUNCTION("GOOGLETRANSLATE(B3664:B3679,""RU"",""UK"")"),"Плашка М - 10х1,25")</f>
        <v>Плашка М - 10х1,25</v>
      </c>
      <c r="C40" s="59" t="s">
        <v>6</v>
      </c>
      <c r="D40" s="59">
        <v>15</v>
      </c>
      <c r="E40" s="91">
        <v>120</v>
      </c>
    </row>
    <row r="41" spans="1:5">
      <c r="A41" s="21">
        <f t="shared" si="1"/>
        <v>40</v>
      </c>
      <c r="B41" s="85" t="str">
        <f ca="1">IFERROR(__xludf.DUMMYFUNCTION("GOOGLETRANSLATE(B3665:B3680,""RU"",""UK"")"),"Плашка М - 10лів.")</f>
        <v>Плашка М - 10лів.</v>
      </c>
      <c r="C41" s="59" t="s">
        <v>6</v>
      </c>
      <c r="D41" s="59">
        <v>3</v>
      </c>
      <c r="E41" s="91">
        <v>135</v>
      </c>
    </row>
    <row r="42" spans="1:5">
      <c r="A42" s="21">
        <f t="shared" si="1"/>
        <v>41</v>
      </c>
      <c r="B42" s="85" t="str">
        <f ca="1">IFERROR(__xludf.DUMMYFUNCTION("GOOGLETRANSLATE(B3665:B3680,""RU"",""UK"")"),"Плашка М - 10х1лів.")</f>
        <v>Плашка М - 10х1лів.</v>
      </c>
      <c r="C42" s="59" t="s">
        <v>6</v>
      </c>
      <c r="D42" s="59">
        <v>3</v>
      </c>
      <c r="E42" s="91">
        <v>135</v>
      </c>
    </row>
    <row r="43" spans="1:5">
      <c r="A43" s="21">
        <f t="shared" si="1"/>
        <v>42</v>
      </c>
      <c r="B43" s="85" t="str">
        <f ca="1">IFERROR(__xludf.DUMMYFUNCTION("GOOGLETRANSLATE(B3665:B3680,""RU"",""UK"")"),"Плашка М - 10х1,25лів.")</f>
        <v>Плашка М - 10х1,25лів.</v>
      </c>
      <c r="C43" s="59" t="s">
        <v>6</v>
      </c>
      <c r="D43" s="59">
        <v>18</v>
      </c>
      <c r="E43" s="91">
        <v>135</v>
      </c>
    </row>
    <row r="44" spans="1:5">
      <c r="A44" s="21">
        <f t="shared" si="1"/>
        <v>43</v>
      </c>
      <c r="B44" s="85" t="str">
        <f ca="1">IFERROR(__xludf.DUMMYFUNCTION("GOOGLETRANSLATE(B3666:B3681,""RU"",""UK"")"),"Плашка М - 11")</f>
        <v>Плашка М - 11</v>
      </c>
      <c r="C44" s="59" t="s">
        <v>6</v>
      </c>
      <c r="D44" s="59">
        <v>50</v>
      </c>
      <c r="E44" s="91">
        <v>126</v>
      </c>
    </row>
    <row r="45" spans="1:5">
      <c r="A45" s="21">
        <f t="shared" si="1"/>
        <v>44</v>
      </c>
      <c r="B45" s="85" t="str">
        <f ca="1">IFERROR(__xludf.DUMMYFUNCTION("GOOGLETRANSLATE(B3666:B3681,""RU"",""UK"")"),"Плашка М - 11х0,75")</f>
        <v>Плашка М - 11х0,75</v>
      </c>
      <c r="C45" s="59" t="s">
        <v>6</v>
      </c>
      <c r="D45" s="59">
        <v>15</v>
      </c>
      <c r="E45" s="91">
        <v>126</v>
      </c>
    </row>
    <row r="46" spans="1:5">
      <c r="A46" s="21">
        <f t="shared" si="1"/>
        <v>45</v>
      </c>
      <c r="B46" s="85" t="str">
        <f ca="1">IFERROR(__xludf.DUMMYFUNCTION("GOOGLETRANSLATE(B3666:B3681,""RU"",""UK"")"),"Плашка М - 11х1")</f>
        <v>Плашка М - 11х1</v>
      </c>
      <c r="C46" s="59" t="s">
        <v>6</v>
      </c>
      <c r="D46" s="59">
        <v>26</v>
      </c>
      <c r="E46" s="91">
        <v>126</v>
      </c>
    </row>
    <row r="47" spans="1:5">
      <c r="A47" s="21">
        <f t="shared" si="1"/>
        <v>46</v>
      </c>
      <c r="B47" s="169" t="str">
        <f ca="1">IFERROR(__xludf.DUMMYFUNCTION("GOOGLETRANSLATE(B3667:B3682,""RU"",""UK"")"),"Плашка М - 12")</f>
        <v>Плашка М - 12</v>
      </c>
      <c r="C47" s="59" t="s">
        <v>6</v>
      </c>
      <c r="D47" s="59">
        <v>13</v>
      </c>
      <c r="E47" s="91">
        <v>142</v>
      </c>
    </row>
    <row r="48" spans="1:5">
      <c r="A48" s="21">
        <f t="shared" si="1"/>
        <v>47</v>
      </c>
      <c r="B48" s="85" t="str">
        <f ca="1">IFERROR(__xludf.DUMMYFUNCTION("GOOGLETRANSLATE(B3667:B3682,""RU"",""UK"")"),"Плашка М - 12х0,5")</f>
        <v>Плашка М - 12х0,5</v>
      </c>
      <c r="C48" s="59" t="s">
        <v>6</v>
      </c>
      <c r="D48" s="59">
        <v>43</v>
      </c>
      <c r="E48" s="91">
        <v>142</v>
      </c>
    </row>
    <row r="49" spans="1:5">
      <c r="A49" s="21">
        <f t="shared" si="1"/>
        <v>48</v>
      </c>
      <c r="B49" s="85" t="str">
        <f ca="1">IFERROR(__xludf.DUMMYFUNCTION("GOOGLETRANSLATE(B3668:B3683,""RU"",""UK"")"),"Плашка М - 12х0,75")</f>
        <v>Плашка М - 12х0,75</v>
      </c>
      <c r="C49" s="59" t="s">
        <v>6</v>
      </c>
      <c r="D49" s="59">
        <v>62</v>
      </c>
      <c r="E49" s="91">
        <v>142</v>
      </c>
    </row>
    <row r="50" spans="1:5">
      <c r="A50" s="21">
        <f t="shared" si="1"/>
        <v>49</v>
      </c>
      <c r="B50" s="85" t="str">
        <f ca="1">IFERROR(__xludf.DUMMYFUNCTION("GOOGLETRANSLATE(B3668:B3683,""RU"",""UK"")"),"Плашка М - 12х1")</f>
        <v>Плашка М - 12х1</v>
      </c>
      <c r="C50" s="59" t="s">
        <v>6</v>
      </c>
      <c r="D50" s="59">
        <v>41</v>
      </c>
      <c r="E50" s="91">
        <v>142</v>
      </c>
    </row>
    <row r="51" spans="1:5">
      <c r="A51" s="21">
        <f t="shared" si="1"/>
        <v>50</v>
      </c>
      <c r="B51" s="85" t="str">
        <f ca="1">IFERROR(__xludf.DUMMYFUNCTION("GOOGLETRANSLATE(B3669:B3684,""RU"",""UK"")"),"Плашка М - 12х1,25")</f>
        <v>Плашка М - 12х1,25</v>
      </c>
      <c r="C51" s="59" t="s">
        <v>6</v>
      </c>
      <c r="D51" s="59">
        <v>57</v>
      </c>
      <c r="E51" s="91">
        <v>142</v>
      </c>
    </row>
    <row r="52" spans="1:5">
      <c r="A52" s="21">
        <f t="shared" si="1"/>
        <v>51</v>
      </c>
      <c r="B52" s="85" t="str">
        <f ca="1">IFERROR(__xludf.DUMMYFUNCTION("GOOGLETRANSLATE(B3669:B3684,""RU"",""UK"")"),"Плашка М - 12х1,5")</f>
        <v>Плашка М - 12х1,5</v>
      </c>
      <c r="C52" s="59" t="s">
        <v>6</v>
      </c>
      <c r="D52" s="59">
        <v>165</v>
      </c>
      <c r="E52" s="91">
        <v>142</v>
      </c>
    </row>
    <row r="53" spans="1:5">
      <c r="A53" s="21">
        <f t="shared" si="1"/>
        <v>52</v>
      </c>
      <c r="B53" s="85" t="str">
        <f ca="1">IFERROR(__xludf.DUMMYFUNCTION("GOOGLETRANSLATE(B3670:B3685,""RU"",""UK"")"),"Плашка М - 12лів")</f>
        <v>Плашка М - 12лів</v>
      </c>
      <c r="C53" s="59" t="s">
        <v>6</v>
      </c>
      <c r="D53" s="59">
        <v>4</v>
      </c>
      <c r="E53" s="91" t="s">
        <v>319</v>
      </c>
    </row>
    <row r="54" spans="1:5">
      <c r="A54" s="21">
        <f t="shared" si="1"/>
        <v>53</v>
      </c>
      <c r="B54" s="85" t="str">
        <f ca="1">IFERROR(__xludf.DUMMYFUNCTION("GOOGLETRANSLATE(B3670:B3685,""RU"",""UK"")"),"Плашка М - 12х1.25лів")</f>
        <v>Плашка М - 12х1.25лів</v>
      </c>
      <c r="C54" s="59" t="s">
        <v>6</v>
      </c>
      <c r="D54" s="59">
        <v>40</v>
      </c>
      <c r="E54" s="91" t="s">
        <v>319</v>
      </c>
    </row>
    <row r="55" spans="1:5">
      <c r="A55" s="21">
        <f t="shared" si="1"/>
        <v>54</v>
      </c>
      <c r="B55" s="85" t="str">
        <f ca="1">IFERROR(__xludf.DUMMYFUNCTION("GOOGLETRANSLATE(B3671:B3686,""RU"",""UK"")"),"Плашка М - 14")</f>
        <v>Плашка М - 14</v>
      </c>
      <c r="C55" s="59" t="s">
        <v>6</v>
      </c>
      <c r="D55" s="59">
        <v>237</v>
      </c>
      <c r="E55" s="91" t="s">
        <v>1570</v>
      </c>
    </row>
    <row r="56" spans="1:5">
      <c r="A56" s="21">
        <f t="shared" si="1"/>
        <v>55</v>
      </c>
      <c r="B56" s="85" t="str">
        <f ca="1">IFERROR(__xludf.DUMMYFUNCTION("GOOGLETRANSLATE(B3673:B3688,""RU"",""UK"")"),"Плашка М - 14х0.5")</f>
        <v>Плашка М - 14х0.5</v>
      </c>
      <c r="C56" s="59" t="s">
        <v>6</v>
      </c>
      <c r="D56" s="59">
        <v>8</v>
      </c>
      <c r="E56" s="91" t="s">
        <v>119</v>
      </c>
    </row>
    <row r="57" spans="1:5">
      <c r="A57" s="21">
        <f t="shared" si="1"/>
        <v>56</v>
      </c>
      <c r="B57" s="85" t="str">
        <f ca="1">IFERROR(__xludf.DUMMYFUNCTION("GOOGLETRANSLATE(B3673:B3688,""RU"",""UK"")"),"Плашка М - 14х0,75")</f>
        <v>Плашка М - 14х0,75</v>
      </c>
      <c r="C57" s="59" t="s">
        <v>6</v>
      </c>
      <c r="D57" s="59">
        <v>30</v>
      </c>
      <c r="E57" s="91" t="s">
        <v>119</v>
      </c>
    </row>
    <row r="58" spans="1:5">
      <c r="A58" s="21">
        <f t="shared" si="1"/>
        <v>57</v>
      </c>
      <c r="B58" s="85" t="str">
        <f ca="1">IFERROR(__xludf.DUMMYFUNCTION("GOOGLETRANSLATE(B3674:B3689,""RU"",""UK"")"),"Плашка М - 14х1")</f>
        <v>Плашка М - 14х1</v>
      </c>
      <c r="C58" s="59" t="s">
        <v>6</v>
      </c>
      <c r="D58" s="59">
        <v>104</v>
      </c>
      <c r="E58" s="91" t="s">
        <v>119</v>
      </c>
    </row>
    <row r="59" spans="1:5">
      <c r="A59" s="21">
        <f t="shared" si="1"/>
        <v>58</v>
      </c>
      <c r="B59" s="85" t="str">
        <f ca="1">IFERROR(__xludf.DUMMYFUNCTION("GOOGLETRANSLATE(B3674:B3689,""RU"",""UK"")"),"Плашка М - 14х1,25")</f>
        <v>Плашка М - 14х1,25</v>
      </c>
      <c r="C59" s="59" t="s">
        <v>6</v>
      </c>
      <c r="D59" s="59">
        <v>170</v>
      </c>
      <c r="E59" s="91" t="s">
        <v>119</v>
      </c>
    </row>
    <row r="60" spans="1:5">
      <c r="A60" s="21">
        <f t="shared" si="1"/>
        <v>59</v>
      </c>
      <c r="B60" s="85" t="str">
        <f ca="1">IFERROR(__xludf.DUMMYFUNCTION("GOOGLETRANSLATE(B3675:B3690,""RU"",""UK"")"),"Плашка М - 14х1,5")</f>
        <v>Плашка М - 14х1,5</v>
      </c>
      <c r="C60" s="59" t="s">
        <v>6</v>
      </c>
      <c r="D60" s="59">
        <v>18</v>
      </c>
      <c r="E60" s="91" t="s">
        <v>119</v>
      </c>
    </row>
    <row r="61" spans="1:5">
      <c r="A61" s="21">
        <f t="shared" si="1"/>
        <v>60</v>
      </c>
      <c r="B61" s="85" t="str">
        <f ca="1">IFERROR(__xludf.DUMMYFUNCTION("GOOGLETRANSLATE(B3672:B3687,""RU"",""UK"")"),"Плашка М - 14лів")</f>
        <v>Плашка М - 14лів</v>
      </c>
      <c r="C61" s="59" t="s">
        <v>6</v>
      </c>
      <c r="D61" s="59">
        <v>4</v>
      </c>
      <c r="E61" s="91" t="s">
        <v>220</v>
      </c>
    </row>
    <row r="62" spans="1:5">
      <c r="A62" s="21">
        <f t="shared" si="1"/>
        <v>61</v>
      </c>
      <c r="B62" s="85" t="str">
        <f ca="1">IFERROR(__xludf.DUMMYFUNCTION("GOOGLETRANSLATE(B3672:B3687,""RU"",""UK"")"),"Плашка М - 14х1.5лів")</f>
        <v>Плашка М - 14х1.5лів</v>
      </c>
      <c r="C62" s="59" t="s">
        <v>6</v>
      </c>
      <c r="D62" s="59">
        <v>12</v>
      </c>
      <c r="E62" s="91" t="s">
        <v>220</v>
      </c>
    </row>
    <row r="63" spans="1:5">
      <c r="A63" s="21">
        <f t="shared" si="1"/>
        <v>62</v>
      </c>
      <c r="B63" s="85" t="str">
        <f ca="1">IFERROR(__xludf.DUMMYFUNCTION("GOOGLETRANSLATE(B3676:B3691,""RU"",""UK"")"),"Плашка М - 16")</f>
        <v>Плашка М - 16</v>
      </c>
      <c r="C63" s="59" t="s">
        <v>6</v>
      </c>
      <c r="D63" s="37">
        <v>1</v>
      </c>
      <c r="E63" s="91" t="s">
        <v>20</v>
      </c>
    </row>
    <row r="64" spans="1:5">
      <c r="A64" s="21">
        <f t="shared" si="1"/>
        <v>63</v>
      </c>
      <c r="B64" s="85" t="str">
        <f ca="1">IFERROR(__xludf.DUMMYFUNCTION("GOOGLETRANSLATE(B3678:B3693,""RU"",""UK"")"),"Плашка М - 16х0.75")</f>
        <v>Плашка М - 16х0.75</v>
      </c>
      <c r="C64" s="59" t="s">
        <v>6</v>
      </c>
      <c r="D64" s="59">
        <v>13</v>
      </c>
      <c r="E64" s="91" t="s">
        <v>20</v>
      </c>
    </row>
    <row r="65" spans="1:5">
      <c r="A65" s="21">
        <f t="shared" si="1"/>
        <v>64</v>
      </c>
      <c r="B65" s="85" t="str">
        <f ca="1">IFERROR(__xludf.DUMMYFUNCTION("GOOGLETRANSLATE(B3678:B3693,""RU"",""UK"")"),"Плашка М - 16х1")</f>
        <v>Плашка М - 16х1</v>
      </c>
      <c r="C65" s="59" t="s">
        <v>6</v>
      </c>
      <c r="D65" s="59">
        <v>15</v>
      </c>
      <c r="E65" s="91" t="s">
        <v>20</v>
      </c>
    </row>
    <row r="66" spans="1:5">
      <c r="A66" s="21">
        <f t="shared" si="1"/>
        <v>65</v>
      </c>
      <c r="B66" s="85" t="str">
        <f ca="1">IFERROR(__xludf.DUMMYFUNCTION("GOOGLETRANSLATE(B3678:B3693,""RU"",""UK"")"),"Плашка М - 16х1.5")</f>
        <v>Плашка М - 16х1.5</v>
      </c>
      <c r="C66" s="59" t="s">
        <v>6</v>
      </c>
      <c r="D66" s="59">
        <v>13</v>
      </c>
      <c r="E66" s="91" t="s">
        <v>20</v>
      </c>
    </row>
    <row r="67" spans="1:5">
      <c r="A67" s="21">
        <f t="shared" si="1"/>
        <v>66</v>
      </c>
      <c r="B67" s="85" t="str">
        <f ca="1">IFERROR(__xludf.DUMMYFUNCTION("GOOGLETRANSLATE(B3677:B3692,""RU"",""UK"")"),"Плашка М - 16 лів. ")</f>
        <v xml:space="preserve">Плашка М - 16 лів. </v>
      </c>
      <c r="C67" s="59" t="s">
        <v>6</v>
      </c>
      <c r="D67" s="59">
        <v>1</v>
      </c>
      <c r="E67" s="91" t="s">
        <v>24</v>
      </c>
    </row>
    <row r="68" spans="1:5">
      <c r="A68" s="21">
        <f t="shared" si="1"/>
        <v>67</v>
      </c>
      <c r="B68" s="85" t="str">
        <f ca="1">IFERROR(__xludf.DUMMYFUNCTION("GOOGLETRANSLATE(B3677:B3692,""RU"",""UK"")"),"Плашка М - 16х1лів. ")</f>
        <v xml:space="preserve">Плашка М - 16х1лів. </v>
      </c>
      <c r="C68" s="59" t="s">
        <v>6</v>
      </c>
      <c r="D68" s="59">
        <v>3</v>
      </c>
      <c r="E68" s="91" t="s">
        <v>24</v>
      </c>
    </row>
    <row r="69" spans="1:5">
      <c r="A69" s="21">
        <f t="shared" si="1"/>
        <v>68</v>
      </c>
      <c r="B69" s="85" t="str">
        <f ca="1">IFERROR(__xludf.DUMMYFUNCTION("GOOGLETRANSLATE(B3677:B3692,""RU"",""UK"")"),"Плашка М - 16х1.5лів")</f>
        <v>Плашка М - 16х1.5лів</v>
      </c>
      <c r="C69" s="59" t="s">
        <v>6</v>
      </c>
      <c r="D69" s="59">
        <v>4</v>
      </c>
      <c r="E69" s="91" t="s">
        <v>24</v>
      </c>
    </row>
    <row r="70" spans="1:5">
      <c r="A70" s="21">
        <f t="shared" si="1"/>
        <v>69</v>
      </c>
      <c r="B70" s="85" t="str">
        <f ca="1">IFERROR(__xludf.DUMMYFUNCTION("GOOGLETRANSLATE(B3679:B3694,""RU"",""UK"")"),"Плашка М - 18")</f>
        <v>Плашка М - 18</v>
      </c>
      <c r="C70" s="59" t="s">
        <v>6</v>
      </c>
      <c r="D70" s="59">
        <v>70</v>
      </c>
      <c r="E70" s="91" t="s">
        <v>20</v>
      </c>
    </row>
    <row r="71" spans="1:5">
      <c r="A71" s="21">
        <f t="shared" si="1"/>
        <v>70</v>
      </c>
      <c r="B71" s="85" t="str">
        <f ca="1">IFERROR(__xludf.DUMMYFUNCTION("GOOGLETRANSLATE(B3681:B3696,""RU"",""UK"")"),"Плашка М - 18х0.75")</f>
        <v>Плашка М - 18х0.75</v>
      </c>
      <c r="C71" s="59" t="s">
        <v>6</v>
      </c>
      <c r="D71" s="160">
        <v>9</v>
      </c>
      <c r="E71" s="91" t="s">
        <v>20</v>
      </c>
    </row>
    <row r="72" spans="1:5">
      <c r="A72" s="21">
        <f t="shared" si="1"/>
        <v>71</v>
      </c>
      <c r="B72" s="85" t="str">
        <f ca="1">IFERROR(__xludf.DUMMYFUNCTION("GOOGLETRANSLATE(B3681:B3696,""RU"",""UK"")"),"Плашка М - 18х1,0")</f>
        <v>Плашка М - 18х1,0</v>
      </c>
      <c r="C72" s="59" t="s">
        <v>6</v>
      </c>
      <c r="D72" s="160">
        <v>9</v>
      </c>
      <c r="E72" s="91" t="s">
        <v>20</v>
      </c>
    </row>
    <row r="73" spans="1:5">
      <c r="A73" s="21">
        <f t="shared" si="1"/>
        <v>72</v>
      </c>
      <c r="B73" s="85" t="str">
        <f ca="1">IFERROR(__xludf.DUMMYFUNCTION("GOOGLETRANSLATE(B3682:B3697,""RU"",""UK"")"),"Плашка М - 18х1, 5")</f>
        <v>Плашка М - 18х1, 5</v>
      </c>
      <c r="C73" s="59" t="s">
        <v>6</v>
      </c>
      <c r="D73" s="59">
        <v>0</v>
      </c>
      <c r="E73" s="91" t="s">
        <v>20</v>
      </c>
    </row>
    <row r="74" spans="1:5">
      <c r="A74" s="21">
        <f t="shared" si="1"/>
        <v>73</v>
      </c>
      <c r="B74" s="85" t="str">
        <f ca="1">IFERROR(__xludf.DUMMYFUNCTION("GOOGLETRANSLATE(B3682:B3697,""RU"",""UK"")"),"Плашка М - 18х2")</f>
        <v>Плашка М - 18х2</v>
      </c>
      <c r="C74" s="59" t="s">
        <v>6</v>
      </c>
      <c r="D74" s="59">
        <v>22</v>
      </c>
      <c r="E74" s="91" t="s">
        <v>20</v>
      </c>
    </row>
    <row r="75" spans="1:5">
      <c r="A75" s="21">
        <f t="shared" si="1"/>
        <v>74</v>
      </c>
      <c r="B75" s="85" t="str">
        <f ca="1">IFERROR(__xludf.DUMMYFUNCTION("GOOGLETRANSLATE(B3680:B3695,""RU"",""UK"")"),"Плашка М - 18лів.")</f>
        <v>Плашка М - 18лів.</v>
      </c>
      <c r="C75" s="59" t="s">
        <v>6</v>
      </c>
      <c r="D75" s="59">
        <v>4</v>
      </c>
      <c r="E75" s="91" t="s">
        <v>24</v>
      </c>
    </row>
    <row r="76" spans="1:5">
      <c r="A76" s="21">
        <f t="shared" si="1"/>
        <v>75</v>
      </c>
      <c r="B76" s="85" t="str">
        <f ca="1">IFERROR(__xludf.DUMMYFUNCTION("GOOGLETRANSLATE(B3683:B3698,""RU"",""UK"")"),"Плашка М - 20")</f>
        <v>Плашка М - 20</v>
      </c>
      <c r="C76" s="59" t="s">
        <v>6</v>
      </c>
      <c r="D76" s="59">
        <v>21</v>
      </c>
      <c r="E76" s="91" t="s">
        <v>20</v>
      </c>
    </row>
    <row r="77" spans="1:5">
      <c r="A77" s="21">
        <f t="shared" si="1"/>
        <v>76</v>
      </c>
      <c r="B77" s="85" t="str">
        <f ca="1">IFERROR(__xludf.DUMMYFUNCTION("GOOGLETRANSLATE(B3683:B3698,""RU"",""UK"")"),"Плашка М - 20х0.5")</f>
        <v>Плашка М - 20х0.5</v>
      </c>
      <c r="C77" s="59" t="s">
        <v>6</v>
      </c>
      <c r="D77" s="59">
        <v>3</v>
      </c>
      <c r="E77" s="91" t="s">
        <v>20</v>
      </c>
    </row>
    <row r="78" spans="1:5">
      <c r="A78" s="21">
        <f t="shared" si="1"/>
        <v>77</v>
      </c>
      <c r="B78" s="85" t="str">
        <f ca="1">IFERROR(__xludf.DUMMYFUNCTION("GOOGLETRANSLATE(B3684:B3699,""RU"",""UK"")"),"Плашка М - 20х0,75")</f>
        <v>Плашка М - 20х0,75</v>
      </c>
      <c r="C78" s="59" t="s">
        <v>6</v>
      </c>
      <c r="D78" s="59">
        <v>5</v>
      </c>
      <c r="E78" s="91" t="s">
        <v>20</v>
      </c>
    </row>
    <row r="79" spans="1:5">
      <c r="A79" s="21">
        <f t="shared" si="1"/>
        <v>78</v>
      </c>
      <c r="B79" s="85" t="str">
        <f ca="1">IFERROR(__xludf.DUMMYFUNCTION("GOOGLETRANSLATE(B3684:B3699,""RU"",""UK"")"),"Плашка М - 20х1")</f>
        <v>Плашка М - 20х1</v>
      </c>
      <c r="C79" s="59" t="s">
        <v>6</v>
      </c>
      <c r="D79" s="59">
        <v>23</v>
      </c>
      <c r="E79" s="91" t="s">
        <v>20</v>
      </c>
    </row>
    <row r="80" spans="1:5">
      <c r="A80" s="21">
        <f t="shared" si="1"/>
        <v>79</v>
      </c>
      <c r="B80" s="85" t="str">
        <f ca="1">IFERROR(__xludf.DUMMYFUNCTION("GOOGLETRANSLATE(B3685:B3700,""RU"",""UK"")"),"Плашка М - 20х1, 5")</f>
        <v>Плашка М - 20х1, 5</v>
      </c>
      <c r="C80" s="59" t="s">
        <v>6</v>
      </c>
      <c r="D80" s="59">
        <v>94</v>
      </c>
      <c r="E80" s="91" t="s">
        <v>20</v>
      </c>
    </row>
    <row r="81" spans="1:5">
      <c r="A81" s="21">
        <f t="shared" si="1"/>
        <v>80</v>
      </c>
      <c r="B81" s="85" t="str">
        <f ca="1">IFERROR(__xludf.DUMMYFUNCTION("GOOGLETRANSLATE(B3685:B3700,""RU"",""UK"")"),"Плашка М - 20х2")</f>
        <v>Плашка М - 20х2</v>
      </c>
      <c r="C81" s="59" t="s">
        <v>6</v>
      </c>
      <c r="D81" s="59">
        <v>56</v>
      </c>
      <c r="E81" s="91" t="s">
        <v>20</v>
      </c>
    </row>
    <row r="82" spans="1:5">
      <c r="A82" s="21">
        <f t="shared" si="1"/>
        <v>81</v>
      </c>
      <c r="B82" s="85" t="str">
        <f ca="1">IFERROR(__xludf.DUMMYFUNCTION("GOOGLETRANSLATE(B3686:B3701,""RU"",""UK"")"),"Плашка М - 20лев.")</f>
        <v>Плашка М - 20лев.</v>
      </c>
      <c r="C82" s="59" t="s">
        <v>6</v>
      </c>
      <c r="D82" s="59">
        <v>4</v>
      </c>
      <c r="E82" s="91">
        <v>330</v>
      </c>
    </row>
    <row r="83" spans="1:5">
      <c r="A83" s="21">
        <f t="shared" si="1"/>
        <v>82</v>
      </c>
      <c r="B83" s="85" t="str">
        <f ca="1">IFERROR(__xludf.DUMMYFUNCTION("GOOGLETRANSLATE(B3686:B3701,""RU"",""UK"")"),"Плашка М - 20х1лев.")</f>
        <v>Плашка М - 20х1лев.</v>
      </c>
      <c r="C83" s="59" t="s">
        <v>6</v>
      </c>
      <c r="D83" s="59">
        <v>1</v>
      </c>
      <c r="E83" s="91" t="s">
        <v>20</v>
      </c>
    </row>
    <row r="84" spans="1:5">
      <c r="A84" s="21">
        <f t="shared" si="1"/>
        <v>83</v>
      </c>
      <c r="B84" s="85" t="str">
        <f ca="1">IFERROR(__xludf.DUMMYFUNCTION("GOOGLETRANSLATE(B3686:B3701,""RU"",""UK"")"),"Плашка М - 20х1, 5лев.")</f>
        <v>Плашка М - 20х1, 5лев.</v>
      </c>
      <c r="C84" s="59" t="s">
        <v>6</v>
      </c>
      <c r="D84" s="59">
        <v>47</v>
      </c>
      <c r="E84" s="91" t="s">
        <v>20</v>
      </c>
    </row>
    <row r="85" spans="1:5">
      <c r="A85" s="21">
        <f t="shared" si="1"/>
        <v>84</v>
      </c>
      <c r="B85" s="85" t="str">
        <f ca="1">IFERROR(__xludf.DUMMYFUNCTION("GOOGLETRANSLATE(B3687:B3702,""RU"",""UK"")"),"Плашка М - 22")</f>
        <v>Плашка М - 22</v>
      </c>
      <c r="C85" s="59" t="s">
        <v>6</v>
      </c>
      <c r="D85" s="59">
        <v>21</v>
      </c>
      <c r="E85" s="91" t="s">
        <v>24</v>
      </c>
    </row>
    <row r="86" spans="1:5">
      <c r="A86" s="21">
        <f t="shared" si="1"/>
        <v>85</v>
      </c>
      <c r="B86" s="85" t="str">
        <f ca="1">IFERROR(__xludf.DUMMYFUNCTION("GOOGLETRANSLATE(B3689:B3704,""RU"",""UK"")"),"Плашка М - 22х0,75")</f>
        <v>Плашка М - 22х0,75</v>
      </c>
      <c r="C86" s="59" t="s">
        <v>6</v>
      </c>
      <c r="D86" s="59">
        <v>59</v>
      </c>
      <c r="E86" s="91" t="s">
        <v>24</v>
      </c>
    </row>
    <row r="87" spans="1:5">
      <c r="A87" s="21">
        <f t="shared" si="1"/>
        <v>86</v>
      </c>
      <c r="B87" s="85" t="str">
        <f ca="1">IFERROR(__xludf.DUMMYFUNCTION("GOOGLETRANSLATE(B3689:B3704,""RU"",""UK"")"),"Плашка М - 22х1")</f>
        <v>Плашка М - 22х1</v>
      </c>
      <c r="C87" s="59" t="s">
        <v>6</v>
      </c>
      <c r="D87" s="59">
        <v>25</v>
      </c>
      <c r="E87" s="91" t="s">
        <v>24</v>
      </c>
    </row>
    <row r="88" spans="1:5">
      <c r="A88" s="21">
        <f t="shared" si="1"/>
        <v>87</v>
      </c>
      <c r="B88" s="164" t="str">
        <f ca="1">IFERROR(__xludf.DUMMYFUNCTION("GOOGLETRANSLATE(B3690:B3705,""RU"",""UK"")"),"Плашка М - 22х1, 5")</f>
        <v>Плашка М - 22х1, 5</v>
      </c>
      <c r="C88" s="59" t="s">
        <v>6</v>
      </c>
      <c r="D88" s="160">
        <v>1</v>
      </c>
      <c r="E88" s="91" t="s">
        <v>162</v>
      </c>
    </row>
    <row r="89" spans="1:5">
      <c r="A89" s="21">
        <f t="shared" si="1"/>
        <v>88</v>
      </c>
      <c r="B89" s="85" t="str">
        <f ca="1">IFERROR(__xludf.DUMMYFUNCTION("GOOGLETRANSLATE(B3690:B3705,""RU"",""UK"")"),"Плашка М - 22х2")</f>
        <v>Плашка М - 22х2</v>
      </c>
      <c r="C89" s="59" t="s">
        <v>6</v>
      </c>
      <c r="D89" s="160">
        <v>17</v>
      </c>
      <c r="E89" s="91" t="s">
        <v>162</v>
      </c>
    </row>
    <row r="90" spans="1:5">
      <c r="A90" s="21">
        <f t="shared" si="1"/>
        <v>89</v>
      </c>
      <c r="B90" s="85" t="str">
        <f ca="1">IFERROR(__xludf.DUMMYFUNCTION("GOOGLETRANSLATE(B3688:B3703,""RU"",""UK"")"),"Плашка М - 22лев.")</f>
        <v>Плашка М - 22лев.</v>
      </c>
      <c r="C90" s="59" t="s">
        <v>6</v>
      </c>
      <c r="D90" s="59">
        <v>2</v>
      </c>
      <c r="E90" s="91" t="s">
        <v>162</v>
      </c>
    </row>
    <row r="91" spans="1:5">
      <c r="A91" s="21">
        <f t="shared" si="1"/>
        <v>90</v>
      </c>
      <c r="B91" s="85" t="str">
        <f ca="1">IFERROR(__xludf.DUMMYFUNCTION("GOOGLETRANSLATE(B3688:B3703,""RU"",""UK"")"),"Плашка М - 22х1, 5лев")</f>
        <v>Плашка М - 22х1, 5лев</v>
      </c>
      <c r="C91" s="59" t="s">
        <v>6</v>
      </c>
      <c r="D91" s="59">
        <v>1</v>
      </c>
      <c r="E91" s="91" t="s">
        <v>162</v>
      </c>
    </row>
    <row r="92" spans="1:5">
      <c r="A92" s="21">
        <f t="shared" si="1"/>
        <v>91</v>
      </c>
      <c r="B92" s="164" t="str">
        <f ca="1">IFERROR(__xludf.DUMMYFUNCTION("GOOGLETRANSLATE(B3691:B3706,""RU"",""UK"")"),"Плашка М - 24")</f>
        <v>Плашка М - 24</v>
      </c>
      <c r="C92" s="59" t="s">
        <v>6</v>
      </c>
      <c r="D92" s="59">
        <v>6</v>
      </c>
      <c r="E92" s="91">
        <v>390</v>
      </c>
    </row>
    <row r="93" spans="1:5">
      <c r="A93" s="21">
        <f t="shared" si="1"/>
        <v>92</v>
      </c>
      <c r="B93" s="85" t="str">
        <f ca="1">IFERROR(__xludf.DUMMYFUNCTION("GOOGLETRANSLATE(B3691:B3706,""RU"",""UK"")"),"Плашка М - 24х1,0")</f>
        <v>Плашка М - 24х1,0</v>
      </c>
      <c r="C93" s="59" t="s">
        <v>6</v>
      </c>
      <c r="D93" s="59">
        <v>42</v>
      </c>
      <c r="E93" s="91">
        <v>360</v>
      </c>
    </row>
    <row r="94" spans="1:5">
      <c r="A94" s="21">
        <f t="shared" si="1"/>
        <v>93</v>
      </c>
      <c r="B94" s="85" t="str">
        <f ca="1">IFERROR(__xludf.DUMMYFUNCTION("GOOGLETRANSLATE(B3692:B3707,""RU"",""UK"")"),"Плашка М - 24х1, 5")</f>
        <v>Плашка М - 24х1, 5</v>
      </c>
      <c r="C94" s="59" t="s">
        <v>6</v>
      </c>
      <c r="D94" s="59">
        <v>16</v>
      </c>
      <c r="E94" s="91">
        <v>360</v>
      </c>
    </row>
    <row r="95" spans="1:5">
      <c r="A95" s="21">
        <f t="shared" si="1"/>
        <v>94</v>
      </c>
      <c r="B95" s="85" t="str">
        <f ca="1">IFERROR(__xludf.DUMMYFUNCTION("GOOGLETRANSLATE(B3692:B3707,""RU"",""UK"")"),"Плашка М - 24х2")</f>
        <v>Плашка М - 24х2</v>
      </c>
      <c r="C95" s="59" t="s">
        <v>6</v>
      </c>
      <c r="D95" s="59">
        <v>117</v>
      </c>
      <c r="E95" s="91">
        <v>360</v>
      </c>
    </row>
    <row r="96" spans="1:5">
      <c r="A96" s="21">
        <f t="shared" si="1"/>
        <v>95</v>
      </c>
      <c r="B96" s="164" t="str">
        <f ca="1">IFERROR(__xludf.DUMMYFUNCTION("GOOGLETRANSLATE(B3693:B3708,""RU"",""UK"")"),"Плашка М - 24лев.")</f>
        <v>Плашка М - 24лев.</v>
      </c>
      <c r="C96" s="59" t="s">
        <v>6</v>
      </c>
      <c r="D96" s="59">
        <v>0</v>
      </c>
      <c r="E96" s="91">
        <v>390</v>
      </c>
    </row>
    <row r="97" spans="1:5">
      <c r="A97" s="21">
        <f t="shared" si="1"/>
        <v>96</v>
      </c>
      <c r="B97" s="85" t="str">
        <f ca="1">IFERROR(__xludf.DUMMYFUNCTION("GOOGLETRANSLATE(B3693:B3708,""RU"",""UK"")"),"Плашка М - 24х1, 5лев.")</f>
        <v>Плашка М - 24х1, 5лев.</v>
      </c>
      <c r="C97" s="59" t="s">
        <v>6</v>
      </c>
      <c r="D97" s="59">
        <v>1</v>
      </c>
      <c r="E97" s="91">
        <v>390</v>
      </c>
    </row>
    <row r="98" spans="1:5">
      <c r="A98" s="21">
        <f t="shared" si="1"/>
        <v>97</v>
      </c>
      <c r="B98" s="85" t="str">
        <f ca="1">IFERROR(__xludf.DUMMYFUNCTION("GOOGLETRANSLATE(B3694:B3709,""RU"",""UK"")"),"Плашка М - 26х1,5")</f>
        <v>Плашка М - 26х1,5</v>
      </c>
      <c r="C98" s="59" t="s">
        <v>6</v>
      </c>
      <c r="D98" s="59">
        <v>1</v>
      </c>
      <c r="E98" s="91" t="s">
        <v>102</v>
      </c>
    </row>
    <row r="99" spans="1:5">
      <c r="A99" s="21">
        <f t="shared" si="1"/>
        <v>98</v>
      </c>
      <c r="B99" s="85" t="str">
        <f ca="1">IFERROR(__xludf.DUMMYFUNCTION("GOOGLETRANSLATE(B3695:B3710,""RU"",""UK"")"),"Плашка М - 27")</f>
        <v>Плашка М - 27</v>
      </c>
      <c r="C99" s="59" t="s">
        <v>6</v>
      </c>
      <c r="D99" s="59">
        <v>182</v>
      </c>
      <c r="E99" s="91">
        <v>360</v>
      </c>
    </row>
    <row r="100" spans="1:5">
      <c r="A100" s="21">
        <f t="shared" si="1"/>
        <v>99</v>
      </c>
      <c r="B100" s="85" t="str">
        <f ca="1">IFERROR(__xludf.DUMMYFUNCTION("GOOGLETRANSLATE(B3695:B3710,""RU"",""UK"")"),"Плашка М - 27х1")</f>
        <v>Плашка М - 27х1</v>
      </c>
      <c r="C100" s="59" t="s">
        <v>6</v>
      </c>
      <c r="D100" s="59">
        <v>13</v>
      </c>
      <c r="E100" s="91">
        <v>360</v>
      </c>
    </row>
    <row r="101" spans="1:5">
      <c r="A101" s="21">
        <f t="shared" si="1"/>
        <v>100</v>
      </c>
      <c r="B101" s="85" t="str">
        <f ca="1">IFERROR(__xludf.DUMMYFUNCTION("GOOGLETRANSLATE(B3696:B3711,""RU"",""UK"")"),"Плашка М - 27х1, 5")</f>
        <v>Плашка М - 27х1, 5</v>
      </c>
      <c r="C101" s="59" t="s">
        <v>6</v>
      </c>
      <c r="D101" s="59">
        <v>23</v>
      </c>
      <c r="E101" s="91">
        <v>360</v>
      </c>
    </row>
    <row r="102" spans="1:5">
      <c r="A102" s="21">
        <f t="shared" si="1"/>
        <v>101</v>
      </c>
      <c r="B102" s="85" t="str">
        <f ca="1">IFERROR(__xludf.DUMMYFUNCTION("GOOGLETRANSLATE(B3696:B3711,""RU"",""UK"")"),"Плашка М - 27х2")</f>
        <v>Плашка М - 27х2</v>
      </c>
      <c r="C102" s="59" t="s">
        <v>6</v>
      </c>
      <c r="D102" s="59">
        <v>107</v>
      </c>
      <c r="E102" s="91">
        <v>360</v>
      </c>
    </row>
    <row r="103" spans="1:5">
      <c r="A103" s="21">
        <f t="shared" si="1"/>
        <v>102</v>
      </c>
      <c r="B103" s="164" t="str">
        <f ca="1">IFERROR(__xludf.DUMMYFUNCTION("GOOGLETRANSLATE(B3697:B3712,""RU"",""UK"")"),"Плашка М - 27лев.")</f>
        <v>Плашка М - 27лев.</v>
      </c>
      <c r="C103" s="59" t="s">
        <v>6</v>
      </c>
      <c r="D103" s="59">
        <v>0</v>
      </c>
      <c r="E103" s="91">
        <v>390</v>
      </c>
    </row>
    <row r="104" spans="1:5">
      <c r="A104" s="21">
        <f t="shared" si="1"/>
        <v>103</v>
      </c>
      <c r="B104" s="85" t="str">
        <f ca="1">IFERROR(__xludf.DUMMYFUNCTION("GOOGLETRANSLATE(B3697:B3712,""RU"",""UK"")"),"Плашка М - 27х1, 5 лев.")</f>
        <v>Плашка М - 27х1, 5 лев.</v>
      </c>
      <c r="C104" s="59" t="s">
        <v>6</v>
      </c>
      <c r="D104" s="59">
        <v>8</v>
      </c>
      <c r="E104" s="91">
        <v>390</v>
      </c>
    </row>
    <row r="105" spans="1:5">
      <c r="A105" s="21">
        <f t="shared" si="1"/>
        <v>104</v>
      </c>
      <c r="B105" s="85" t="str">
        <f ca="1">IFERROR(__xludf.DUMMYFUNCTION("GOOGLETRANSLATE(B3698:B3713,""RU"",""UK"")"),"Плашка М - 30")</f>
        <v>Плашка М - 30</v>
      </c>
      <c r="C105" s="59" t="s">
        <v>6</v>
      </c>
      <c r="D105" s="59">
        <v>66</v>
      </c>
      <c r="E105" s="91">
        <v>375</v>
      </c>
    </row>
    <row r="106" spans="1:5">
      <c r="A106" s="21">
        <f t="shared" si="1"/>
        <v>105</v>
      </c>
      <c r="B106" s="85" t="str">
        <f ca="1">IFERROR(__xludf.DUMMYFUNCTION("GOOGLETRANSLATE(B3698:B3713,""RU"",""UK"")"),"Плашка М - 30х0,75")</f>
        <v>Плашка М - 30х0,75</v>
      </c>
      <c r="C106" s="59" t="s">
        <v>6</v>
      </c>
      <c r="D106" s="59">
        <v>4</v>
      </c>
      <c r="E106" s="91">
        <v>375</v>
      </c>
    </row>
    <row r="107" spans="1:5">
      <c r="A107" s="21">
        <f t="shared" si="1"/>
        <v>106</v>
      </c>
      <c r="B107" s="85" t="str">
        <f ca="1">IFERROR(__xludf.DUMMYFUNCTION("GOOGLETRANSLATE(B3699:B3714,""RU"",""UK"")"),"Плашка М - 30х1,0")</f>
        <v>Плашка М - 30х1,0</v>
      </c>
      <c r="C107" s="59" t="s">
        <v>6</v>
      </c>
      <c r="D107" s="59">
        <v>17</v>
      </c>
      <c r="E107" s="91">
        <v>375</v>
      </c>
    </row>
    <row r="108" spans="1:5">
      <c r="A108" s="21">
        <f t="shared" si="1"/>
        <v>107</v>
      </c>
      <c r="B108" s="85" t="str">
        <f ca="1">IFERROR(__xludf.DUMMYFUNCTION("GOOGLETRANSLATE(B3699:B3714,""RU"",""UK"")"),"Плашка М - 30х1,5")</f>
        <v>Плашка М - 30х1,5</v>
      </c>
      <c r="C108" s="59" t="s">
        <v>6</v>
      </c>
      <c r="D108" s="59">
        <v>17</v>
      </c>
      <c r="E108" s="91">
        <v>375</v>
      </c>
    </row>
    <row r="109" spans="1:5">
      <c r="A109" s="21">
        <f t="shared" si="1"/>
        <v>108</v>
      </c>
      <c r="B109" s="85" t="str">
        <f ca="1">IFERROR(__xludf.DUMMYFUNCTION("GOOGLETRANSLATE(B3700:B3715,""RU"",""UK"")"),"Плашка М - 30х2")</f>
        <v>Плашка М - 30х2</v>
      </c>
      <c r="C109" s="59" t="s">
        <v>6</v>
      </c>
      <c r="D109" s="59">
        <v>58</v>
      </c>
      <c r="E109" s="91">
        <v>375</v>
      </c>
    </row>
    <row r="110" spans="1:5">
      <c r="A110" s="21">
        <f t="shared" si="1"/>
        <v>109</v>
      </c>
      <c r="B110" s="85" t="str">
        <f ca="1">IFERROR(__xludf.DUMMYFUNCTION("GOOGLETRANSLATE(B3700:B3715,""RU"",""UK"")"),"Плашка М - 30х3")</f>
        <v>Плашка М - 30х3</v>
      </c>
      <c r="C110" s="59" t="s">
        <v>6</v>
      </c>
      <c r="D110" s="59">
        <v>89</v>
      </c>
      <c r="E110" s="91">
        <v>375</v>
      </c>
    </row>
    <row r="111" spans="1:5">
      <c r="A111" s="21">
        <f t="shared" si="1"/>
        <v>110</v>
      </c>
      <c r="B111" s="85" t="str">
        <f ca="1">IFERROR(__xludf.DUMMYFUNCTION("GOOGLETRANSLATE(B3701:B3716,""RU"",""UK"")"),"Плашка М - 33")</f>
        <v>Плашка М - 33</v>
      </c>
      <c r="C111" s="59" t="s">
        <v>6</v>
      </c>
      <c r="D111" s="59">
        <v>113</v>
      </c>
      <c r="E111" s="91">
        <v>390</v>
      </c>
    </row>
    <row r="112" spans="1:5">
      <c r="A112" s="21">
        <f t="shared" si="1"/>
        <v>111</v>
      </c>
      <c r="B112" s="85" t="str">
        <f ca="1">IFERROR(__xludf.DUMMYFUNCTION("GOOGLETRANSLATE(B3701:B3716,""RU"",""UK"")"),"Плашка М - 33х0,75")</f>
        <v>Плашка М - 33х0,75</v>
      </c>
      <c r="C112" s="59" t="s">
        <v>6</v>
      </c>
      <c r="D112" s="59">
        <v>2</v>
      </c>
      <c r="E112" s="91">
        <v>390</v>
      </c>
    </row>
    <row r="113" spans="1:5">
      <c r="A113" s="21">
        <f t="shared" si="1"/>
        <v>112</v>
      </c>
      <c r="B113" s="85" t="str">
        <f ca="1">IFERROR(__xludf.DUMMYFUNCTION("GOOGLETRANSLATE(B3701:B3716,""RU"",""UK"")"),"Плашка М - 33х1")</f>
        <v>Плашка М - 33х1</v>
      </c>
      <c r="C113" s="59" t="s">
        <v>6</v>
      </c>
      <c r="D113" s="59">
        <v>14</v>
      </c>
      <c r="E113" s="91">
        <v>390</v>
      </c>
    </row>
    <row r="114" spans="1:5">
      <c r="A114" s="21">
        <f t="shared" si="1"/>
        <v>113</v>
      </c>
      <c r="B114" s="85" t="str">
        <f ca="1">IFERROR(__xludf.DUMMYFUNCTION("GOOGLETRANSLATE(B3702:B3717,""RU"",""UK"")"),"Плашка М - 33х1,5")</f>
        <v>Плашка М - 33х1,5</v>
      </c>
      <c r="C114" s="59" t="s">
        <v>6</v>
      </c>
      <c r="D114" s="59">
        <v>10</v>
      </c>
      <c r="E114" s="91">
        <v>390</v>
      </c>
    </row>
    <row r="115" spans="1:5">
      <c r="A115" s="21">
        <f t="shared" si="1"/>
        <v>114</v>
      </c>
      <c r="B115" s="85" t="str">
        <f ca="1">IFERROR(__xludf.DUMMYFUNCTION("GOOGLETRANSLATE(B3702:B3717,""RU"",""UK"")"),"Плашка М - 33х2")</f>
        <v>Плашка М - 33х2</v>
      </c>
      <c r="C115" s="59" t="s">
        <v>6</v>
      </c>
      <c r="D115" s="59">
        <v>49</v>
      </c>
      <c r="E115" s="91">
        <v>390</v>
      </c>
    </row>
    <row r="116" spans="1:5">
      <c r="A116" s="21">
        <f t="shared" si="1"/>
        <v>115</v>
      </c>
      <c r="B116" s="85" t="str">
        <f ca="1">IFERROR(__xludf.DUMMYFUNCTION("GOOGLETRANSLATE(B3702:B3717,""RU"",""UK"")"),"Плашка М - 33х3")</f>
        <v>Плашка М - 33х3</v>
      </c>
      <c r="C116" s="59" t="s">
        <v>6</v>
      </c>
      <c r="D116" s="59">
        <v>22</v>
      </c>
      <c r="E116" s="91">
        <v>390</v>
      </c>
    </row>
    <row r="117" spans="1:5">
      <c r="A117" s="21">
        <f t="shared" si="1"/>
        <v>116</v>
      </c>
      <c r="B117" s="85" t="str">
        <f ca="1">IFERROR(__xludf.DUMMYFUNCTION("GOOGLETRANSLATE(B3703:B3718,""RU"",""UK"")"),"Плашка М - 36")</f>
        <v>Плашка М - 36</v>
      </c>
      <c r="C117" s="59" t="s">
        <v>6</v>
      </c>
      <c r="D117" s="59">
        <v>10</v>
      </c>
      <c r="E117" s="91" t="s">
        <v>16</v>
      </c>
    </row>
    <row r="118" spans="1:5">
      <c r="A118" s="21">
        <f t="shared" si="1"/>
        <v>117</v>
      </c>
      <c r="B118" s="85" t="str">
        <f ca="1">IFERROR(__xludf.DUMMYFUNCTION("GOOGLETRANSLATE(B3703:B3718,""RU"",""UK"")"),"Плашка М - 36х1")</f>
        <v>Плашка М - 36х1</v>
      </c>
      <c r="C118" s="59" t="s">
        <v>6</v>
      </c>
      <c r="D118" s="59">
        <v>22</v>
      </c>
      <c r="E118" s="91" t="s">
        <v>16</v>
      </c>
    </row>
    <row r="119" spans="1:5">
      <c r="A119" s="21">
        <f t="shared" si="1"/>
        <v>118</v>
      </c>
      <c r="B119" s="85" t="str">
        <f ca="1">IFERROR(__xludf.DUMMYFUNCTION("GOOGLETRANSLATE(B3706:B3721,""RU"",""UK"")"),"Плашка М - 36х1, 5")</f>
        <v>Плашка М - 36х1, 5</v>
      </c>
      <c r="C119" s="59" t="s">
        <v>6</v>
      </c>
      <c r="D119" s="59">
        <v>36</v>
      </c>
      <c r="E119" s="91" t="s">
        <v>4940</v>
      </c>
    </row>
    <row r="120" spans="1:5">
      <c r="A120" s="21">
        <f t="shared" si="1"/>
        <v>119</v>
      </c>
      <c r="B120" s="85" t="str">
        <f ca="1">IFERROR(__xludf.DUMMYFUNCTION("GOOGLETRANSLATE(B3705:B3720,""RU"",""UK"")"),"Плашка М - 36х2")</f>
        <v>Плашка М - 36х2</v>
      </c>
      <c r="C120" s="59" t="s">
        <v>6</v>
      </c>
      <c r="D120" s="59">
        <v>28</v>
      </c>
      <c r="E120" s="91" t="s">
        <v>16</v>
      </c>
    </row>
    <row r="121" spans="1:5">
      <c r="A121" s="21">
        <f t="shared" si="1"/>
        <v>120</v>
      </c>
      <c r="B121" s="85" t="str">
        <f ca="1">IFERROR(__xludf.DUMMYFUNCTION("GOOGLETRANSLATE(B3706:B3721,""RU"",""UK"")"),"Плашка М - 36х3")</f>
        <v>Плашка М - 36х3</v>
      </c>
      <c r="C121" s="59" t="s">
        <v>6</v>
      </c>
      <c r="D121" s="59">
        <v>34</v>
      </c>
      <c r="E121" s="91" t="s">
        <v>4940</v>
      </c>
    </row>
    <row r="122" spans="1:5">
      <c r="A122" s="21">
        <f t="shared" si="1"/>
        <v>121</v>
      </c>
      <c r="B122" s="85" t="str">
        <f ca="1">IFERROR(__xludf.DUMMYFUNCTION("GOOGLETRANSLATE(B3704:B3719,""RU"",""UK"")"),"Плашка М - 36лев")</f>
        <v>Плашка М - 36лев</v>
      </c>
      <c r="C122" s="59" t="s">
        <v>6</v>
      </c>
      <c r="D122" s="59">
        <v>1</v>
      </c>
      <c r="E122" s="91" t="s">
        <v>272</v>
      </c>
    </row>
    <row r="123" spans="1:5">
      <c r="A123" s="21">
        <f t="shared" si="1"/>
        <v>122</v>
      </c>
      <c r="B123" s="85" t="str">
        <f ca="1">IFERROR(__xludf.DUMMYFUNCTION("GOOGLETRANSLATE(B3707:B3722,""RU"",""UK"")"),"Плашка М - 39")</f>
        <v>Плашка М - 39</v>
      </c>
      <c r="C123" s="59" t="s">
        <v>6</v>
      </c>
      <c r="D123" s="59">
        <v>29</v>
      </c>
      <c r="E123" s="91" t="s">
        <v>4940</v>
      </c>
    </row>
    <row r="124" spans="1:5">
      <c r="A124" s="21">
        <f t="shared" si="1"/>
        <v>123</v>
      </c>
      <c r="B124" s="85" t="str">
        <f ca="1">IFERROR(__xludf.DUMMYFUNCTION("GOOGLETRANSLATE(B3707:B3722,""RU"",""UK"")"),"Плашка М - 39х1")</f>
        <v>Плашка М - 39х1</v>
      </c>
      <c r="C124" s="59" t="s">
        <v>6</v>
      </c>
      <c r="D124" s="59">
        <v>1</v>
      </c>
      <c r="E124" s="91" t="s">
        <v>4940</v>
      </c>
    </row>
    <row r="125" spans="1:5">
      <c r="A125" s="21">
        <f t="shared" si="1"/>
        <v>124</v>
      </c>
      <c r="B125" s="85" t="str">
        <f ca="1">IFERROR(__xludf.DUMMYFUNCTION("GOOGLETRANSLATE(B3707:B3722,""RU"",""UK"")"),"Плашка М - 39х1,5")</f>
        <v>Плашка М - 39х1,5</v>
      </c>
      <c r="C125" s="59" t="s">
        <v>6</v>
      </c>
      <c r="D125" s="59">
        <v>35</v>
      </c>
      <c r="E125" s="91" t="s">
        <v>4940</v>
      </c>
    </row>
    <row r="126" spans="1:5">
      <c r="A126" s="21">
        <f t="shared" si="1"/>
        <v>125</v>
      </c>
      <c r="B126" s="85" t="str">
        <f ca="1">IFERROR(__xludf.DUMMYFUNCTION("GOOGLETRANSLATE(B3708:B3723,""RU"",""UK"")"),"Плашка М - 39х2")</f>
        <v>Плашка М - 39х2</v>
      </c>
      <c r="C126" s="59" t="s">
        <v>6</v>
      </c>
      <c r="D126" s="59">
        <v>27</v>
      </c>
      <c r="E126" s="91" t="s">
        <v>4940</v>
      </c>
    </row>
    <row r="127" spans="1:5">
      <c r="A127" s="21">
        <f t="shared" si="1"/>
        <v>126</v>
      </c>
      <c r="B127" s="85" t="str">
        <f ca="1">IFERROR(__xludf.DUMMYFUNCTION("GOOGLETRANSLATE(B3708:B3723,""RU"",""UK"")"),"Плашка М - 39х3")</f>
        <v>Плашка М - 39х3</v>
      </c>
      <c r="C127" s="59" t="s">
        <v>6</v>
      </c>
      <c r="D127" s="59">
        <v>40</v>
      </c>
      <c r="E127" s="91" t="s">
        <v>4940</v>
      </c>
    </row>
    <row r="128" spans="1:5">
      <c r="A128" s="21">
        <f t="shared" si="1"/>
        <v>127</v>
      </c>
      <c r="B128" s="85" t="str">
        <f ca="1">IFERROR(__xludf.DUMMYFUNCTION("GOOGLETRANSLATE(B3709:B3724,""RU"",""UK"")"),"Плашка М - 40")</f>
        <v>Плашка М - 40</v>
      </c>
      <c r="C128" s="59" t="s">
        <v>6</v>
      </c>
      <c r="D128" s="59">
        <v>10</v>
      </c>
      <c r="E128" s="91" t="s">
        <v>22</v>
      </c>
    </row>
    <row r="129" spans="1:5">
      <c r="A129" s="21">
        <f t="shared" si="1"/>
        <v>128</v>
      </c>
      <c r="B129" s="164" t="str">
        <f ca="1">IFERROR(__xludf.DUMMYFUNCTION("GOOGLETRANSLATE(B3710:B3725,""RU"",""UK"")"),"Плашка М - 40х1,5")</f>
        <v>Плашка М - 40х1,5</v>
      </c>
      <c r="C129" s="59" t="s">
        <v>6</v>
      </c>
      <c r="D129" s="59">
        <v>0</v>
      </c>
      <c r="E129" s="91" t="s">
        <v>80</v>
      </c>
    </row>
    <row r="130" spans="1:5">
      <c r="A130" s="21">
        <f t="shared" si="1"/>
        <v>129</v>
      </c>
      <c r="B130" s="85" t="str">
        <f ca="1">IFERROR(__xludf.DUMMYFUNCTION("GOOGLETRANSLATE(B3711:B3726,""RU"",""UK"")"),"Плашка М - 40х2")</f>
        <v>Плашка М - 40х2</v>
      </c>
      <c r="C130" s="59" t="s">
        <v>6</v>
      </c>
      <c r="D130" s="59">
        <v>5</v>
      </c>
      <c r="E130" s="91" t="s">
        <v>22</v>
      </c>
    </row>
    <row r="131" spans="1:5">
      <c r="A131" s="21">
        <f t="shared" si="1"/>
        <v>130</v>
      </c>
      <c r="B131" s="85" t="str">
        <f ca="1">IFERROR(__xludf.DUMMYFUNCTION("GOOGLETRANSLATE(B3711:B3726,""RU"",""UK"")"),"Плашка М - 40х3")</f>
        <v>Плашка М - 40х3</v>
      </c>
      <c r="C131" s="59" t="s">
        <v>6</v>
      </c>
      <c r="D131" s="59">
        <v>15</v>
      </c>
      <c r="E131" s="91" t="s">
        <v>22</v>
      </c>
    </row>
    <row r="132" spans="1:5">
      <c r="A132" s="21">
        <f t="shared" ref="A132" si="2">A131+1</f>
        <v>131</v>
      </c>
      <c r="B132" s="85" t="str">
        <f ca="1">IFERROR(__xludf.DUMMYFUNCTION("GOOGLETRANSLATE(B3712:B3727,""RU"",""UK"")"),"Плашка М - 42")</f>
        <v>Плашка М - 42</v>
      </c>
      <c r="C132" s="59" t="s">
        <v>6</v>
      </c>
      <c r="D132" s="59">
        <v>14</v>
      </c>
      <c r="E132" s="91" t="s">
        <v>413</v>
      </c>
    </row>
    <row r="133" spans="1:5">
      <c r="A133" s="21">
        <f t="shared" ref="A133:A220" si="3">A132+1</f>
        <v>132</v>
      </c>
      <c r="B133" s="85" t="str">
        <f ca="1">IFERROR(__xludf.DUMMYFUNCTION("GOOGLETRANSLATE(B3712:B3727,""RU"",""UK"")"),"Плашка М - 42х1,5")</f>
        <v>Плашка М - 42х1,5</v>
      </c>
      <c r="C133" s="59" t="s">
        <v>6</v>
      </c>
      <c r="D133" s="59">
        <v>22</v>
      </c>
      <c r="E133" s="91" t="s">
        <v>413</v>
      </c>
    </row>
    <row r="134" spans="1:5">
      <c r="A134" s="21">
        <f t="shared" si="3"/>
        <v>133</v>
      </c>
      <c r="B134" s="85" t="str">
        <f ca="1">IFERROR(__xludf.DUMMYFUNCTION("GOOGLETRANSLATE(B3713:B3728,""RU"",""UK"")"),"Плашка М - 42х2")</f>
        <v>Плашка М - 42х2</v>
      </c>
      <c r="C134" s="59" t="s">
        <v>6</v>
      </c>
      <c r="D134" s="59">
        <v>57</v>
      </c>
      <c r="E134" s="91" t="s">
        <v>413</v>
      </c>
    </row>
    <row r="135" spans="1:5">
      <c r="A135" s="21">
        <f t="shared" si="3"/>
        <v>134</v>
      </c>
      <c r="B135" s="85" t="str">
        <f ca="1">IFERROR(__xludf.DUMMYFUNCTION("GOOGLETRANSLATE(B3713:B3728,""RU"",""UK"")"),"Плашка М - 42х3")</f>
        <v>Плашка М - 42х3</v>
      </c>
      <c r="C135" s="59" t="s">
        <v>6</v>
      </c>
      <c r="D135" s="59">
        <v>12</v>
      </c>
      <c r="E135" s="91" t="s">
        <v>413</v>
      </c>
    </row>
    <row r="136" spans="1:5">
      <c r="A136" s="21">
        <f t="shared" si="3"/>
        <v>135</v>
      </c>
      <c r="B136" s="85" t="str">
        <f ca="1">IFERROR(__xludf.DUMMYFUNCTION("GOOGLETRANSLATE(B3714:B3729,""RU"",""UK"")"),"Плашка М - 45")</f>
        <v>Плашка М - 45</v>
      </c>
      <c r="C136" s="59" t="s">
        <v>6</v>
      </c>
      <c r="D136" s="59">
        <v>22</v>
      </c>
      <c r="E136" s="91" t="s">
        <v>53</v>
      </c>
    </row>
    <row r="137" spans="1:5">
      <c r="A137" s="21">
        <f t="shared" si="3"/>
        <v>136</v>
      </c>
      <c r="B137" s="85" t="str">
        <f ca="1">IFERROR(__xludf.DUMMYFUNCTION("GOOGLETRANSLATE(B3714:B3729,""RU"",""UK"")"),"Плашка М - 45х1")</f>
        <v>Плашка М - 45х1</v>
      </c>
      <c r="C137" s="59" t="s">
        <v>6</v>
      </c>
      <c r="D137" s="59">
        <v>1</v>
      </c>
      <c r="E137" s="91" t="s">
        <v>53</v>
      </c>
    </row>
    <row r="138" spans="1:5">
      <c r="A138" s="21">
        <f t="shared" si="3"/>
        <v>137</v>
      </c>
      <c r="B138" s="85" t="str">
        <f ca="1">IFERROR(__xludf.DUMMYFUNCTION("GOOGLETRANSLATE(B3714:B3729,""RU"",""UK"")"),"Плашка М - 45х1,5")</f>
        <v>Плашка М - 45х1,5</v>
      </c>
      <c r="C138" s="59" t="s">
        <v>6</v>
      </c>
      <c r="D138" s="59">
        <v>5</v>
      </c>
      <c r="E138" s="91" t="s">
        <v>53</v>
      </c>
    </row>
    <row r="139" spans="1:5">
      <c r="A139" s="21">
        <f t="shared" si="3"/>
        <v>138</v>
      </c>
      <c r="B139" s="200" t="str">
        <f ca="1">IFERROR(__xludf.DUMMYFUNCTION("GOOGLETRANSLATE(B3715:B3730,""RU"",""UK"")"),"Плашка М - 45х1.5лев")</f>
        <v>Плашка М - 45х1.5лев</v>
      </c>
      <c r="C139" s="59" t="s">
        <v>6</v>
      </c>
      <c r="D139" s="59">
        <v>0</v>
      </c>
      <c r="E139" s="91" t="s">
        <v>27</v>
      </c>
    </row>
    <row r="140" spans="1:5">
      <c r="A140" s="21">
        <f t="shared" si="3"/>
        <v>139</v>
      </c>
      <c r="B140" s="85" t="str">
        <f ca="1">IFERROR(__xludf.DUMMYFUNCTION("GOOGLETRANSLATE(B3716:B3731,""RU"",""UK"")"),"Плашка М - 45х2")</f>
        <v>Плашка М - 45х2</v>
      </c>
      <c r="C140" s="59" t="s">
        <v>6</v>
      </c>
      <c r="D140" s="59">
        <v>29</v>
      </c>
      <c r="E140" s="91" t="s">
        <v>53</v>
      </c>
    </row>
    <row r="141" spans="1:5">
      <c r="A141" s="21">
        <f t="shared" si="3"/>
        <v>140</v>
      </c>
      <c r="B141" s="85" t="str">
        <f ca="1">IFERROR(__xludf.DUMMYFUNCTION("GOOGLETRANSLATE(B3716:B3731,""RU"",""UK"")"),"Плашка М - 45х3")</f>
        <v>Плашка М - 45х3</v>
      </c>
      <c r="C141" s="59" t="s">
        <v>6</v>
      </c>
      <c r="D141" s="59">
        <v>27</v>
      </c>
      <c r="E141" s="91" t="s">
        <v>53</v>
      </c>
    </row>
    <row r="142" spans="1:5">
      <c r="A142" s="21">
        <f t="shared" si="3"/>
        <v>141</v>
      </c>
      <c r="B142" s="85" t="str">
        <f ca="1">IFERROR(__xludf.DUMMYFUNCTION("GOOGLETRANSLATE(B3716:B3731,""RU"",""UK"")"),"Плашка М - 45х4")</f>
        <v>Плашка М - 45х4</v>
      </c>
      <c r="C142" s="59" t="s">
        <v>6</v>
      </c>
      <c r="D142" s="59">
        <v>8</v>
      </c>
      <c r="E142" s="91" t="s">
        <v>53</v>
      </c>
    </row>
    <row r="143" spans="1:5">
      <c r="A143" s="21">
        <f t="shared" si="3"/>
        <v>142</v>
      </c>
      <c r="B143" s="85" t="str">
        <f ca="1">IFERROR(__xludf.DUMMYFUNCTION("GOOGLETRANSLATE(B3717:B3732,""RU"",""UK"")"),"Плашка М - 48")</f>
        <v>Плашка М - 48</v>
      </c>
      <c r="C143" s="59" t="s">
        <v>6</v>
      </c>
      <c r="D143" s="59">
        <v>28</v>
      </c>
      <c r="E143" s="91" t="s">
        <v>36</v>
      </c>
    </row>
    <row r="144" spans="1:5">
      <c r="A144" s="21">
        <f t="shared" si="3"/>
        <v>143</v>
      </c>
      <c r="B144" s="85" t="str">
        <f ca="1">IFERROR(__xludf.DUMMYFUNCTION("GOOGLETRANSLATE(B3717:B3732,""RU"",""UK"")"),"Плашка М - 48х1")</f>
        <v>Плашка М - 48х1</v>
      </c>
      <c r="C144" s="59" t="s">
        <v>6</v>
      </c>
      <c r="D144" s="59">
        <v>17</v>
      </c>
      <c r="E144" s="91" t="s">
        <v>36</v>
      </c>
    </row>
    <row r="145" spans="1:5">
      <c r="A145" s="21">
        <f t="shared" si="3"/>
        <v>144</v>
      </c>
      <c r="B145" s="85" t="str">
        <f ca="1">IFERROR(__xludf.DUMMYFUNCTION("GOOGLETRANSLATE(B3717:B3732,""RU"",""UK"")"),"Плашка М - 48х1,5")</f>
        <v>Плашка М - 48х1,5</v>
      </c>
      <c r="C145" s="59" t="s">
        <v>6</v>
      </c>
      <c r="D145" s="59">
        <v>25</v>
      </c>
      <c r="E145" s="91" t="s">
        <v>36</v>
      </c>
    </row>
    <row r="146" spans="1:5">
      <c r="A146" s="21">
        <f t="shared" si="3"/>
        <v>145</v>
      </c>
      <c r="B146" s="85" t="str">
        <f ca="1">IFERROR(__xludf.DUMMYFUNCTION("GOOGLETRANSLATE(B3718:B3733,""RU"",""UK"")"),"Плашка М - 48х2")</f>
        <v>Плашка М - 48х2</v>
      </c>
      <c r="C146" s="59" t="s">
        <v>6</v>
      </c>
      <c r="D146" s="59">
        <v>52</v>
      </c>
      <c r="E146" s="91" t="s">
        <v>36</v>
      </c>
    </row>
    <row r="147" spans="1:5">
      <c r="A147" s="21">
        <f t="shared" si="3"/>
        <v>146</v>
      </c>
      <c r="B147" s="85" t="str">
        <f ca="1">IFERROR(__xludf.DUMMYFUNCTION("GOOGLETRANSLATE(B3718:B3733,""RU"",""UK"")"),"Плашка М - 48х3")</f>
        <v>Плашка М - 48х3</v>
      </c>
      <c r="C147" s="59" t="s">
        <v>6</v>
      </c>
      <c r="D147" s="59">
        <v>34</v>
      </c>
      <c r="E147" s="91" t="s">
        <v>36</v>
      </c>
    </row>
    <row r="148" spans="1:5">
      <c r="A148" s="21">
        <f t="shared" si="3"/>
        <v>147</v>
      </c>
      <c r="B148" s="85" t="str">
        <f ca="1">IFERROR(__xludf.DUMMYFUNCTION("GOOGLETRANSLATE(B3718:B3733,""RU"",""UK"")"),"Плашка М - 48х4")</f>
        <v>Плашка М - 48х4</v>
      </c>
      <c r="C148" s="59" t="s">
        <v>6</v>
      </c>
      <c r="D148" s="59">
        <v>5</v>
      </c>
      <c r="E148" s="91" t="s">
        <v>36</v>
      </c>
    </row>
    <row r="149" spans="1:5">
      <c r="A149" s="21">
        <f t="shared" si="3"/>
        <v>148</v>
      </c>
      <c r="B149" s="164" t="str">
        <f ca="1">IFERROR(__xludf.DUMMYFUNCTION("GOOGLETRANSLATE(B3719:B3734,""RU"",""UK"")"),"Плашка М - 50х1,5")</f>
        <v>Плашка М - 50х1,5</v>
      </c>
      <c r="C149" s="59" t="s">
        <v>6</v>
      </c>
      <c r="D149" s="59">
        <v>0</v>
      </c>
      <c r="E149" s="91" t="s">
        <v>80</v>
      </c>
    </row>
    <row r="150" spans="1:5">
      <c r="A150" s="21">
        <f t="shared" si="3"/>
        <v>149</v>
      </c>
      <c r="B150" s="85" t="str">
        <f ca="1">IFERROR(__xludf.DUMMYFUNCTION("GOOGLETRANSLATE(B3719:B3734,""RU"",""UK"")"),"Плашка М - 50х2")</f>
        <v>Плашка М - 50х2</v>
      </c>
      <c r="C150" s="59" t="s">
        <v>6</v>
      </c>
      <c r="D150" s="59">
        <v>6</v>
      </c>
      <c r="E150" s="91">
        <v>870</v>
      </c>
    </row>
    <row r="151" spans="1:5">
      <c r="A151" s="21">
        <f t="shared" si="3"/>
        <v>150</v>
      </c>
      <c r="B151" s="85" t="str">
        <f ca="1">IFERROR(__xludf.DUMMYFUNCTION("GOOGLETRANSLATE(B3719:B3734,""RU"",""UK"")"),"Плашка М - 50х3")</f>
        <v>Плашка М - 50х3</v>
      </c>
      <c r="C151" s="59" t="s">
        <v>6</v>
      </c>
      <c r="D151" s="59">
        <v>8</v>
      </c>
      <c r="E151" s="91">
        <v>870</v>
      </c>
    </row>
    <row r="152" spans="1:5">
      <c r="A152" s="21">
        <f t="shared" si="3"/>
        <v>151</v>
      </c>
      <c r="B152" s="85" t="str">
        <f ca="1">IFERROR(__xludf.DUMMYFUNCTION("GOOGLETRANSLATE(B3720:B3735,""RU"",""UK"")"),"Плашка М - 52")</f>
        <v>Плашка М - 52</v>
      </c>
      <c r="C152" s="59" t="s">
        <v>6</v>
      </c>
      <c r="D152" s="160">
        <v>31</v>
      </c>
      <c r="E152" s="91" t="s">
        <v>1874</v>
      </c>
    </row>
    <row r="153" spans="1:5">
      <c r="A153" s="21">
        <f t="shared" si="3"/>
        <v>152</v>
      </c>
      <c r="B153" s="85" t="str">
        <f ca="1">IFERROR(__xludf.DUMMYFUNCTION("GOOGLETRANSLATE(B3720:B3735,""RU"",""UK"")"),"Плашка М - 52х1")</f>
        <v>Плашка М - 52х1</v>
      </c>
      <c r="C153" s="59" t="s">
        <v>6</v>
      </c>
      <c r="D153" s="160">
        <v>3</v>
      </c>
      <c r="E153" s="91" t="s">
        <v>1874</v>
      </c>
    </row>
    <row r="154" spans="1:5">
      <c r="A154" s="21">
        <f t="shared" si="3"/>
        <v>153</v>
      </c>
      <c r="B154" s="85" t="str">
        <f ca="1">IFERROR(__xludf.DUMMYFUNCTION("GOOGLETRANSLATE(B3721:B3736,""RU"",""UK"")"),"Плашка М - 52х1, 5")</f>
        <v>Плашка М - 52х1, 5</v>
      </c>
      <c r="C154" s="59" t="s">
        <v>6</v>
      </c>
      <c r="D154" s="59">
        <v>3</v>
      </c>
      <c r="E154" s="91" t="s">
        <v>1874</v>
      </c>
    </row>
    <row r="155" spans="1:5">
      <c r="A155" s="21">
        <f t="shared" si="3"/>
        <v>154</v>
      </c>
      <c r="B155" s="85" t="str">
        <f ca="1">IFERROR(__xludf.DUMMYFUNCTION("GOOGLETRANSLATE(B3721:B3736,""RU"",""UK"")"),"Плашка М - 52х2")</f>
        <v>Плашка М - 52х2</v>
      </c>
      <c r="C155" s="59" t="s">
        <v>6</v>
      </c>
      <c r="D155" s="59">
        <v>16</v>
      </c>
      <c r="E155" s="91" t="s">
        <v>1874</v>
      </c>
    </row>
    <row r="156" spans="1:5">
      <c r="A156" s="21">
        <f t="shared" si="3"/>
        <v>155</v>
      </c>
      <c r="B156" s="85" t="str">
        <f ca="1">IFERROR(__xludf.DUMMYFUNCTION("GOOGLETRANSLATE(B3722:B3737,""RU"",""UK"")"),"Плашка М - 52х3")</f>
        <v>Плашка М - 52х3</v>
      </c>
      <c r="C156" s="59" t="s">
        <v>6</v>
      </c>
      <c r="D156" s="59">
        <v>30</v>
      </c>
      <c r="E156" s="91" t="s">
        <v>1874</v>
      </c>
    </row>
    <row r="157" spans="1:5">
      <c r="A157" s="21">
        <f t="shared" si="3"/>
        <v>156</v>
      </c>
      <c r="B157" s="85" t="str">
        <f ca="1">IFERROR(__xludf.DUMMYFUNCTION("GOOGLETRANSLATE(B3722:B3737,""RU"",""UK"")"),"Плашка М - 52х4")</f>
        <v>Плашка М - 52х4</v>
      </c>
      <c r="C157" s="59" t="s">
        <v>6</v>
      </c>
      <c r="D157" s="59">
        <v>1</v>
      </c>
      <c r="E157" s="91" t="s">
        <v>1874</v>
      </c>
    </row>
    <row r="158" spans="1:5">
      <c r="A158" s="21">
        <f t="shared" si="3"/>
        <v>157</v>
      </c>
      <c r="B158" s="85" t="str">
        <f ca="1">IFERROR(__xludf.DUMMYFUNCTION("GOOGLETRANSLATE(B3723:B3738,""RU"",""UK"")"),"Плашка М - 64х3")</f>
        <v>Плашка М - 64х3</v>
      </c>
      <c r="C158" s="59" t="s">
        <v>6</v>
      </c>
      <c r="D158" s="59">
        <v>1</v>
      </c>
      <c r="E158" s="91" t="s">
        <v>2834</v>
      </c>
    </row>
    <row r="159" spans="1:5">
      <c r="A159" s="21">
        <f t="shared" si="3"/>
        <v>158</v>
      </c>
      <c r="B159" s="200" t="str">
        <f ca="1">IFERROR(__xludf.DUMMYFUNCTION("GOOGLETRANSLATE(B3723:B3738,""RU"",""UK"")"),"Плашка М - 68х1,5")</f>
        <v>Плашка М - 68х1,5</v>
      </c>
      <c r="C159" s="59" t="s">
        <v>6</v>
      </c>
      <c r="D159" s="59">
        <v>0</v>
      </c>
      <c r="E159" s="91" t="s">
        <v>2834</v>
      </c>
    </row>
    <row r="160" spans="1:5">
      <c r="A160" s="21">
        <f t="shared" si="3"/>
        <v>159</v>
      </c>
      <c r="B160" s="85" t="str">
        <f ca="1">IFERROR(__xludf.DUMMYFUNCTION("GOOGLETRANSLATE(B3724:B3739,""RU"",""UK"")"),"Плашка Тр. (G) 1/8""")</f>
        <v>Плашка Тр. (G) 1/8"</v>
      </c>
      <c r="C160" s="59" t="s">
        <v>6</v>
      </c>
      <c r="D160" s="59">
        <v>59</v>
      </c>
      <c r="E160" s="91" t="s">
        <v>119</v>
      </c>
    </row>
    <row r="161" spans="1:5">
      <c r="A161" s="21">
        <f t="shared" si="3"/>
        <v>160</v>
      </c>
      <c r="B161" s="85" t="str">
        <f ca="1">IFERROR(__xludf.DUMMYFUNCTION("GOOGLETRANSLATE(B3724:B3739,""RU"",""UK"")"),"Плашка Тр. (G) 1/4""")</f>
        <v>Плашка Тр. (G) 1/4"</v>
      </c>
      <c r="C161" s="59" t="s">
        <v>6</v>
      </c>
      <c r="D161" s="59">
        <v>12</v>
      </c>
      <c r="E161" s="91">
        <v>192</v>
      </c>
    </row>
    <row r="162" spans="1:5">
      <c r="A162" s="21">
        <f t="shared" si="3"/>
        <v>161</v>
      </c>
      <c r="B162" s="85" t="str">
        <f ca="1">IFERROR(__xludf.DUMMYFUNCTION("GOOGLETRANSLATE(B3725:B3740,""RU"",""UK"")"),"Плашка Тр. (G) 1/2""")</f>
        <v>Плашка Тр. (G) 1/2"</v>
      </c>
      <c r="C162" s="59" t="s">
        <v>6</v>
      </c>
      <c r="D162" s="59">
        <v>9</v>
      </c>
      <c r="E162" s="91" t="s">
        <v>327</v>
      </c>
    </row>
    <row r="163" spans="1:5">
      <c r="A163" s="21">
        <f t="shared" si="3"/>
        <v>162</v>
      </c>
      <c r="B163" s="85" t="str">
        <f ca="1">IFERROR(__xludf.DUMMYFUNCTION("GOOGLETRANSLATE(B3726:B3741,""RU"",""UK"")"),"Плашка Тр. (G) 3/8""")</f>
        <v>Плашка Тр. (G) 3/8"</v>
      </c>
      <c r="C163" s="59" t="s">
        <v>6</v>
      </c>
      <c r="D163" s="59">
        <v>86</v>
      </c>
      <c r="E163" s="91">
        <v>240</v>
      </c>
    </row>
    <row r="164" spans="1:5">
      <c r="A164" s="21">
        <f t="shared" si="3"/>
        <v>163</v>
      </c>
      <c r="B164" s="85" t="str">
        <f ca="1">IFERROR(__xludf.DUMMYFUNCTION("GOOGLETRANSLATE(B3727:B3742,""RU"",""UK"")"),"Плашка Тр. (G) 3/4""")</f>
        <v>Плашка Тр. (G) 3/4"</v>
      </c>
      <c r="C164" s="59" t="s">
        <v>6</v>
      </c>
      <c r="D164" s="59">
        <v>36</v>
      </c>
      <c r="E164" s="91" t="s">
        <v>20</v>
      </c>
    </row>
    <row r="165" spans="1:5">
      <c r="A165" s="21">
        <f t="shared" si="3"/>
        <v>164</v>
      </c>
      <c r="B165" s="85" t="str">
        <f ca="1">IFERROR(__xludf.DUMMYFUNCTION("GOOGLETRANSLATE(B3726:B3741,""RU"",""UK"")"),"Плашка Тр. (G) 5/8""")</f>
        <v>Плашка Тр. (G) 5/8"</v>
      </c>
      <c r="C165" s="59" t="s">
        <v>6</v>
      </c>
      <c r="D165" s="59">
        <v>69</v>
      </c>
      <c r="E165" s="91">
        <v>270</v>
      </c>
    </row>
    <row r="166" spans="1:5">
      <c r="A166" s="21">
        <f t="shared" si="3"/>
        <v>165</v>
      </c>
      <c r="B166" s="85" t="str">
        <f ca="1">IFERROR(__xludf.DUMMYFUNCTION("GOOGLETRANSLATE(B3728:B3743,""RU"",""UK"")"),"Плашка Тр. (G) 7/8""")</f>
        <v>Плашка Тр. (G) 7/8"</v>
      </c>
      <c r="C166" s="59" t="s">
        <v>6</v>
      </c>
      <c r="D166" s="160">
        <v>13</v>
      </c>
      <c r="E166" s="91" t="s">
        <v>162</v>
      </c>
    </row>
    <row r="167" spans="1:5">
      <c r="A167" s="21">
        <f t="shared" si="3"/>
        <v>166</v>
      </c>
      <c r="B167" s="85" t="str">
        <f ca="1">IFERROR(__xludf.DUMMYFUNCTION("GOOGLETRANSLATE(B3728:B3743,""RU"",""UK"")"),"Плашка Тр. (G) 1""")</f>
        <v>Плашка Тр. (G) 1"</v>
      </c>
      <c r="C167" s="59" t="s">
        <v>6</v>
      </c>
      <c r="D167" s="160">
        <v>4</v>
      </c>
      <c r="E167" s="91" t="s">
        <v>162</v>
      </c>
    </row>
    <row r="168" spans="1:5">
      <c r="A168" s="21">
        <f t="shared" si="3"/>
        <v>167</v>
      </c>
      <c r="B168" s="85" t="str">
        <f ca="1">IFERROR(__xludf.DUMMYFUNCTION("GOOGLETRANSLATE(B3729:B3744,""RU"",""UK"")"),"Плашка Тр. (G) 1 1/4""")</f>
        <v>Плашка Тр. (G) 1 1/4"</v>
      </c>
      <c r="C168" s="59" t="s">
        <v>6</v>
      </c>
      <c r="D168" s="59">
        <v>20</v>
      </c>
      <c r="E168" s="91" t="s">
        <v>106</v>
      </c>
    </row>
    <row r="169" spans="1:5">
      <c r="A169" s="21">
        <f t="shared" si="3"/>
        <v>168</v>
      </c>
      <c r="B169" s="85" t="str">
        <f ca="1">IFERROR(__xludf.DUMMYFUNCTION("GOOGLETRANSLATE(B3730:B3745,""RU"",""UK"")"),"Плашка Тр. (G) 1 3/8""")</f>
        <v>Плашка Тр. (G) 1 3/8"</v>
      </c>
      <c r="C169" s="59" t="s">
        <v>6</v>
      </c>
      <c r="D169" s="59">
        <v>38</v>
      </c>
      <c r="E169" s="91" t="s">
        <v>106</v>
      </c>
    </row>
    <row r="170" spans="1:5">
      <c r="A170" s="21">
        <f t="shared" si="3"/>
        <v>169</v>
      </c>
      <c r="B170" s="85" t="str">
        <f ca="1">IFERROR(__xludf.DUMMYFUNCTION("GOOGLETRANSLATE(B3730:B3745,""RU"",""UK"")"),"Плашка Тр. (G) 1 1/8""")</f>
        <v>Плашка Тр. (G) 1 1/8"</v>
      </c>
      <c r="C170" s="59" t="s">
        <v>6</v>
      </c>
      <c r="D170" s="59">
        <v>12</v>
      </c>
      <c r="E170" s="91" t="s">
        <v>106</v>
      </c>
    </row>
    <row r="171" spans="1:5">
      <c r="A171" s="21">
        <f t="shared" si="3"/>
        <v>170</v>
      </c>
      <c r="B171" s="85" t="str">
        <f ca="1">IFERROR(__xludf.DUMMYFUNCTION("GOOGLETRANSLATE(B3731:B3746,""RU"",""UK"")"),"Плашка Тр. (G) 1 1/2""")</f>
        <v>Плашка Тр. (G) 1 1/2"</v>
      </c>
      <c r="C171" s="59" t="s">
        <v>6</v>
      </c>
      <c r="D171" s="59">
        <v>125</v>
      </c>
      <c r="E171" s="91" t="s">
        <v>16</v>
      </c>
    </row>
    <row r="172" spans="1:5">
      <c r="A172" s="21">
        <f t="shared" si="3"/>
        <v>171</v>
      </c>
      <c r="B172" s="85" t="str">
        <f ca="1">IFERROR(__xludf.DUMMYFUNCTION("GOOGLETRANSLATE(B3732:B3747,""RU"",""UK"")"),"Плашка Тр. (G) 2""")</f>
        <v>Плашка Тр. (G) 2"</v>
      </c>
      <c r="C172" s="59" t="s">
        <v>6</v>
      </c>
      <c r="D172" s="59">
        <v>1</v>
      </c>
      <c r="E172" s="91">
        <v>990</v>
      </c>
    </row>
    <row r="173" spans="1:5">
      <c r="A173" s="21">
        <f t="shared" si="3"/>
        <v>172</v>
      </c>
      <c r="B173" s="85" t="str">
        <f ca="1">IFERROR(__xludf.DUMMYFUNCTION("GOOGLETRANSLATE(B3733:B3748,""RU"",""UK"")"),"Плашка Тр.К (R) 1/8""")</f>
        <v>Плашка Тр.К (R) 1/8"</v>
      </c>
      <c r="C173" s="59" t="s">
        <v>6</v>
      </c>
      <c r="D173" s="59">
        <v>10</v>
      </c>
      <c r="E173" s="91" t="s">
        <v>119</v>
      </c>
    </row>
    <row r="174" spans="1:5">
      <c r="A174" s="21">
        <f t="shared" si="3"/>
        <v>173</v>
      </c>
      <c r="B174" s="85" t="str">
        <f ca="1">IFERROR(__xludf.DUMMYFUNCTION("GOOGLETRANSLATE(B3734:B3749,""RU"",""UK"")"),"Плашка Тр.К (R) 1/4""")</f>
        <v>Плашка Тр.К (R) 1/4"</v>
      </c>
      <c r="C174" s="59" t="s">
        <v>6</v>
      </c>
      <c r="D174" s="59">
        <v>25</v>
      </c>
      <c r="E174" s="91" t="s">
        <v>119</v>
      </c>
    </row>
    <row r="175" spans="1:5">
      <c r="A175" s="21">
        <f t="shared" si="3"/>
        <v>174</v>
      </c>
      <c r="B175" s="164" t="str">
        <f ca="1">IFERROR(__xludf.DUMMYFUNCTION("GOOGLETRANSLATE(B3735:B3750,""RU"",""UK"")"),"Плашка Тр.К (R) 1/2""")</f>
        <v>Плашка Тр.К (R) 1/2"</v>
      </c>
      <c r="C175" s="59" t="s">
        <v>6</v>
      </c>
      <c r="D175" s="59">
        <v>4</v>
      </c>
      <c r="E175" s="91" t="s">
        <v>327</v>
      </c>
    </row>
    <row r="176" spans="1:5">
      <c r="A176" s="21">
        <f t="shared" si="3"/>
        <v>175</v>
      </c>
      <c r="B176" s="85" t="str">
        <f ca="1">IFERROR(__xludf.DUMMYFUNCTION("GOOGLETRANSLATE(B3736:B3751,""RU"",""UK"")"),"Плашка Тр.К (R) 3/8""")</f>
        <v>Плашка Тр.К (R) 3/8"</v>
      </c>
      <c r="C176" s="59" t="s">
        <v>6</v>
      </c>
      <c r="D176" s="59">
        <v>17</v>
      </c>
      <c r="E176" s="91" t="s">
        <v>140</v>
      </c>
    </row>
    <row r="177" spans="1:5">
      <c r="A177" s="21">
        <f t="shared" si="3"/>
        <v>176</v>
      </c>
      <c r="B177" s="85" t="str">
        <f ca="1">IFERROR(__xludf.DUMMYFUNCTION("GOOGLETRANSLATE(B3737:B3752,""RU"",""UK"")"),"Плашка Тр.К (R) 3/4""")</f>
        <v>Плашка Тр.К (R) 3/4"</v>
      </c>
      <c r="C177" s="59" t="s">
        <v>6</v>
      </c>
      <c r="D177" s="59">
        <v>11</v>
      </c>
      <c r="E177" s="91" t="s">
        <v>140</v>
      </c>
    </row>
    <row r="178" spans="1:5">
      <c r="A178" s="21">
        <f t="shared" si="3"/>
        <v>177</v>
      </c>
      <c r="B178" s="85" t="str">
        <f ca="1">IFERROR(__xludf.DUMMYFUNCTION("GOOGLETRANSLATE(B3738:B3753,""RU"",""UK"")"),"Плашка Тр.К (R) 1""")</f>
        <v>Плашка Тр.К (R) 1"</v>
      </c>
      <c r="C178" s="59" t="s">
        <v>6</v>
      </c>
      <c r="D178" s="59">
        <v>10</v>
      </c>
      <c r="E178" s="91" t="s">
        <v>20</v>
      </c>
    </row>
    <row r="179" spans="1:5">
      <c r="A179" s="21">
        <f t="shared" si="3"/>
        <v>178</v>
      </c>
      <c r="B179" s="164" t="str">
        <f ca="1">IFERROR(__xludf.DUMMYFUNCTION("GOOGLETRANSLATE(B3729:B3744,""RU"",""UK"")"),"Плашка Тр.К (R) 1 1/4""")</f>
        <v>Плашка Тр.К (R) 1 1/4"</v>
      </c>
      <c r="C179" s="59" t="s">
        <v>6</v>
      </c>
      <c r="D179" s="59">
        <v>2</v>
      </c>
      <c r="E179" s="91" t="s">
        <v>106</v>
      </c>
    </row>
    <row r="180" spans="1:5">
      <c r="A180" s="21">
        <f t="shared" si="3"/>
        <v>179</v>
      </c>
      <c r="B180" s="85" t="str">
        <f ca="1">IFERROR(__xludf.DUMMYFUNCTION("GOOGLETRANSLATE(B3731:B3746,""RU"",""UK"")"),"Плашка Тр.К (R) 1 1/2""")</f>
        <v>Плашка Тр.К (R) 1 1/2"</v>
      </c>
      <c r="C180" s="59" t="s">
        <v>6</v>
      </c>
      <c r="D180" s="59">
        <v>4</v>
      </c>
      <c r="E180" s="91" t="s">
        <v>16</v>
      </c>
    </row>
    <row r="181" spans="1:5">
      <c r="A181" s="21">
        <f t="shared" si="3"/>
        <v>180</v>
      </c>
      <c r="B181" s="85" t="str">
        <f ca="1">IFERROR(__xludf.DUMMYFUNCTION("GOOGLETRANSLATE(B3740:B3755,""RU"",""UK"")"),"Плашка Тр.К (R) 2""")</f>
        <v>Плашка Тр.К (R) 2"</v>
      </c>
      <c r="C181" s="59" t="s">
        <v>6</v>
      </c>
      <c r="D181" s="59">
        <v>3</v>
      </c>
      <c r="E181" s="91" t="s">
        <v>36</v>
      </c>
    </row>
    <row r="182" spans="1:5">
      <c r="A182" s="21">
        <f>A181+1</f>
        <v>181</v>
      </c>
      <c r="B182" s="85" t="str">
        <f ca="1">IFERROR(__xludf.DUMMYFUNCTION("GOOGLETRANSLATE(B3734:B3749,""RU"",""UK"")"),"Плашка К 1/4""")</f>
        <v>Плашка К 1/4"</v>
      </c>
      <c r="C182" s="59" t="s">
        <v>6</v>
      </c>
      <c r="D182" s="59">
        <v>11</v>
      </c>
      <c r="E182" s="91" t="s">
        <v>119</v>
      </c>
    </row>
    <row r="183" spans="1:5">
      <c r="A183" s="21">
        <f t="shared" si="3"/>
        <v>182</v>
      </c>
      <c r="B183" s="85" t="str">
        <f ca="1">IFERROR(__xludf.DUMMYFUNCTION("GOOGLETRANSLATE(B3733:B3748,""RU"",""UK"")"),"Плашка К 1/8"" ")</f>
        <v xml:space="preserve">Плашка К 1/8" </v>
      </c>
      <c r="C183" s="59" t="s">
        <v>6</v>
      </c>
      <c r="D183" s="59">
        <v>14</v>
      </c>
      <c r="E183" s="91" t="s">
        <v>119</v>
      </c>
    </row>
    <row r="184" spans="1:5">
      <c r="A184" s="21">
        <f t="shared" si="3"/>
        <v>183</v>
      </c>
      <c r="B184" s="85" t="str">
        <f ca="1">IFERROR(__xludf.DUMMYFUNCTION("GOOGLETRANSLATE(B3735:B3750,""RU"",""UK"")"),"Плашка К 1/2""")</f>
        <v>Плашка К 1/2"</v>
      </c>
      <c r="C184" s="59" t="s">
        <v>6</v>
      </c>
      <c r="D184" s="59">
        <v>38</v>
      </c>
      <c r="E184" s="91" t="s">
        <v>327</v>
      </c>
    </row>
    <row r="185" spans="1:5">
      <c r="A185" s="21">
        <f t="shared" si="3"/>
        <v>184</v>
      </c>
      <c r="B185" s="85" t="str">
        <f ca="1">IFERROR(__xludf.DUMMYFUNCTION("GOOGLETRANSLATE(B3736:B3751,""RU"",""UK"")"),"Плашка К 3/8""")</f>
        <v>Плашка К 3/8"</v>
      </c>
      <c r="C185" s="59" t="s">
        <v>6</v>
      </c>
      <c r="D185" s="59">
        <v>35</v>
      </c>
      <c r="E185" s="91" t="s">
        <v>140</v>
      </c>
    </row>
    <row r="186" spans="1:5">
      <c r="A186" s="21">
        <f t="shared" si="3"/>
        <v>185</v>
      </c>
      <c r="B186" s="85" t="str">
        <f ca="1">IFERROR(__xludf.DUMMYFUNCTION("GOOGLETRANSLATE(B3737:B3752,""RU"",""UK"")"),"Плашка К 3/4"" ")</f>
        <v xml:space="preserve">Плашка К 3/4" </v>
      </c>
      <c r="C186" s="59" t="s">
        <v>6</v>
      </c>
      <c r="D186" s="59">
        <v>16</v>
      </c>
      <c r="E186" s="91" t="s">
        <v>140</v>
      </c>
    </row>
    <row r="187" spans="1:5">
      <c r="A187" s="21">
        <f t="shared" si="3"/>
        <v>186</v>
      </c>
      <c r="B187" s="85" t="s">
        <v>6220</v>
      </c>
      <c r="C187" s="59" t="s">
        <v>6</v>
      </c>
      <c r="D187" s="59">
        <v>17</v>
      </c>
      <c r="E187" s="91" t="s">
        <v>20</v>
      </c>
    </row>
    <row r="188" spans="1:5">
      <c r="A188" s="21">
        <f t="shared" si="3"/>
        <v>187</v>
      </c>
      <c r="B188" s="85" t="str">
        <f ca="1">IFERROR(__xludf.DUMMYFUNCTION("GOOGLETRANSLATE(B3739:B3754,""RU"",""UK"")"),"Плашка К 1 1/4""")</f>
        <v>Плашка К 1 1/4"</v>
      </c>
      <c r="C188" s="59" t="s">
        <v>6</v>
      </c>
      <c r="D188" s="59">
        <v>15</v>
      </c>
      <c r="E188" s="91" t="s">
        <v>24</v>
      </c>
    </row>
    <row r="189" spans="1:5">
      <c r="A189" s="21">
        <f t="shared" si="3"/>
        <v>188</v>
      </c>
      <c r="B189" s="85" t="str">
        <f ca="1">IFERROR(__xludf.DUMMYFUNCTION("GOOGLETRANSLATE(B3739:B3754,""RU"",""UK"")"),"Плашка К 1 1/2""")</f>
        <v>Плашка К 1 1/2"</v>
      </c>
      <c r="C189" s="59" t="s">
        <v>6</v>
      </c>
      <c r="D189" s="59">
        <v>28</v>
      </c>
      <c r="E189" s="91" t="s">
        <v>24</v>
      </c>
    </row>
    <row r="190" spans="1:5">
      <c r="A190" s="21">
        <f t="shared" si="3"/>
        <v>189</v>
      </c>
      <c r="B190" s="85" t="str">
        <f ca="1">IFERROR(__xludf.DUMMYFUNCTION("GOOGLETRANSLATE(B3740:B3755,""RU"",""UK"")"),"Плашка К 2""")</f>
        <v>Плашка К 2"</v>
      </c>
      <c r="C190" s="59" t="s">
        <v>6</v>
      </c>
      <c r="D190" s="59">
        <v>15</v>
      </c>
      <c r="E190" s="91" t="s">
        <v>36</v>
      </c>
    </row>
    <row r="191" spans="1:5">
      <c r="A191" s="21">
        <f t="shared" si="3"/>
        <v>190</v>
      </c>
      <c r="B191" s="85" t="str">
        <f ca="1">IFERROR(__xludf.DUMMYFUNCTION("GOOGLETRANSLATE(B3741:B3756,""RU"",""UK"")"),"Плашка W (BSW -Британский стандарт Уитворта) 1/4"" (20ниток)")</f>
        <v>Плашка W (BSW -Британский стандарт Уитворта) 1/4" (20ниток)</v>
      </c>
      <c r="C191" s="59" t="s">
        <v>6</v>
      </c>
      <c r="D191" s="59">
        <v>6</v>
      </c>
      <c r="E191" s="91">
        <v>240</v>
      </c>
    </row>
    <row r="192" spans="1:5">
      <c r="A192" s="21">
        <f t="shared" si="3"/>
        <v>191</v>
      </c>
      <c r="B192" s="85" t="str">
        <f ca="1">IFERROR(__xludf.DUMMYFUNCTION("GOOGLETRANSLATE(B3741:B3756,""RU"",""UK"")"),"Плашка W 1/2"" (12ниток)")</f>
        <v>Плашка W 1/2" (12ниток)</v>
      </c>
      <c r="C192" s="59" t="s">
        <v>6</v>
      </c>
      <c r="D192" s="59">
        <v>15</v>
      </c>
      <c r="E192" s="91">
        <v>270</v>
      </c>
    </row>
    <row r="193" spans="1:5">
      <c r="A193" s="21">
        <f t="shared" si="3"/>
        <v>192</v>
      </c>
      <c r="B193" s="85" t="str">
        <f ca="1">IFERROR(__xludf.DUMMYFUNCTION("GOOGLETRANSLATE(B3742:B3757,""RU"",""UK"")"),"Плашка W 7/16"" (14ниток)")</f>
        <v>Плашка W 7/16" (14ниток)</v>
      </c>
      <c r="C193" s="59" t="s">
        <v>6</v>
      </c>
      <c r="D193" s="59">
        <v>15</v>
      </c>
      <c r="E193" s="91">
        <v>270</v>
      </c>
    </row>
    <row r="194" spans="1:5">
      <c r="A194" s="21">
        <f t="shared" si="3"/>
        <v>193</v>
      </c>
      <c r="B194" s="85" t="str">
        <f ca="1">IFERROR(__xludf.DUMMYFUNCTION("GOOGLETRANSLATE(B3742:B3757,""RU"",""UK"")"),"Плашка W 9/16"" (12ниток)")</f>
        <v>Плашка W 9/16" (12ниток)</v>
      </c>
      <c r="C194" s="59" t="s">
        <v>6</v>
      </c>
      <c r="D194" s="59">
        <v>26</v>
      </c>
      <c r="E194" s="91">
        <v>270</v>
      </c>
    </row>
    <row r="195" spans="1:5">
      <c r="A195" s="21">
        <f t="shared" si="3"/>
        <v>194</v>
      </c>
      <c r="B195" s="85" t="str">
        <f ca="1">IFERROR(__xludf.DUMMYFUNCTION("GOOGLETRANSLATE(B3743:B3758,""RU"",""UK"")"),"Плашка W 5/8"" (11ниток) ")</f>
        <v xml:space="preserve">Плашка W 5/8" (11ниток) </v>
      </c>
      <c r="C195" s="59" t="s">
        <v>6</v>
      </c>
      <c r="D195" s="160">
        <v>6</v>
      </c>
      <c r="E195" s="91">
        <v>300</v>
      </c>
    </row>
    <row r="196" spans="1:5">
      <c r="A196" s="21">
        <f t="shared" si="3"/>
        <v>195</v>
      </c>
      <c r="B196" s="85" t="str">
        <f ca="1">IFERROR(__xludf.DUMMYFUNCTION("GOOGLETRANSLATE(B3743:B3758,""RU"",""UK"")"),"Плашка W 3/8"" (16ниток)")</f>
        <v>Плашка W 3/8" (16ниток)</v>
      </c>
      <c r="C196" s="59" t="s">
        <v>6</v>
      </c>
      <c r="D196" s="160">
        <v>43</v>
      </c>
      <c r="E196" s="91">
        <v>330</v>
      </c>
    </row>
    <row r="197" spans="1:5">
      <c r="A197" s="21">
        <f t="shared" si="3"/>
        <v>196</v>
      </c>
      <c r="B197" s="85" t="str">
        <f ca="1">IFERROR(__xludf.DUMMYFUNCTION("GOOGLETRANSLATE(B3743:B3758,""RU"",""UK"")"),"Плашка W 3/8"" (24ниток)")</f>
        <v>Плашка W 3/8" (24ниток)</v>
      </c>
      <c r="C197" s="59" t="s">
        <v>6</v>
      </c>
      <c r="D197" s="160">
        <v>1</v>
      </c>
      <c r="E197" s="91">
        <v>330</v>
      </c>
    </row>
    <row r="198" spans="1:5">
      <c r="A198" s="21">
        <f t="shared" si="3"/>
        <v>197</v>
      </c>
      <c r="B198" s="85" t="str">
        <f ca="1">IFERROR(__xludf.DUMMYFUNCTION("GOOGLETRANSLATE(B3744:B3759,""RU"",""UK"")"),"Плашка W 3/4"" (10ниток)")</f>
        <v>Плашка W 3/4" (10ниток)</v>
      </c>
      <c r="C198" s="59" t="s">
        <v>6</v>
      </c>
      <c r="D198" s="59">
        <v>17</v>
      </c>
      <c r="E198" s="91">
        <v>330</v>
      </c>
    </row>
    <row r="199" spans="1:5">
      <c r="A199" s="21">
        <f>A196+1</f>
        <v>196</v>
      </c>
      <c r="B199" s="85" t="str">
        <f ca="1">IFERROR(__xludf.DUMMYFUNCTION("GOOGLETRANSLATE(B3744:B3759,""RU"",""UK"")"),"Плашка W 3/4"" (10ниток)лів.")</f>
        <v>Плашка W 3/4" (10ниток)лів.</v>
      </c>
      <c r="C199" s="59" t="s">
        <v>6</v>
      </c>
      <c r="D199" s="59">
        <v>1</v>
      </c>
      <c r="E199" s="91">
        <v>330</v>
      </c>
    </row>
    <row r="200" spans="1:5">
      <c r="A200" s="21">
        <f t="shared" ref="A200:A208" si="4">A198+1</f>
        <v>198</v>
      </c>
      <c r="B200" s="85" t="str">
        <f ca="1">IFERROR(__xludf.DUMMYFUNCTION("GOOGLETRANSLATE(B3745:B3760,""RU"",""UK"")"),"Плашка W 7/8"" (9ниток)")</f>
        <v>Плашка W 7/8" (9ниток)</v>
      </c>
      <c r="C200" s="59" t="s">
        <v>6</v>
      </c>
      <c r="D200" s="59">
        <v>17</v>
      </c>
      <c r="E200" s="91" t="s">
        <v>24</v>
      </c>
    </row>
    <row r="201" spans="1:5">
      <c r="A201" s="21">
        <f t="shared" si="4"/>
        <v>197</v>
      </c>
      <c r="B201" s="85" t="str">
        <f ca="1">IFERROR(__xludf.DUMMYFUNCTION("GOOGLETRANSLATE(B3745:B3760,""RU"",""UK"")"),"Плашка W 1"" (8ниток)")</f>
        <v>Плашка W 1" (8ниток)</v>
      </c>
      <c r="C201" s="59" t="s">
        <v>6</v>
      </c>
      <c r="D201" s="59">
        <v>26</v>
      </c>
      <c r="E201" s="91" t="s">
        <v>24</v>
      </c>
    </row>
    <row r="202" spans="1:5">
      <c r="A202" s="21">
        <f t="shared" si="4"/>
        <v>199</v>
      </c>
      <c r="B202" s="85" t="str">
        <f ca="1">IFERROR(__xludf.DUMMYFUNCTION("GOOGLETRANSLATE(B3746:B3761,""RU"",""UK"")"),"Плашка W 1 1/8"" (7ниток)")</f>
        <v>Плашка W 1 1/8" (7ниток)</v>
      </c>
      <c r="C202" s="59" t="s">
        <v>6</v>
      </c>
      <c r="D202" s="59">
        <v>5</v>
      </c>
      <c r="E202" s="91" t="s">
        <v>106</v>
      </c>
    </row>
    <row r="203" spans="1:5">
      <c r="A203" s="21">
        <f t="shared" si="4"/>
        <v>198</v>
      </c>
      <c r="B203" s="85" t="str">
        <f ca="1">IFERROR(__xludf.DUMMYFUNCTION("GOOGLETRANSLATE(B3746:B3761,""RU"",""UK"")"),"Плашка W 1 1/2"" (6ниток)")</f>
        <v>Плашка W 1 1/2" (6ниток)</v>
      </c>
      <c r="C203" s="59" t="s">
        <v>6</v>
      </c>
      <c r="D203" s="59">
        <v>10</v>
      </c>
      <c r="E203" s="91" t="s">
        <v>106</v>
      </c>
    </row>
    <row r="204" spans="1:5">
      <c r="A204" s="21">
        <f t="shared" si="4"/>
        <v>200</v>
      </c>
      <c r="B204" s="85" t="str">
        <f ca="1">IFERROR(__xludf.DUMMYFUNCTION("GOOGLETRANSLATE(B3747:B3762,""RU"",""UK"")"),"Плашка W 1 3/4"" (?ниток)")</f>
        <v>Плашка W 1 3/4" (?ниток)</v>
      </c>
      <c r="C204" s="59" t="s">
        <v>6</v>
      </c>
      <c r="D204" s="160">
        <v>3</v>
      </c>
      <c r="E204" s="91" t="s">
        <v>106</v>
      </c>
    </row>
    <row r="205" spans="1:5">
      <c r="A205" s="21">
        <f t="shared" si="4"/>
        <v>199</v>
      </c>
      <c r="B205" s="85" t="str">
        <f ca="1">IFERROR(__xludf.DUMMYFUNCTION("GOOGLETRANSLATE(B3747:B3762,""RU"",""UK"")"),"Плашка W 1 3/8"" (6ниток)")</f>
        <v>Плашка W 1 3/8" (6ниток)</v>
      </c>
      <c r="C205" s="59" t="s">
        <v>6</v>
      </c>
      <c r="D205" s="160">
        <v>4</v>
      </c>
      <c r="E205" s="91" t="s">
        <v>106</v>
      </c>
    </row>
    <row r="206" spans="1:5">
      <c r="A206" s="21">
        <f t="shared" si="4"/>
        <v>201</v>
      </c>
      <c r="B206" s="85" t="str">
        <f ca="1">IFERROR(__xludf.DUMMYFUNCTION("GOOGLETRANSLATE(B3748:B3763,""RU"",""UK"")"),"Плашка W 1 7/8"" (?ниток)")</f>
        <v>Плашка W 1 7/8" (?ниток)</v>
      </c>
      <c r="C206" s="59" t="s">
        <v>6</v>
      </c>
      <c r="D206" s="59">
        <v>1</v>
      </c>
      <c r="E206" s="91" t="s">
        <v>16</v>
      </c>
    </row>
    <row r="207" spans="1:5">
      <c r="A207" s="21">
        <f t="shared" si="4"/>
        <v>200</v>
      </c>
      <c r="B207" s="85" t="str">
        <f ca="1">IFERROR(__xludf.DUMMYFUNCTION("GOOGLETRANSLATE(B3748:B3763,""RU"",""UK"")"),"Плашка W 1 5/8"" (5ниток)")</f>
        <v>Плашка W 1 5/8" (5ниток)</v>
      </c>
      <c r="C207" s="59" t="s">
        <v>6</v>
      </c>
      <c r="D207" s="59">
        <v>2</v>
      </c>
      <c r="E207" s="91" t="s">
        <v>16</v>
      </c>
    </row>
    <row r="208" spans="1:5">
      <c r="A208" s="21">
        <f t="shared" si="4"/>
        <v>202</v>
      </c>
      <c r="B208" s="85" t="str">
        <f ca="1">IFERROR(__xludf.DUMMYFUNCTION("GOOGLETRANSLATE(B3749:B3764,""RU"",""UK"")"),"Плашка W 2"" (4,5 ниток)")</f>
        <v>Плашка W 2" (4,5 ниток)</v>
      </c>
      <c r="C208" s="59" t="s">
        <v>6</v>
      </c>
      <c r="D208" s="59">
        <v>7</v>
      </c>
      <c r="E208" s="91" t="s">
        <v>413</v>
      </c>
    </row>
    <row r="209" spans="1:5">
      <c r="A209" s="21">
        <f t="shared" si="3"/>
        <v>203</v>
      </c>
      <c r="B209" s="85" t="str">
        <f ca="1">IFERROR(__xludf.DUMMYFUNCTION("GOOGLETRANSLATE(B3750:B3765,""RU"",""UK"")"),"Клуп 1/2-2"" з набором плашок (6 компл)")</f>
        <v>Клуп 1/2-2" з набором плашок (6 компл)</v>
      </c>
      <c r="C209" s="59" t="s">
        <v>6</v>
      </c>
      <c r="D209" s="59">
        <v>1</v>
      </c>
      <c r="E209" s="91" t="s">
        <v>97</v>
      </c>
    </row>
    <row r="210" spans="1:5">
      <c r="A210" s="21">
        <f t="shared" si="3"/>
        <v>204</v>
      </c>
      <c r="B210" s="85" t="str">
        <f ca="1">IFERROR(__xludf.DUMMYFUNCTION("GOOGLETRANSLATE(B3751:B3766,""RU"",""UK"")"),"Клуп 1/2-2"" з набором плашок")</f>
        <v>Клуп 1/2-2" з набором плашок</v>
      </c>
      <c r="C210" s="59" t="s">
        <v>6</v>
      </c>
      <c r="D210" s="59">
        <v>2</v>
      </c>
      <c r="E210" s="91" t="s">
        <v>1897</v>
      </c>
    </row>
    <row r="211" spans="1:5">
      <c r="A211" s="21">
        <f t="shared" si="3"/>
        <v>205</v>
      </c>
      <c r="B211" s="85" t="str">
        <f ca="1">IFERROR(__xludf.DUMMYFUNCTION("GOOGLETRANSLATE(B3752:B3767,""RU"",""UK"")"),"Гребінка до різьбонарізної. Головкам 1.75 d39,59 (4шт - 1 компл)")</f>
        <v>Гребінка до різьбонарізної. Головкам 1.75 d39,59 (4шт - 1 компл)</v>
      </c>
      <c r="C211" s="59" t="s">
        <v>378</v>
      </c>
      <c r="D211" s="59">
        <v>1</v>
      </c>
      <c r="E211" s="91" t="s">
        <v>27</v>
      </c>
    </row>
    <row r="212" spans="1:5">
      <c r="A212" s="21">
        <f t="shared" si="3"/>
        <v>206</v>
      </c>
      <c r="B212" s="85" t="str">
        <f ca="1">IFERROR(__xludf.DUMMYFUNCTION("GOOGLETRANSLATE(B3753:B3768,""RU"",""UK"")"),"Гребінка до різьбонарізної. Головкам 1.0 d23 (4шт - 1 компл)")</f>
        <v>Гребінка до різьбонарізної. Головкам 1.0 d23 (4шт - 1 компл)</v>
      </c>
      <c r="C212" s="59" t="s">
        <v>378</v>
      </c>
      <c r="D212" s="59">
        <v>2</v>
      </c>
      <c r="E212" s="91" t="s">
        <v>413</v>
      </c>
    </row>
    <row r="213" spans="1:5">
      <c r="A213" s="21">
        <f t="shared" si="3"/>
        <v>207</v>
      </c>
      <c r="B213" s="85" t="str">
        <f ca="1">IFERROR(__xludf.DUMMYFUNCTION("GOOGLETRANSLATE(B3754:B3769,""RU"",""UK"")"),"Гребінка плоска різьблення крок 1,25 (к-кт 4шт) 9х20х100мм")</f>
        <v>Гребінка плоска різьблення крок 1,25 (к-кт 4шт) 9х20х100мм</v>
      </c>
      <c r="C213" s="59" t="s">
        <v>378</v>
      </c>
      <c r="D213" s="59">
        <v>2</v>
      </c>
      <c r="E213" s="91" t="s">
        <v>140</v>
      </c>
    </row>
    <row r="214" spans="1:5">
      <c r="A214" s="21">
        <f t="shared" si="3"/>
        <v>208</v>
      </c>
      <c r="B214" s="85" t="str">
        <f ca="1">IFERROR(__xludf.DUMMYFUNCTION("GOOGLETRANSLATE(B3754:B3769,""RU"",""UK"")"),"Гребінка плоска різьблення крок 1,75 (к-кт 4шт) 9х20х100мм")</f>
        <v>Гребінка плоска різьблення крок 1,75 (к-кт 4шт) 9х20х100мм</v>
      </c>
      <c r="C214" s="59" t="s">
        <v>378</v>
      </c>
      <c r="D214" s="59">
        <v>2</v>
      </c>
      <c r="E214" s="91" t="s">
        <v>140</v>
      </c>
    </row>
    <row r="215" spans="1:5">
      <c r="A215" s="21">
        <f t="shared" si="3"/>
        <v>209</v>
      </c>
      <c r="B215" s="85" t="str">
        <f ca="1">IFERROR(__xludf.DUMMYFUNCTION("GOOGLETRANSLATE(B3754:B3769,""RU"",""UK"")"),"Гребінка плоска різьблення крок 2,0 (к-кт 4шт) 9х20х100мм")</f>
        <v>Гребінка плоска різьблення крок 2,0 (к-кт 4шт) 9х20х100мм</v>
      </c>
      <c r="C215" s="59" t="s">
        <v>378</v>
      </c>
      <c r="D215" s="59">
        <v>1</v>
      </c>
      <c r="E215" s="91" t="s">
        <v>140</v>
      </c>
    </row>
    <row r="216" spans="1:5">
      <c r="A216" s="21">
        <f t="shared" si="3"/>
        <v>210</v>
      </c>
      <c r="B216" s="85" t="str">
        <f ca="1">IFERROR(__xludf.DUMMYFUNCTION("GOOGLETRANSLATE(B3755:B3770,""RU"",""UK"")"),"Гребінка плоска різьблення крок-11 ниток (к-кт 4шт) 9х20х100мм")</f>
        <v>Гребінка плоска різьблення крок-11 ниток (к-кт 4шт) 9х20х100мм</v>
      </c>
      <c r="C216" s="59" t="s">
        <v>378</v>
      </c>
      <c r="D216" s="59">
        <v>1</v>
      </c>
      <c r="E216" s="91" t="s">
        <v>140</v>
      </c>
    </row>
    <row r="217" spans="1:5">
      <c r="A217" s="21">
        <f t="shared" si="3"/>
        <v>211</v>
      </c>
      <c r="B217" s="85" t="str">
        <f ca="1">IFERROR(__xludf.DUMMYFUNCTION("GOOGLETRANSLATE(B3756:B3771,""RU"",""UK"")"),"Гребінка на клуп різьблення крок-1"" - 1 1/4""")</f>
        <v>Гребінка на клуп різьблення крок-1" - 1 1/4"</v>
      </c>
      <c r="C217" s="59" t="s">
        <v>378</v>
      </c>
      <c r="D217" s="59">
        <v>1</v>
      </c>
      <c r="E217" s="91" t="s">
        <v>119</v>
      </c>
    </row>
    <row r="218" spans="1:5">
      <c r="A218" s="21">
        <f t="shared" si="3"/>
        <v>212</v>
      </c>
      <c r="B218" s="85" t="str">
        <f ca="1">IFERROR(__xludf.DUMMYFUNCTION("GOOGLETRANSLATE(B3757:B3772,""RU"",""UK"")"),"Гребінка на клуп різьблення крок-1 1/2"" - 2""")</f>
        <v>Гребінка на клуп різьблення крок-1 1/2" - 2"</v>
      </c>
      <c r="C218" s="59" t="s">
        <v>378</v>
      </c>
      <c r="D218" s="59">
        <v>1</v>
      </c>
      <c r="E218" s="91" t="s">
        <v>319</v>
      </c>
    </row>
    <row r="219" spans="1:5">
      <c r="A219" s="21">
        <f t="shared" si="3"/>
        <v>213</v>
      </c>
      <c r="B219" s="85" t="str">
        <f ca="1">IFERROR(__xludf.DUMMYFUNCTION("GOOGLETRANSLATE(B3758:B3773,""RU"",""UK"")"),"Ролик різьбонакатний П4(4шт)-35 - 1,5 Фрезер")</f>
        <v>Ролик різьбонакатний П4(4шт)-35 - 1,5 Фрезер</v>
      </c>
      <c r="C219" s="59" t="s">
        <v>378</v>
      </c>
      <c r="D219" s="59">
        <v>1</v>
      </c>
      <c r="E219" s="91" t="s">
        <v>319</v>
      </c>
    </row>
    <row r="220" spans="1:5">
      <c r="A220" s="21">
        <f t="shared" si="3"/>
        <v>214</v>
      </c>
      <c r="B220" s="85" t="str">
        <f ca="1">IFERROR(__xludf.DUMMYFUNCTION("GOOGLETRANSLATE(B3759:B3774,""RU"",""UK"")"),"Ролик різьбонарізний ВНГН шаг 2.0 (d34х22мм шир.18мм)")</f>
        <v>Ролик різьбонарізний ВНГН шаг 2.0 (d34х22мм шир.18мм)</v>
      </c>
      <c r="C220" s="59" t="s">
        <v>378</v>
      </c>
      <c r="D220" s="59">
        <v>5</v>
      </c>
      <c r="E220" s="91">
        <v>850</v>
      </c>
    </row>
  </sheetData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4"/>
  <sheetViews>
    <sheetView zoomScale="220" zoomScaleNormal="220" workbookViewId="0">
      <selection activeCell="D7" sqref="D7"/>
    </sheetView>
  </sheetViews>
  <sheetFormatPr defaultRowHeight="12.75"/>
  <cols>
    <col min="2" max="2" width="64.85546875" customWidth="1"/>
  </cols>
  <sheetData>
    <row r="1" spans="1:5">
      <c r="A1" s="68"/>
      <c r="B1" s="119" t="s">
        <v>6088</v>
      </c>
      <c r="C1" s="69"/>
      <c r="D1" s="69"/>
      <c r="E1" s="106"/>
    </row>
    <row r="2" spans="1:5">
      <c r="A2" s="21">
        <v>1</v>
      </c>
      <c r="B2" s="47" t="str">
        <f ca="1">IFERROR(__xludf.DUMMYFUNCTION("GOOGLETRANSLATE(B2091:B2106,""RU"",""UK"")"),"Пластина твердосплавна 5гр. отв.6мм зі стружколомом 10114-110408 Т15К6")</f>
        <v>Пластина твердосплавна 5гр. отв.6мм зі стружколомом 10114-110408 Т15К6</v>
      </c>
      <c r="C2" s="59" t="s">
        <v>6</v>
      </c>
      <c r="D2" s="59">
        <v>75</v>
      </c>
      <c r="E2" s="91" t="s">
        <v>253</v>
      </c>
    </row>
    <row r="3" spans="1:5">
      <c r="A3" s="21">
        <v>2</v>
      </c>
      <c r="B3" s="47" t="str">
        <f ca="1">IFERROR(__xludf.DUMMYFUNCTION("GOOGLETRANSLATE(B2091:B2106,""RU"",""UK"")"),"Пластина твердосплавна 5гр. отв.6мм зі стружколомом 10114-110408 Т5К10")</f>
        <v>Пластина твердосплавна 5гр. отв.6мм зі стружколомом 10114-110408 Т5К10</v>
      </c>
      <c r="C3" s="59" t="s">
        <v>6</v>
      </c>
      <c r="D3" s="59">
        <v>5</v>
      </c>
      <c r="E3" s="91" t="s">
        <v>253</v>
      </c>
    </row>
    <row r="4" spans="1:5">
      <c r="A4" s="21">
        <v>3</v>
      </c>
      <c r="B4" s="47" t="str">
        <f ca="1">IFERROR(__xludf.DUMMYFUNCTION("GOOGLETRANSLATE(B2091:B2106,""RU"",""UK"")"),"Пластина твердосплавна 5гр. отв.6мм зі стружколомом 10114-110408 ВК8")</f>
        <v>Пластина твердосплавна 5гр. отв.6мм зі стружколомом 10114-110408 ВК8</v>
      </c>
      <c r="C4" s="59" t="s">
        <v>6</v>
      </c>
      <c r="D4" s="59">
        <v>578</v>
      </c>
      <c r="E4" s="91" t="s">
        <v>253</v>
      </c>
    </row>
    <row r="5" spans="1:5">
      <c r="A5" s="21">
        <v>4</v>
      </c>
      <c r="B5" s="85" t="str">
        <f ca="1">IFERROR(__xludf.DUMMYFUNCTION("GOOGLETRANSLATE(B2092:B2107,""RU"",""UK"")"),"Пластина тверда 5гр. отв.6мм гладкий. 10113-110408 ВК8")</f>
        <v>Пластина тверда 5гр. отв.6мм гладкий. 10113-110408 ВК8</v>
      </c>
      <c r="C5" s="59" t="s">
        <v>6</v>
      </c>
      <c r="D5" s="59">
        <v>8</v>
      </c>
      <c r="E5" s="91" t="s">
        <v>596</v>
      </c>
    </row>
    <row r="6" spans="1:5">
      <c r="A6" s="21">
        <v>5</v>
      </c>
      <c r="B6" s="169" t="str">
        <f ca="1">IFERROR(__xludf.DUMMYFUNCTION("GOOGLETRANSLATE(B2092:B2107,""RU"",""UK"")"),"Пластина тверда 5гр. отв.6мм гладкий. 10113-110408 Т5К10")</f>
        <v>Пластина тверда 5гр. отв.6мм гладкий. 10113-110408 Т5К10</v>
      </c>
      <c r="C6" s="59" t="s">
        <v>6</v>
      </c>
      <c r="D6" s="59">
        <v>35</v>
      </c>
      <c r="E6" s="91" t="s">
        <v>596</v>
      </c>
    </row>
    <row r="7" spans="1:5">
      <c r="A7" s="21">
        <v>6</v>
      </c>
      <c r="B7" s="85" t="str">
        <f ca="1">IFERROR(__xludf.DUMMYFUNCTION("GOOGLETRANSLATE(B2092:B2107,""RU"",""UK"")"),"Пластина тверда 5гр. отв.6мм гладкий. 10113-110408 Т15К6")</f>
        <v>Пластина тверда 5гр. отв.6мм гладкий. 10113-110408 Т15К6</v>
      </c>
      <c r="C7" s="59" t="s">
        <v>6</v>
      </c>
      <c r="D7" s="59">
        <v>37</v>
      </c>
      <c r="E7" s="91" t="s">
        <v>596</v>
      </c>
    </row>
    <row r="8" spans="1:5">
      <c r="A8" s="21">
        <v>7</v>
      </c>
      <c r="B8" s="85" t="str">
        <f ca="1">IFERROR(__xludf.DUMMYFUNCTION("GOOGLETRANSLATE(B2093:B2108,""RU"",""UK"")"),"Пластина твердосплавна 5гр. велика зі стружк. ВК8 КІБ 101114-130612")</f>
        <v>Пластина твердосплавна 5гр. велика зі стружк. ВК8 КІБ 101114-130612</v>
      </c>
      <c r="C8" s="59" t="s">
        <v>6</v>
      </c>
      <c r="D8" s="59">
        <v>20</v>
      </c>
      <c r="E8" s="91" t="s">
        <v>2842</v>
      </c>
    </row>
    <row r="9" spans="1:5">
      <c r="A9" s="21">
        <f t="shared" ref="A9:A80" si="0">A8+1</f>
        <v>8</v>
      </c>
      <c r="B9" s="85" t="str">
        <f ca="1">IFERROR(__xludf.DUMMYFUNCTION("GOOGLETRANSLATE(B2094:B2109,""RU"",""UK"")"),"Пластина тверда 5гр. отв.8мм гладкий. 10113-110412 Т15К6")</f>
        <v>Пластина тверда 5гр. отв.8мм гладкий. 10113-110412 Т15К6</v>
      </c>
      <c r="C9" s="59" t="s">
        <v>6</v>
      </c>
      <c r="D9" s="59">
        <v>30</v>
      </c>
      <c r="E9" s="91" t="s">
        <v>2842</v>
      </c>
    </row>
    <row r="10" spans="1:5">
      <c r="A10" s="21">
        <f t="shared" si="0"/>
        <v>9</v>
      </c>
      <c r="B10" s="85" t="str">
        <f ca="1">IFERROR(__xludf.DUMMYFUNCTION("GOOGLETRANSLATE(B2095:B2110,""RU"",""UK"")"),"Пластина твердосплавна 4гр. дрібна Т15К10 03114-120408")</f>
        <v>Пластина твердосплавна 4гр. дрібна Т15К10 03114-120408</v>
      </c>
      <c r="C10" s="59" t="s">
        <v>6</v>
      </c>
      <c r="D10" s="59">
        <v>165</v>
      </c>
      <c r="E10" s="91" t="s">
        <v>584</v>
      </c>
    </row>
    <row r="11" spans="1:5">
      <c r="A11" s="21">
        <f t="shared" si="0"/>
        <v>10</v>
      </c>
      <c r="B11" s="85" t="str">
        <f ca="1">IFERROR(__xludf.DUMMYFUNCTION("GOOGLETRANSLATE(B2096:B2111,""RU"",""UK"")"),"Пластина твердосплавна 4гр. дрібна ВК8 03114-120408")</f>
        <v>Пластина твердосплавна 4гр. дрібна ВК8 03114-120408</v>
      </c>
      <c r="C11" s="59" t="s">
        <v>6</v>
      </c>
      <c r="D11" s="59">
        <v>325</v>
      </c>
      <c r="E11" s="91" t="s">
        <v>1174</v>
      </c>
    </row>
    <row r="12" spans="1:5">
      <c r="A12" s="21">
        <f t="shared" si="0"/>
        <v>11</v>
      </c>
      <c r="B12" s="85" t="str">
        <f ca="1">IFERROR(__xludf.DUMMYFUNCTION("GOOGLETRANSLATE(B2097:B2112,""RU"",""UK"")"),"Пластина твердосплавна 4гр. середня Т15К6 03114-090308")</f>
        <v>Пластина твердосплавна 4гр. середня Т15К6 03114-090308</v>
      </c>
      <c r="C12" s="59" t="s">
        <v>6</v>
      </c>
      <c r="D12" s="59">
        <v>195</v>
      </c>
      <c r="E12" s="91" t="s">
        <v>248</v>
      </c>
    </row>
    <row r="13" spans="1:5">
      <c r="A13" s="21">
        <f t="shared" si="0"/>
        <v>12</v>
      </c>
      <c r="B13" s="85" t="str">
        <f ca="1">IFERROR(__xludf.DUMMYFUNCTION("GOOGLETRANSLATE(B2098:B2113,""RU"",""UK"")"),"Пластина твердосплавна 4гр. середня Т15К6 03114-150412")</f>
        <v>Пластина твердосплавна 4гр. середня Т15К6 03114-150412</v>
      </c>
      <c r="C13" s="59" t="s">
        <v>6</v>
      </c>
      <c r="D13" s="59">
        <v>102</v>
      </c>
      <c r="E13" s="91" t="s">
        <v>2850</v>
      </c>
    </row>
    <row r="14" spans="1:5">
      <c r="A14" s="21">
        <f t="shared" si="0"/>
        <v>13</v>
      </c>
      <c r="B14" s="85" t="str">
        <f ca="1">IFERROR(__xludf.DUMMYFUNCTION("GOOGLETRANSLATE(B2098:B2113,""RU"",""UK"")"),"Пластина твердосплавна 4гр. середня Т15К6 02114-100608")</f>
        <v>Пластина твердосплавна 4гр. середня Т15К6 02114-100608</v>
      </c>
      <c r="C14" s="59" t="s">
        <v>6</v>
      </c>
      <c r="D14" s="59">
        <v>27</v>
      </c>
      <c r="E14" s="91" t="s">
        <v>2850</v>
      </c>
    </row>
    <row r="15" spans="1:5">
      <c r="A15" s="21">
        <f t="shared" si="0"/>
        <v>14</v>
      </c>
      <c r="B15" s="85" t="str">
        <f ca="1">IFERROR(__xludf.DUMMYFUNCTION("GOOGLETRANSLATE(B2099:B2114,""RU"",""UK"")"),"Пластина твердосплавна 4гр. гладка Т15К6 (15,8 х4, 76мм)")</f>
        <v>Пластина твердосплавна 4гр. гладка Т15К6 (15,8 х4, 76мм)</v>
      </c>
      <c r="C15" s="59" t="s">
        <v>6</v>
      </c>
      <c r="D15" s="59">
        <v>20</v>
      </c>
      <c r="E15" s="91" t="s">
        <v>248</v>
      </c>
    </row>
    <row r="16" spans="1:5">
      <c r="A16" s="21">
        <f t="shared" si="0"/>
        <v>15</v>
      </c>
      <c r="B16" s="85" t="str">
        <f ca="1">IFERROR(__xludf.DUMMYFUNCTION("GOOGLETRANSLATE(B2101:B2116,""RU"",""UK"")"),"Пластина твердосплавна 4гр. середня ВК8 03114-150412")</f>
        <v>Пластина твердосплавна 4гр. середня ВК8 03114-150412</v>
      </c>
      <c r="C16" s="59" t="s">
        <v>6</v>
      </c>
      <c r="D16" s="59">
        <v>78</v>
      </c>
      <c r="E16" s="91" t="s">
        <v>2850</v>
      </c>
    </row>
    <row r="17" spans="1:5">
      <c r="A17" s="21">
        <f t="shared" si="0"/>
        <v>16</v>
      </c>
      <c r="B17" s="85" t="str">
        <f ca="1">IFERROR(__xludf.DUMMYFUNCTION("GOOGLETRANSLATE(B2102:B2117,""RU"",""UK"")"),"Пластина твердосплавна 4гр. велика ВК8")</f>
        <v>Пластина твердосплавна 4гр. велика ВК8</v>
      </c>
      <c r="C17" s="59" t="s">
        <v>6</v>
      </c>
      <c r="D17" s="59">
        <v>45</v>
      </c>
      <c r="E17" s="91" t="s">
        <v>183</v>
      </c>
    </row>
    <row r="18" spans="1:5">
      <c r="A18" s="21">
        <f t="shared" si="0"/>
        <v>17</v>
      </c>
      <c r="B18" s="224" t="str">
        <f ca="1">IFERROR(__xludf.DUMMYFUNCTION("GOOGLETRANSLATE(B2103:B2118,""RU"",""UK"")"),"Пластина твердосплавна 4гр. без отвору Т15К6 03111-120408")</f>
        <v>Пластина твердосплавна 4гр. без отвору Т15К6 03111-120408</v>
      </c>
      <c r="C18" s="59" t="s">
        <v>6</v>
      </c>
      <c r="D18" s="59">
        <v>28</v>
      </c>
      <c r="E18" s="91" t="s">
        <v>134</v>
      </c>
    </row>
    <row r="19" spans="1:5">
      <c r="A19" s="21">
        <f t="shared" si="0"/>
        <v>18</v>
      </c>
      <c r="B19" s="224" t="str">
        <f ca="1">IFERROR(__xludf.DUMMYFUNCTION("GOOGLETRANSLATE(B2103:B2118,""RU"",""UK"")"),"Пластина твердосплавна 4гр. без отвору Р20 (Т15К6) 03111-120408 (13х13х5мм)")</f>
        <v>Пластина твердосплавна 4гр. без отвору Р20 (Т15К6) 03111-120408 (13х13х5мм)</v>
      </c>
      <c r="C19" s="59" t="s">
        <v>6</v>
      </c>
      <c r="D19" s="59">
        <v>26</v>
      </c>
      <c r="E19" s="91" t="s">
        <v>134</v>
      </c>
    </row>
    <row r="20" spans="1:5">
      <c r="A20" s="21">
        <f t="shared" si="0"/>
        <v>19</v>
      </c>
      <c r="B20" s="224" t="s">
        <v>6428</v>
      </c>
      <c r="C20" s="59" t="s">
        <v>6</v>
      </c>
      <c r="D20" s="59">
        <v>175</v>
      </c>
      <c r="E20" s="91" t="s">
        <v>134</v>
      </c>
    </row>
    <row r="21" spans="1:5">
      <c r="A21" s="21">
        <f t="shared" si="0"/>
        <v>20</v>
      </c>
      <c r="B21" s="85" t="str">
        <f ca="1">IFERROR(__xludf.DUMMYFUNCTION("GOOGLETRANSLATE(B2104:B2119,""RU"",""UK"")"),"Пластина твердосплавна кераміка 4гр. КНТ16")</f>
        <v>Пластина твердосплавна кераміка 4гр. КНТ16</v>
      </c>
      <c r="C21" s="59" t="s">
        <v>6</v>
      </c>
      <c r="D21" s="59">
        <v>69</v>
      </c>
      <c r="E21" s="91" t="s">
        <v>2858</v>
      </c>
    </row>
    <row r="22" spans="1:5">
      <c r="A22" s="21">
        <f t="shared" si="0"/>
        <v>21</v>
      </c>
      <c r="B22" s="85" t="str">
        <f ca="1">IFERROR(__xludf.DUMMYFUNCTION("GOOGLETRANSLATE(B2104:B2119,""RU"",""UK"")"),"Пластина твердосплавна кераміка 4гр. ТН20")</f>
        <v>Пластина твердосплавна кераміка 4гр. ТН20</v>
      </c>
      <c r="C22" s="59" t="s">
        <v>6</v>
      </c>
      <c r="D22" s="59">
        <v>180</v>
      </c>
      <c r="E22" s="91" t="s">
        <v>2858</v>
      </c>
    </row>
    <row r="23" spans="1:5">
      <c r="A23" s="21">
        <f t="shared" si="0"/>
        <v>22</v>
      </c>
      <c r="B23" s="85" t="str">
        <f ca="1">IFERROR(__xludf.DUMMYFUNCTION("GOOGLETRANSLATE(B2105:B2120,""RU"",""UK"")"),"Пластина твердосплавна кераміка без отвору 4гр. ВОК (зел/червоний)")</f>
        <v>Пластина твердосплавна кераміка без отвору 4гр. ВОК (зел/червоний)</v>
      </c>
      <c r="C23" s="60" t="s">
        <v>6</v>
      </c>
      <c r="D23" s="60" t="s">
        <v>2860</v>
      </c>
      <c r="E23" s="103" t="s">
        <v>201</v>
      </c>
    </row>
    <row r="24" spans="1:5">
      <c r="A24" s="21">
        <f t="shared" si="0"/>
        <v>23</v>
      </c>
      <c r="B24" s="85" t="str">
        <f ca="1">IFERROR(__xludf.DUMMYFUNCTION("GOOGLETRANSLATE(B2106:B2121,""RU"",""UK"")"),"Пластина твердосплавна 3гр. дрібна Т15К6 02114-060308 (2,9гр)")</f>
        <v>Пластина твердосплавна 3гр. дрібна Т15К6 02114-060308 (2,9гр)</v>
      </c>
      <c r="C24" s="59" t="s">
        <v>6</v>
      </c>
      <c r="D24" s="59">
        <v>103</v>
      </c>
      <c r="E24" s="91" t="s">
        <v>290</v>
      </c>
    </row>
    <row r="25" spans="1:5">
      <c r="A25" s="21">
        <f t="shared" si="0"/>
        <v>24</v>
      </c>
      <c r="B25" s="85" t="str">
        <f ca="1">IFERROR(__xludf.DUMMYFUNCTION("GOOGLETRANSLATE(B2107:B2122,""RU"",""UK"")"),"Пластина твердосплавна 3гр. дрібна ВК8 02114-080408")</f>
        <v>Пластина твердосплавна 3гр. дрібна ВК8 02114-080408</v>
      </c>
      <c r="C25" s="59" t="s">
        <v>6</v>
      </c>
      <c r="D25" s="59">
        <v>94</v>
      </c>
      <c r="E25" s="91" t="s">
        <v>1174</v>
      </c>
    </row>
    <row r="26" spans="1:5">
      <c r="A26" s="21">
        <f t="shared" si="0"/>
        <v>25</v>
      </c>
      <c r="B26" s="85" t="str">
        <f ca="1">IFERROR(__xludf.DUMMYFUNCTION("GOOGLETRANSLATE(B2109:B2124,""RU"",""UK"")"),"Пластина твердосплавна 3гр. дрібна Т5К10 02114-080408")</f>
        <v>Пластина твердосплавна 3гр. дрібна Т5К10 02114-080408</v>
      </c>
      <c r="C26" s="59" t="s">
        <v>6</v>
      </c>
      <c r="D26" s="59">
        <v>6</v>
      </c>
      <c r="E26" s="91" t="s">
        <v>1174</v>
      </c>
    </row>
    <row r="27" spans="1:5">
      <c r="A27" s="21">
        <f t="shared" si="0"/>
        <v>26</v>
      </c>
      <c r="B27" s="85" t="str">
        <f ca="1">IFERROR(__xludf.DUMMYFUNCTION("GOOGLETRANSLATE(B2110:B2125,""RU"",""UK"")"),"Пластина твердосплавна 3гр. середня ВК1755-Р30 01114-220408")</f>
        <v>Пластина твердосплавна 3гр. середня ВК1755-Р30 01114-220408</v>
      </c>
      <c r="C27" s="59" t="s">
        <v>6</v>
      </c>
      <c r="D27" s="59">
        <v>300</v>
      </c>
      <c r="E27" s="91" t="s">
        <v>2867</v>
      </c>
    </row>
    <row r="28" spans="1:5">
      <c r="A28" s="21">
        <f t="shared" si="0"/>
        <v>27</v>
      </c>
      <c r="B28" s="85" t="str">
        <f ca="1">IFERROR(__xludf.DUMMYFUNCTION("GOOGLETRANSLATE(B2111:B2126,""RU"",""UK"")"),"Пластина твердосплавна 3гр. дрібна Т15К6 02114-080404")</f>
        <v>Пластина твердосплавна 3гр. дрібна Т15К6 02114-080404</v>
      </c>
      <c r="C28" s="59" t="s">
        <v>6</v>
      </c>
      <c r="D28" s="59">
        <v>168</v>
      </c>
      <c r="E28" s="91" t="s">
        <v>169</v>
      </c>
    </row>
    <row r="29" spans="1:5">
      <c r="A29" s="21">
        <f t="shared" si="0"/>
        <v>28</v>
      </c>
      <c r="B29" s="85" t="str">
        <f ca="1">IFERROR(__xludf.DUMMYFUNCTION("GOOGLETRANSLATE(B2112:B2127,""RU"",""UK"")"),"Пластина твердосплавна 3гр. середня Т5К10 02114-100608 (відп. 6,3мм)")</f>
        <v>Пластина твердосплавна 3гр. середня Т5К10 02114-100608 (відп. 6,3мм)</v>
      </c>
      <c r="C29" s="59" t="s">
        <v>6</v>
      </c>
      <c r="D29" s="59">
        <v>183</v>
      </c>
      <c r="E29" s="91" t="s">
        <v>314</v>
      </c>
    </row>
    <row r="30" spans="1:5">
      <c r="A30" s="21">
        <f t="shared" si="0"/>
        <v>29</v>
      </c>
      <c r="B30" s="85" t="str">
        <f ca="1">IFERROR(__xludf.DUMMYFUNCTION("GOOGLETRANSLATE(B2113:B2128,""RU"",""UK"")"),"Пластина твердосплавна 3гр. середня Т15К6 02114-100608 (відп. 6,3мм)")</f>
        <v>Пластина твердосплавна 3гр. середня Т15К6 02114-100608 (відп. 6,3мм)</v>
      </c>
      <c r="C30" s="59" t="s">
        <v>6</v>
      </c>
      <c r="D30" s="59">
        <v>312</v>
      </c>
      <c r="E30" s="91" t="s">
        <v>314</v>
      </c>
    </row>
    <row r="31" spans="1:5">
      <c r="A31" s="21">
        <f t="shared" si="0"/>
        <v>30</v>
      </c>
      <c r="B31" s="85" t="str">
        <f ca="1">IFERROR(__xludf.DUMMYFUNCTION("GOOGLETRANSLATE(B2114:B2129,""RU"",""UK"")"),"Пластина твердосплавна 3гр. середня ВК8 02114-100608 (відп. 6,3мм)")</f>
        <v>Пластина твердосплавна 3гр. середня ВК8 02114-100608 (відп. 6,3мм)</v>
      </c>
      <c r="C31" s="59" t="s">
        <v>6</v>
      </c>
      <c r="D31" s="59">
        <v>117</v>
      </c>
      <c r="E31" s="91" t="s">
        <v>314</v>
      </c>
    </row>
    <row r="32" spans="1:5">
      <c r="A32" s="21">
        <f t="shared" si="0"/>
        <v>31</v>
      </c>
      <c r="B32" s="85" t="str">
        <f ca="1">IFERROR(__xludf.DUMMYFUNCTION("GOOGLETRANSLATE(B2116:B2131,""RU"",""UK"")"),"Пластина твердосплавна 3гр. велика ВК8 02114-120612(відп. 7,93мм)")</f>
        <v>Пластина твердосплавна 3гр. велика ВК8 02114-120612(відп. 7,93мм)</v>
      </c>
      <c r="C32" s="59" t="s">
        <v>6</v>
      </c>
      <c r="D32" s="59">
        <v>75</v>
      </c>
      <c r="E32" s="91" t="s">
        <v>596</v>
      </c>
    </row>
    <row r="33" spans="1:5">
      <c r="A33" s="21">
        <f t="shared" si="0"/>
        <v>32</v>
      </c>
      <c r="B33" s="85" t="str">
        <f ca="1">IFERROR(__xludf.DUMMYFUNCTION("GOOGLETRANSLATE(B2117:B2132,""RU"",""UK"")"),"Пластина твердосплавна 3гр. без отвору Т15К6 01117-160408")</f>
        <v>Пластина твердосплавна 3гр. без отвору Т15К6 01117-160408</v>
      </c>
      <c r="C33" s="59" t="s">
        <v>6</v>
      </c>
      <c r="D33" s="59">
        <v>9</v>
      </c>
      <c r="E33" s="91" t="s">
        <v>167</v>
      </c>
    </row>
    <row r="34" spans="1:5">
      <c r="A34" s="21">
        <f t="shared" si="0"/>
        <v>33</v>
      </c>
      <c r="B34" s="85" t="str">
        <f ca="1">IFERROR(__xludf.DUMMYFUNCTION("GOOGLETRANSLATE(B2118:B2133,""RU"",""UK"")"),"Пластина твердосплавна 3гр. без отвору ВОК71")</f>
        <v>Пластина твердосплавна 3гр. без отвору ВОК71</v>
      </c>
      <c r="C34" s="60" t="s">
        <v>6</v>
      </c>
      <c r="D34" s="60">
        <v>195</v>
      </c>
      <c r="E34" s="103" t="s">
        <v>169</v>
      </c>
    </row>
    <row r="35" spans="1:5">
      <c r="A35" s="21">
        <f t="shared" si="0"/>
        <v>34</v>
      </c>
      <c r="B35" s="85" t="str">
        <f ca="1">IFERROR(__xludf.DUMMYFUNCTION("GOOGLETRANSLATE(B2119:B2134,""RU"",""UK"")"),"Пластина тверда ромб. Т15К6 05114-120412 / 2008-1952")</f>
        <v>Пластина тверда ромб. Т15К6 05114-120412 / 2008-1952</v>
      </c>
      <c r="C35" s="59" t="s">
        <v>6</v>
      </c>
      <c r="D35" s="59">
        <v>45</v>
      </c>
      <c r="E35" s="91" t="s">
        <v>1180</v>
      </c>
    </row>
    <row r="36" spans="1:5">
      <c r="A36" s="21">
        <f t="shared" si="0"/>
        <v>35</v>
      </c>
      <c r="B36" s="85" t="str">
        <f ca="1">IFERROR(__xludf.DUMMYFUNCTION("GOOGLETRANSLATE(B2119:B2134,""RU"",""UK"")"),"Пластина тверда ромб. ВК8 05114-120412 / 2008-1952")</f>
        <v>Пластина тверда ромб. ВК8 05114-120412 / 2008-1952</v>
      </c>
      <c r="C36" s="59" t="s">
        <v>6</v>
      </c>
      <c r="D36" s="59">
        <v>736</v>
      </c>
      <c r="E36" s="91" t="s">
        <v>1180</v>
      </c>
    </row>
    <row r="37" spans="1:5">
      <c r="A37" s="21">
        <f t="shared" si="0"/>
        <v>36</v>
      </c>
      <c r="B37" s="85" t="str">
        <f ca="1">IFERROR(__xludf.DUMMYFUNCTION("GOOGLETRANSLATE(B2119:B2134,""RU"",""UK"")"),"Пластина тверда ромб. Т5К10 05114-120412 / 2008-1952")</f>
        <v>Пластина тверда ромб. Т5К10 05114-120412 / 2008-1952</v>
      </c>
      <c r="C37" s="59" t="s">
        <v>6</v>
      </c>
      <c r="D37" s="59">
        <v>169</v>
      </c>
      <c r="E37" s="91" t="s">
        <v>1180</v>
      </c>
    </row>
    <row r="38" spans="1:5">
      <c r="A38" s="21">
        <f t="shared" si="0"/>
        <v>37</v>
      </c>
      <c r="B38" s="85" t="str">
        <f ca="1">IFERROR(__xludf.DUMMYFUNCTION("GOOGLETRANSLATE(B2120:B2135,""RU"",""UK"")"),"Пластина тверда ромб. 05114-190612")</f>
        <v>Пластина тверда ромб. 05114-190612</v>
      </c>
      <c r="C38" s="59" t="s">
        <v>6</v>
      </c>
      <c r="D38" s="59">
        <v>37</v>
      </c>
      <c r="E38" s="91" t="s">
        <v>209</v>
      </c>
    </row>
    <row r="39" spans="1:5">
      <c r="A39" s="21">
        <f t="shared" si="0"/>
        <v>38</v>
      </c>
      <c r="B39" s="85" t="str">
        <f ca="1">IFERROR(__xludf.DUMMYFUNCTION("GOOGLETRANSLATE(B2121:B2136,""RU"",""UK"")"),"Пластина тверда ромб. різц.")</f>
        <v>Пластина тверда ромб. різц.</v>
      </c>
      <c r="C39" s="59" t="s">
        <v>6</v>
      </c>
      <c r="D39" s="59">
        <v>49</v>
      </c>
      <c r="E39" s="91" t="s">
        <v>1180</v>
      </c>
    </row>
    <row r="40" spans="1:5">
      <c r="A40" s="21">
        <f t="shared" si="0"/>
        <v>39</v>
      </c>
      <c r="B40" s="164" t="str">
        <f ca="1">IFERROR(__xludf.DUMMYFUNCTION("GOOGLETRANSLATE(B2122:B2137,""RU"",""UK"")"),"Пластина тверда кругла 12113-150600 Т5К10 (Р40)")</f>
        <v>Пластина тверда кругла 12113-150600 Т5К10 (Р40)</v>
      </c>
      <c r="C40" s="59" t="s">
        <v>6</v>
      </c>
      <c r="D40" s="59">
        <v>0</v>
      </c>
      <c r="E40" s="91" t="s">
        <v>314</v>
      </c>
    </row>
    <row r="41" spans="1:5">
      <c r="A41" s="21">
        <f t="shared" si="0"/>
        <v>40</v>
      </c>
      <c r="B41" s="224" t="str">
        <f ca="1">IFERROR(__xludf.DUMMYFUNCTION("GOOGLETRANSLATE(B2123:B2138,""RU"",""UK"")"),"Пластина паралелогр (шифер) прав. 08116-190610 Т5К10")</f>
        <v>Пластина паралелогр (шифер) прав. 08116-190610 Т5К10</v>
      </c>
      <c r="C41" s="59" t="s">
        <v>6</v>
      </c>
      <c r="D41" s="59">
        <v>498</v>
      </c>
      <c r="E41" s="91" t="s">
        <v>183</v>
      </c>
    </row>
    <row r="42" spans="1:5">
      <c r="A42" s="21">
        <f t="shared" si="0"/>
        <v>41</v>
      </c>
      <c r="B42" s="224" t="str">
        <f ca="1">IFERROR(__xludf.DUMMYFUNCTION("GOOGLETRANSLATE(B2123:B2138,""RU"",""UK"")"),"Пластина паралелогр (шифер) прав. 08116-190610 ВК8")</f>
        <v>Пластина паралелогр (шифер) прав. 08116-190610 ВК8</v>
      </c>
      <c r="C42" s="59" t="s">
        <v>6</v>
      </c>
      <c r="D42" s="59">
        <v>7</v>
      </c>
      <c r="E42" s="91" t="s">
        <v>183</v>
      </c>
    </row>
    <row r="43" spans="1:5">
      <c r="A43" s="21">
        <f t="shared" si="0"/>
        <v>42</v>
      </c>
      <c r="B43" s="224" t="str">
        <f ca="1">IFERROR(__xludf.DUMMYFUNCTION("GOOGLETRANSLATE(B2123:B2138,""RU"",""UK"")"),"Пластина паралелогр (шифер) прав. 08116-190610 Т15К6")</f>
        <v>Пластина паралелогр (шифер) прав. 08116-190610 Т15К6</v>
      </c>
      <c r="C43" s="59" t="s">
        <v>6</v>
      </c>
      <c r="D43" s="59">
        <v>158</v>
      </c>
      <c r="E43" s="91" t="s">
        <v>183</v>
      </c>
    </row>
    <row r="44" spans="1:5">
      <c r="A44" s="21">
        <f t="shared" si="0"/>
        <v>43</v>
      </c>
      <c r="B44" s="224" t="str">
        <f ca="1">IFERROR(__xludf.DUMMYFUNCTION("GOOGLETRANSLATE(B2124:B2139,""RU"",""UK"")"),"Пластина паралелогр (шифер) ліва 08116-190610 Т15К6")</f>
        <v>Пластина паралелогр (шифер) ліва 08116-190610 Т15К6</v>
      </c>
      <c r="C44" s="59" t="s">
        <v>6</v>
      </c>
      <c r="D44" s="59">
        <v>41</v>
      </c>
      <c r="E44" s="91" t="s">
        <v>183</v>
      </c>
    </row>
    <row r="45" spans="1:5">
      <c r="A45" s="21">
        <f t="shared" si="0"/>
        <v>44</v>
      </c>
      <c r="B45" s="224" t="str">
        <f ca="1">IFERROR(__xludf.DUMMYFUNCTION("GOOGLETRANSLATE(B2124:B2139,""RU"",""UK"")"),"Пластина паралелогр (шифер) ліва 08116-190610 Т5К10")</f>
        <v>Пластина паралелогр (шифер) ліва 08116-190610 Т5К10</v>
      </c>
      <c r="C45" s="59" t="s">
        <v>6</v>
      </c>
      <c r="D45" s="59">
        <v>118</v>
      </c>
      <c r="E45" s="91" t="s">
        <v>183</v>
      </c>
    </row>
    <row r="46" spans="1:5">
      <c r="A46" s="21">
        <f t="shared" si="0"/>
        <v>45</v>
      </c>
      <c r="B46" s="85" t="str">
        <f ca="1">IFERROR(__xludf.DUMMYFUNCTION("GOOGLETRANSLATE(B2125:B2140,""RU"",""UK"")"),"Пластина шаберна ВК6-ОМ 30х15")</f>
        <v>Пластина шаберна ВК6-ОМ 30х15</v>
      </c>
      <c r="C46" s="59" t="s">
        <v>6</v>
      </c>
      <c r="D46" s="59">
        <v>1</v>
      </c>
      <c r="E46" s="91" t="s">
        <v>33</v>
      </c>
    </row>
    <row r="47" spans="1:5">
      <c r="A47" s="21">
        <f t="shared" si="0"/>
        <v>46</v>
      </c>
      <c r="B47" s="85" t="str">
        <f ca="1">IFERROR(__xludf.DUMMYFUNCTION("GOOGLETRANSLATE(B2126:B2141,""RU"",""UK"")"),"Пластина відрізна Т5К10 13171 (6.54)")</f>
        <v>Пластина відрізна Т5К10 13171 (6.54)</v>
      </c>
      <c r="C47" s="59" t="s">
        <v>6</v>
      </c>
      <c r="D47" s="59">
        <v>29</v>
      </c>
      <c r="E47" s="91" t="s">
        <v>302</v>
      </c>
    </row>
    <row r="48" spans="1:5">
      <c r="A48" s="21">
        <f t="shared" si="0"/>
        <v>47</v>
      </c>
      <c r="B48" s="85" t="str">
        <f ca="1">IFERROR(__xludf.DUMMYFUNCTION("GOOGLETRANSLATE(B2126:B2141,""RU"",""UK"")"),"Пластина відрізна Т5К10 1363")</f>
        <v>Пластина відрізна Т5К10 1363</v>
      </c>
      <c r="C48" s="59" t="s">
        <v>6</v>
      </c>
      <c r="D48" s="59">
        <v>80</v>
      </c>
      <c r="E48" s="91" t="s">
        <v>302</v>
      </c>
    </row>
    <row r="49" spans="1:5">
      <c r="A49" s="21">
        <f t="shared" si="0"/>
        <v>48</v>
      </c>
      <c r="B49" s="85" t="str">
        <f ca="1">IFERROR(__xludf.DUMMYFUNCTION("GOOGLETRANSLATE(B2127:B2142,""RU"",""UK"")"),"Пластина відрізна Т5К10 13151")</f>
        <v>Пластина відрізна Т5К10 13151</v>
      </c>
      <c r="C49" s="59" t="s">
        <v>6</v>
      </c>
      <c r="D49" s="59">
        <v>148</v>
      </c>
      <c r="E49" s="91" t="s">
        <v>2889</v>
      </c>
    </row>
    <row r="50" spans="1:5">
      <c r="A50" s="21">
        <f t="shared" si="0"/>
        <v>49</v>
      </c>
      <c r="B50" s="85" t="str">
        <f ca="1">IFERROR(__xludf.DUMMYFUNCTION("GOOGLETRANSLATE(B2128:B2143,""RU"",""UK"")"),"Пластина відрізна Т15К6 13131 (3.53)")</f>
        <v>Пластина відрізна Т15К6 13131 (3.53)</v>
      </c>
      <c r="C50" s="59" t="s">
        <v>6</v>
      </c>
      <c r="D50" s="59">
        <v>1050</v>
      </c>
      <c r="E50" s="91" t="s">
        <v>1301</v>
      </c>
    </row>
    <row r="51" spans="1:5">
      <c r="A51" s="21">
        <f t="shared" si="0"/>
        <v>50</v>
      </c>
      <c r="B51" s="85" t="str">
        <f ca="1">IFERROR(__xludf.DUMMYFUNCTION("GOOGLETRANSLATE(B2130:B2145,""RU"",""UK"")"),"Пластина відрізна Т15К6 13351")</f>
        <v>Пластина відрізна Т15К6 13351</v>
      </c>
      <c r="C51" s="59" t="s">
        <v>6</v>
      </c>
      <c r="D51" s="59">
        <v>100</v>
      </c>
      <c r="E51" s="91" t="s">
        <v>292</v>
      </c>
    </row>
    <row r="52" spans="1:5">
      <c r="A52" s="21">
        <f t="shared" si="0"/>
        <v>51</v>
      </c>
      <c r="B52" s="85" t="str">
        <f ca="1">IFERROR(__xludf.DUMMYFUNCTION("GOOGLETRANSLATE(B2131:B2146,""RU"",""UK"")"),"Пластина відрізна Т15К6 13532 (1.7)")</f>
        <v>Пластина відрізна Т15К6 13532 (1.7)</v>
      </c>
      <c r="C52" s="59" t="s">
        <v>6</v>
      </c>
      <c r="D52" s="59">
        <v>9</v>
      </c>
      <c r="E52" s="91" t="s">
        <v>1236</v>
      </c>
    </row>
    <row r="53" spans="1:5">
      <c r="A53" s="21">
        <f t="shared" si="0"/>
        <v>52</v>
      </c>
      <c r="B53" s="85" t="str">
        <f ca="1">IFERROR(__xludf.DUMMYFUNCTION("GOOGLETRANSLATE(B2132:B2147,""RU"",""UK"")"),"Пластина відрізна Т15К6 13572 (4.8)")</f>
        <v>Пластина відрізна Т15К6 13572 (4.8)</v>
      </c>
      <c r="C53" s="59" t="s">
        <v>6</v>
      </c>
      <c r="D53" s="59">
        <v>17</v>
      </c>
      <c r="E53" s="91" t="s">
        <v>417</v>
      </c>
    </row>
    <row r="54" spans="1:5">
      <c r="A54" s="21">
        <f t="shared" si="0"/>
        <v>53</v>
      </c>
      <c r="B54" s="85" t="str">
        <f ca="1">IFERROR(__xludf.DUMMYFUNCTION("GOOGLETRANSLATE(B2133:B2148,""RU"",""UK"")"),"Пластина відрізна Т15К6 13171 (11.5)")</f>
        <v>Пластина відрізна Т15К6 13171 (11.5)</v>
      </c>
      <c r="C54" s="59" t="s">
        <v>6</v>
      </c>
      <c r="D54" s="59">
        <v>176</v>
      </c>
      <c r="E54" s="91" t="s">
        <v>286</v>
      </c>
    </row>
    <row r="55" spans="1:5">
      <c r="A55" s="21">
        <f t="shared" si="0"/>
        <v>54</v>
      </c>
      <c r="B55" s="85" t="str">
        <f ca="1">IFERROR(__xludf.DUMMYFUNCTION("GOOGLETRANSLATE(B2134:B2149,""RU"",""UK"")"),"Пластина відрізна Т15К6 13351 (5.73)")</f>
        <v>Пластина відрізна Т15К6 13351 (5.73)</v>
      </c>
      <c r="C55" s="59" t="s">
        <v>6</v>
      </c>
      <c r="D55" s="59">
        <v>560</v>
      </c>
      <c r="E55" s="91" t="s">
        <v>2898</v>
      </c>
    </row>
    <row r="56" spans="1:5">
      <c r="A56" s="21">
        <f t="shared" si="0"/>
        <v>55</v>
      </c>
      <c r="B56" s="85" t="str">
        <f ca="1">IFERROR(__xludf.DUMMYFUNCTION("GOOGLETRANSLATE(B2135:B2150,""RU"",""UK"")"),"Пластина відрізна ВК8 13552 (2.84)")</f>
        <v>Пластина відрізна ВК8 13552 (2.84)</v>
      </c>
      <c r="C56" s="59" t="s">
        <v>6</v>
      </c>
      <c r="D56" s="59">
        <v>318</v>
      </c>
      <c r="E56" s="91" t="s">
        <v>417</v>
      </c>
    </row>
    <row r="57" spans="1:5">
      <c r="A57" s="21">
        <f t="shared" si="0"/>
        <v>56</v>
      </c>
      <c r="B57" s="85" t="str">
        <f ca="1">IFERROR(__xludf.DUMMYFUNCTION("GOOGLETRANSLATE(B2136:B2151,""RU"",""UK"")"),"Пластина відрізна ВК8 13572 (4.08)")</f>
        <v>Пластина відрізна ВК8 13572 (4.08)</v>
      </c>
      <c r="C57" s="59" t="s">
        <v>6</v>
      </c>
      <c r="D57" s="59">
        <v>220</v>
      </c>
      <c r="E57" s="91" t="s">
        <v>2343</v>
      </c>
    </row>
    <row r="58" spans="1:5">
      <c r="A58" s="21">
        <f t="shared" si="0"/>
        <v>57</v>
      </c>
      <c r="B58" s="85" t="str">
        <f ca="1">IFERROR(__xludf.DUMMYFUNCTION("GOOGLETRANSLATE(B2137:B2152,""RU"",""UK"")"),"Пластина відрізна ВК8 13151 (4.46)")</f>
        <v>Пластина відрізна ВК8 13151 (4.46)</v>
      </c>
      <c r="C58" s="59" t="s">
        <v>6</v>
      </c>
      <c r="D58" s="59">
        <v>1205</v>
      </c>
      <c r="E58" s="91" t="s">
        <v>606</v>
      </c>
    </row>
    <row r="59" spans="1:5">
      <c r="A59" s="21">
        <f t="shared" si="0"/>
        <v>58</v>
      </c>
      <c r="B59" s="85" t="str">
        <f ca="1">IFERROR(__xludf.DUMMYFUNCTION("GOOGLETRANSLATE(B2138:B2153,""RU"",""UK"")"),"Пластина відрізна ВК8 13131 (4.54)")</f>
        <v>Пластина відрізна ВК8 13131 (4.54)</v>
      </c>
      <c r="C59" s="59" t="s">
        <v>6</v>
      </c>
      <c r="D59" s="59">
        <v>1230</v>
      </c>
      <c r="E59" s="91" t="s">
        <v>292</v>
      </c>
    </row>
    <row r="60" spans="1:5">
      <c r="A60" s="21">
        <f t="shared" si="0"/>
        <v>59</v>
      </c>
      <c r="B60" s="85" t="str">
        <f ca="1">IFERROR(__xludf.DUMMYFUNCTION("GOOGLETRANSLATE(B2139:B2154,""RU"",""UK"")"),"Пластина відрізна ВК8 13171 (7.5)")</f>
        <v>Пластина відрізна ВК8 13171 (7.5)</v>
      </c>
      <c r="C60" s="59" t="s">
        <v>6</v>
      </c>
      <c r="D60" s="59">
        <v>259</v>
      </c>
      <c r="E60" s="91" t="s">
        <v>2904</v>
      </c>
    </row>
    <row r="61" spans="1:5">
      <c r="A61" s="21">
        <f t="shared" si="0"/>
        <v>60</v>
      </c>
      <c r="B61" s="85" t="str">
        <f ca="1">IFERROR(__xludf.DUMMYFUNCTION("GOOGLETRANSLATE(B2140:B2155,""RU"",""UK"")"),"Пластина відрізна ВК8 13612 (12гр)")</f>
        <v>Пластина відрізна ВК8 13612 (12гр)</v>
      </c>
      <c r="C61" s="59" t="s">
        <v>6</v>
      </c>
      <c r="D61" s="59">
        <v>65</v>
      </c>
      <c r="E61" s="91" t="s">
        <v>2906</v>
      </c>
    </row>
    <row r="62" spans="1:5">
      <c r="A62" s="21">
        <f t="shared" si="0"/>
        <v>61</v>
      </c>
      <c r="B62" s="85" t="str">
        <f ca="1">IFERROR(__xludf.DUMMYFUNCTION("GOOGLETRANSLATE(B2141:B2156,""RU"",""UK"")"),"Пластина різьбова Т5К10 11170 (2.55)")</f>
        <v>Пластина різьбова Т5К10 11170 (2.55)</v>
      </c>
      <c r="C62" s="59" t="s">
        <v>6</v>
      </c>
      <c r="D62" s="59">
        <v>139</v>
      </c>
      <c r="E62" s="91" t="s">
        <v>1391</v>
      </c>
    </row>
    <row r="63" spans="1:5">
      <c r="A63" s="21">
        <f t="shared" si="0"/>
        <v>62</v>
      </c>
      <c r="B63" s="85" t="str">
        <f ca="1">IFERROR(__xludf.DUMMYFUNCTION("GOOGLETRANSLATE(B2142:B2157,""RU"",""UK"")"),"Пластина різьбова Т5К10 11210 (9.77)")</f>
        <v>Пластина різьбова Т5К10 11210 (9.77)</v>
      </c>
      <c r="C63" s="59" t="s">
        <v>6</v>
      </c>
      <c r="D63" s="59">
        <v>40</v>
      </c>
      <c r="E63" s="91" t="s">
        <v>290</v>
      </c>
    </row>
    <row r="64" spans="1:5">
      <c r="A64" s="21">
        <f t="shared" si="0"/>
        <v>63</v>
      </c>
      <c r="B64" s="85" t="str">
        <f ca="1">IFERROR(__xludf.DUMMYFUNCTION("GOOGLETRANSLATE(B2143:B2158,""RU"",""UK"")"),"Пластина різьбова Т5К10 11190 (13.95)")</f>
        <v>Пластина різьбова Т5К10 11190 (13.95)</v>
      </c>
      <c r="C64" s="59" t="s">
        <v>6</v>
      </c>
      <c r="D64" s="59">
        <v>250</v>
      </c>
      <c r="E64" s="91" t="s">
        <v>1239</v>
      </c>
    </row>
    <row r="65" spans="1:5">
      <c r="A65" s="21">
        <f t="shared" si="0"/>
        <v>64</v>
      </c>
      <c r="B65" s="85" t="str">
        <f ca="1">IFERROR(__xludf.DUMMYFUNCTION("GOOGLETRANSLATE(B2144:B2159,""RU"",""UK"")"),"Пластина різьбова Т5К10 11230 (15.27)")</f>
        <v>Пластина різьбова Т5К10 11230 (15.27)</v>
      </c>
      <c r="C65" s="59" t="s">
        <v>6</v>
      </c>
      <c r="D65" s="59">
        <v>35</v>
      </c>
      <c r="E65" s="91" t="s">
        <v>2911</v>
      </c>
    </row>
    <row r="66" spans="1:5">
      <c r="A66" s="21">
        <f t="shared" si="0"/>
        <v>65</v>
      </c>
      <c r="B66" s="85" t="str">
        <f ca="1">IFERROR(__xludf.DUMMYFUNCTION("GOOGLETRANSLATE(B2145:B2160,""RU"",""UK"")"),"Пластина різьбова Т15К6 11170 (2.27)")</f>
        <v>Пластина різьбова Т15К6 11170 (2.27)</v>
      </c>
      <c r="C66" s="59" t="s">
        <v>6</v>
      </c>
      <c r="D66" s="59">
        <v>956</v>
      </c>
      <c r="E66" s="91" t="s">
        <v>2913</v>
      </c>
    </row>
    <row r="67" spans="1:5">
      <c r="A67" s="21">
        <f t="shared" si="0"/>
        <v>66</v>
      </c>
      <c r="B67" s="85" t="str">
        <f ca="1">IFERROR(__xludf.DUMMYFUNCTION("GOOGLETRANSLATE(B2146:B2161,""RU"",""UK"")"),"Пластина різьбова Т15К6 11210 (9,70)")</f>
        <v>Пластина різьбова Т15К6 11210 (9,70)</v>
      </c>
      <c r="C67" s="59" t="s">
        <v>6</v>
      </c>
      <c r="D67" s="59">
        <v>42</v>
      </c>
      <c r="E67" s="91" t="s">
        <v>602</v>
      </c>
    </row>
    <row r="68" spans="1:5">
      <c r="A68" s="21">
        <f t="shared" si="0"/>
        <v>67</v>
      </c>
      <c r="B68" s="85" t="str">
        <f ca="1">IFERROR(__xludf.DUMMYFUNCTION("GOOGLETRANSLATE(B2147:B2162,""RU"",""UK"")"),"Пластина різьбова Т15К6 11230 (13.50)")</f>
        <v>Пластина різьбова Т15К6 11230 (13.50)</v>
      </c>
      <c r="C68" s="59" t="s">
        <v>6</v>
      </c>
      <c r="D68" s="59">
        <v>240</v>
      </c>
      <c r="E68" s="91" t="s">
        <v>1073</v>
      </c>
    </row>
    <row r="69" spans="1:5">
      <c r="A69" s="21">
        <f t="shared" si="0"/>
        <v>68</v>
      </c>
      <c r="B69" s="85" t="str">
        <f ca="1">IFERROR(__xludf.DUMMYFUNCTION("GOOGLETRANSLATE(B2148:B2163,""RU"",""UK"")"),"Пластина різьбова ВК8 11150 (1.73)")</f>
        <v>Пластина різьбова ВК8 11150 (1.73)</v>
      </c>
      <c r="C69" s="59" t="s">
        <v>6</v>
      </c>
      <c r="D69" s="59">
        <v>250</v>
      </c>
      <c r="E69" s="91" t="s">
        <v>682</v>
      </c>
    </row>
    <row r="70" spans="1:5">
      <c r="A70" s="21">
        <f t="shared" si="0"/>
        <v>69</v>
      </c>
      <c r="B70" s="85" t="str">
        <f ca="1">IFERROR(__xludf.DUMMYFUNCTION("GOOGLETRANSLATE(B2148:B2163,""RU"",""UK"")"),"Пластина різьбова ВК3М 11150 (1.76)")</f>
        <v>Пластина різьбова ВК3М 11150 (1.76)</v>
      </c>
      <c r="C70" s="59" t="s">
        <v>6</v>
      </c>
      <c r="D70" s="59">
        <v>500</v>
      </c>
      <c r="E70" s="91" t="s">
        <v>682</v>
      </c>
    </row>
    <row r="71" spans="1:5">
      <c r="A71" s="21">
        <f t="shared" si="0"/>
        <v>70</v>
      </c>
      <c r="B71" s="85" t="str">
        <f ca="1">IFERROR(__xludf.DUMMYFUNCTION("GOOGLETRANSLATE(B2149:B2164,""RU"",""UK"")"),"Пластина різьбова ВК8 11170 (2.91)")</f>
        <v>Пластина різьбова ВК8 11170 (2.91)</v>
      </c>
      <c r="C71" s="59" t="s">
        <v>6</v>
      </c>
      <c r="D71" s="59">
        <v>1033</v>
      </c>
      <c r="E71" s="91" t="s">
        <v>610</v>
      </c>
    </row>
    <row r="72" spans="1:5">
      <c r="A72" s="21">
        <f t="shared" si="0"/>
        <v>71</v>
      </c>
      <c r="B72" s="85" t="str">
        <f ca="1">IFERROR(__xludf.DUMMYFUNCTION("GOOGLETRANSLATE(B2149:B2164,""RU"",""UK"")"),"Пластина різьбова ВК6М 11170 (2.91)")</f>
        <v>Пластина різьбова ВК6М 11170 (2.91)</v>
      </c>
      <c r="C72" s="59" t="s">
        <v>6</v>
      </c>
      <c r="D72" s="59">
        <v>120</v>
      </c>
      <c r="E72" s="91" t="s">
        <v>610</v>
      </c>
    </row>
    <row r="73" spans="1:5">
      <c r="A73" s="21">
        <f t="shared" si="0"/>
        <v>72</v>
      </c>
      <c r="B73" s="85" t="str">
        <f ca="1">IFERROR(__xludf.DUMMYFUNCTION("GOOGLETRANSLATE(B2150:B2165,""RU"",""UK"")"),"Пластина різьбова ВК8 11190 (4.52)")</f>
        <v>Пластина різьбова ВК8 11190 (4.52)</v>
      </c>
      <c r="C73" s="59" t="s">
        <v>6</v>
      </c>
      <c r="D73" s="59">
        <v>182</v>
      </c>
      <c r="E73" s="91" t="s">
        <v>2921</v>
      </c>
    </row>
    <row r="74" spans="1:5">
      <c r="A74" s="21">
        <f t="shared" si="0"/>
        <v>73</v>
      </c>
      <c r="B74" s="85" t="str">
        <f ca="1">IFERROR(__xludf.DUMMYFUNCTION("GOOGLETRANSLATE(B2151:B2166,""RU"",""UK"")"),"Пластина різьбова ВК8 11210 (9.31)")</f>
        <v>Пластина різьбова ВК8 11210 (9.31)</v>
      </c>
      <c r="C74" s="59" t="s">
        <v>6</v>
      </c>
      <c r="D74" s="59">
        <v>83</v>
      </c>
      <c r="E74" s="91" t="s">
        <v>124</v>
      </c>
    </row>
    <row r="75" spans="1:5">
      <c r="A75" s="21">
        <f t="shared" si="0"/>
        <v>74</v>
      </c>
      <c r="B75" s="85" t="str">
        <f ca="1">IFERROR(__xludf.DUMMYFUNCTION("GOOGLETRANSLATE(B2152:B2167,""RU"",""UK"")"),"Пластина різьбова ВК8 11230 (17.48)")</f>
        <v>Пластина різьбова ВК8 11230 (17.48)</v>
      </c>
      <c r="C75" s="59" t="s">
        <v>6</v>
      </c>
      <c r="D75" s="59">
        <v>36</v>
      </c>
      <c r="E75" s="91" t="s">
        <v>169</v>
      </c>
    </row>
    <row r="76" spans="1:5">
      <c r="A76" s="21">
        <f t="shared" si="0"/>
        <v>75</v>
      </c>
      <c r="B76" s="85" t="str">
        <f ca="1">IFERROR(__xludf.DUMMYFUNCTION("GOOGLETRANSLATE(B2152:B2167,""RU"",""UK"")"),"Пластина різьбова мех. кріплення ліва / права")</f>
        <v>Пластина різьбова мех. кріплення ліва / права</v>
      </c>
      <c r="C76" s="59" t="s">
        <v>6</v>
      </c>
      <c r="D76" s="159" t="s">
        <v>6270</v>
      </c>
      <c r="E76" s="91">
        <v>55</v>
      </c>
    </row>
    <row r="77" spans="1:5">
      <c r="A77" s="21">
        <f t="shared" si="0"/>
        <v>76</v>
      </c>
      <c r="B77" s="85" t="str">
        <f ca="1">IFERROR(__xludf.DUMMYFUNCTION("GOOGLETRANSLATE(B2153:B2168,""RU"",""UK"")"),"Пластина підрізна Т5К10 07115 (16.58)")</f>
        <v>Пластина підрізна Т5К10 07115 (16.58)</v>
      </c>
      <c r="C77" s="59" t="s">
        <v>6</v>
      </c>
      <c r="D77" s="59">
        <v>20</v>
      </c>
      <c r="E77" s="91" t="s">
        <v>1073</v>
      </c>
    </row>
    <row r="78" spans="1:5">
      <c r="A78" s="21">
        <f t="shared" si="0"/>
        <v>77</v>
      </c>
      <c r="B78" s="85" t="str">
        <f ca="1">IFERROR(__xludf.DUMMYFUNCTION("GOOGLETRANSLATE(B2154:B2169,""RU"",""UK"")"),"Пластина підрізна Т15К6 67390 (7.51)")</f>
        <v>Пластина підрізна Т15К6 67390 (7.51)</v>
      </c>
      <c r="C78" s="59" t="s">
        <v>6</v>
      </c>
      <c r="D78" s="59">
        <v>177</v>
      </c>
      <c r="E78" s="91" t="s">
        <v>302</v>
      </c>
    </row>
    <row r="79" spans="1:5">
      <c r="A79" s="21">
        <f t="shared" si="0"/>
        <v>78</v>
      </c>
      <c r="B79" s="85" t="str">
        <f ca="1">IFERROR(__xludf.DUMMYFUNCTION("GOOGLETRANSLATE(B2155:B2170,""RU"",""UK"")"),"Пластина підрізна Т15К6 07410 (16.3)")</f>
        <v>Пластина підрізна Т15К6 07410 (16.3)</v>
      </c>
      <c r="C79" s="59" t="s">
        <v>6</v>
      </c>
      <c r="D79" s="59">
        <v>45</v>
      </c>
      <c r="E79" s="91" t="s">
        <v>169</v>
      </c>
    </row>
    <row r="80" spans="1:5">
      <c r="A80" s="21">
        <f t="shared" si="0"/>
        <v>79</v>
      </c>
      <c r="B80" s="85" t="str">
        <f ca="1">IFERROR(__xludf.DUMMYFUNCTION("GOOGLETRANSLATE(B2155:B2170,""RU"",""UK"")"),"Пластина підрізна Т15К6 07420лев (16.3)")</f>
        <v>Пластина підрізна Т15К6 07420лев (16.3)</v>
      </c>
      <c r="C80" s="59" t="s">
        <v>6</v>
      </c>
      <c r="D80" s="59">
        <v>50</v>
      </c>
      <c r="E80" s="91" t="s">
        <v>169</v>
      </c>
    </row>
    <row r="81" spans="1:5">
      <c r="A81" s="21">
        <f t="shared" ref="A81" si="1">A80+1</f>
        <v>80</v>
      </c>
      <c r="B81" s="85" t="str">
        <f ca="1">IFERROR(__xludf.DUMMYFUNCTION("GOOGLETRANSLATE(B2156:B2171,""RU"",""UK"")"),"Пластина підрізна Т15К6 67340 (26.1)")</f>
        <v>Пластина підрізна Т15К6 67340 (26.1)</v>
      </c>
      <c r="C81" s="59" t="s">
        <v>6</v>
      </c>
      <c r="D81" s="59">
        <v>13</v>
      </c>
      <c r="E81" s="91" t="s">
        <v>2929</v>
      </c>
    </row>
    <row r="82" spans="1:5">
      <c r="A82" s="21">
        <f t="shared" ref="A82:A124" si="2">A81+1</f>
        <v>81</v>
      </c>
      <c r="B82" s="85" t="str">
        <f ca="1">IFERROR(__xludf.DUMMYFUNCTION("GOOGLETRANSLATE(B2157:B2172,""RU"",""UK"")"),"Пластина підрізна ВК8 07090")</f>
        <v>Пластина підрізна ВК8 07090</v>
      </c>
      <c r="C82" s="59" t="s">
        <v>6</v>
      </c>
      <c r="D82" s="59">
        <v>132</v>
      </c>
      <c r="E82" s="91" t="s">
        <v>588</v>
      </c>
    </row>
    <row r="83" spans="1:5">
      <c r="A83" s="21">
        <f t="shared" si="2"/>
        <v>82</v>
      </c>
      <c r="B83" s="85" t="str">
        <f ca="1">IFERROR(__xludf.DUMMYFUNCTION("GOOGLETRANSLATE(B2158:B2173,""RU"",""UK"")"),"Пластина підрізна ВК8 67390 (7.54)")</f>
        <v>Пластина підрізна ВК8 67390 (7.54)</v>
      </c>
      <c r="C83" s="59" t="s">
        <v>6</v>
      </c>
      <c r="D83" s="59">
        <v>250</v>
      </c>
      <c r="E83" s="91" t="s">
        <v>302</v>
      </c>
    </row>
    <row r="84" spans="1:5">
      <c r="A84" s="21">
        <f t="shared" si="2"/>
        <v>83</v>
      </c>
      <c r="B84" s="85" t="str">
        <f ca="1">IFERROR(__xludf.DUMMYFUNCTION("GOOGLETRANSLATE(B2158:B2173,""RU"",""UK"")"),"Пластина підрізна ВК8 07130")</f>
        <v>Пластина підрізна ВК8 07130</v>
      </c>
      <c r="C84" s="59" t="s">
        <v>6</v>
      </c>
      <c r="D84" s="59">
        <v>81</v>
      </c>
      <c r="E84" s="91" t="s">
        <v>302</v>
      </c>
    </row>
    <row r="85" spans="1:5">
      <c r="A85" s="21">
        <f t="shared" si="2"/>
        <v>84</v>
      </c>
      <c r="B85" s="85" t="str">
        <f ca="1">IFERROR(__xludf.DUMMYFUNCTION("GOOGLETRANSLATE(B2159:B2174,""RU"",""UK"")"),"Пластина підрізна ВК8 07160 (18.98)")</f>
        <v>Пластина підрізна ВК8 07160 (18.98)</v>
      </c>
      <c r="C85" s="59" t="s">
        <v>6</v>
      </c>
      <c r="D85" s="59">
        <v>53</v>
      </c>
      <c r="E85" s="91" t="s">
        <v>2700</v>
      </c>
    </row>
    <row r="86" spans="1:5">
      <c r="A86" s="21">
        <f t="shared" si="2"/>
        <v>85</v>
      </c>
      <c r="B86" s="85" t="str">
        <f ca="1">IFERROR(__xludf.DUMMYFUNCTION("GOOGLETRANSLATE(B2160:B2175,""RU"",""UK"")"),"Пластина підрізна ВК8 67410 (16,7)")</f>
        <v>Пластина підрізна ВК8 67410 (16,7)</v>
      </c>
      <c r="C86" s="59" t="s">
        <v>6</v>
      </c>
      <c r="D86" s="59">
        <v>470</v>
      </c>
      <c r="E86" s="91" t="s">
        <v>169</v>
      </c>
    </row>
    <row r="87" spans="1:5">
      <c r="A87" s="21">
        <f t="shared" si="2"/>
        <v>86</v>
      </c>
      <c r="B87" s="85" t="str">
        <f ca="1">IFERROR(__xludf.DUMMYFUNCTION("GOOGLETRANSLATE(B2161:B2176,""RU"",""UK"")"),"Пластина підрізна ВК8 67330 (31.2)")</f>
        <v>Пластина підрізна ВК8 67330 (31.2)</v>
      </c>
      <c r="C87" s="59" t="s">
        <v>6</v>
      </c>
      <c r="D87" s="59">
        <v>278</v>
      </c>
      <c r="E87" s="91" t="s">
        <v>183</v>
      </c>
    </row>
    <row r="88" spans="1:5">
      <c r="A88" s="21">
        <f t="shared" si="2"/>
        <v>87</v>
      </c>
      <c r="B88" s="85" t="str">
        <f ca="1">IFERROR(__xludf.DUMMYFUNCTION("GOOGLETRANSLATE(B2162:B2177,""RU"",""UK"")"),"Пластина прохідна Т5К10 06050 (4.46)")</f>
        <v>Пластина прохідна Т5К10 06050 (4.46)</v>
      </c>
      <c r="C88" s="59" t="s">
        <v>6</v>
      </c>
      <c r="D88" s="59">
        <v>30</v>
      </c>
      <c r="E88" s="91" t="s">
        <v>290</v>
      </c>
    </row>
    <row r="89" spans="1:5">
      <c r="A89" s="21">
        <f t="shared" si="2"/>
        <v>88</v>
      </c>
      <c r="B89" s="85" t="str">
        <f ca="1">IFERROR(__xludf.DUMMYFUNCTION("GOOGLETRANSLATE(B2163:B2178,""RU"",""UK"")"),"Пластина прохідна Т15К6 10471 (4.56)")</f>
        <v>Пластина прохідна Т15К6 10471 (4.56)</v>
      </c>
      <c r="C89" s="59" t="s">
        <v>6</v>
      </c>
      <c r="D89" s="59">
        <v>477</v>
      </c>
      <c r="E89" s="91" t="s">
        <v>2938</v>
      </c>
    </row>
    <row r="90" spans="1:5">
      <c r="A90" s="21">
        <f t="shared" si="2"/>
        <v>89</v>
      </c>
      <c r="B90" s="85" t="str">
        <f ca="1">IFERROR(__xludf.DUMMYFUNCTION("GOOGLETRANSLATE(B2164:B2179,""RU"",""UK"")"),"Пластина прохідна Т15К6 02251 (10.71)")</f>
        <v>Пластина прохідна Т15К6 02251 (10.71)</v>
      </c>
      <c r="C90" s="59" t="s">
        <v>6</v>
      </c>
      <c r="D90" s="59">
        <v>23</v>
      </c>
      <c r="E90" s="91" t="s">
        <v>1073</v>
      </c>
    </row>
    <row r="91" spans="1:5">
      <c r="A91" s="21">
        <f t="shared" si="2"/>
        <v>90</v>
      </c>
      <c r="B91" s="85" t="str">
        <f ca="1">IFERROR(__xludf.DUMMYFUNCTION("GOOGLETRANSLATE(B2165:B2180,""RU"",""UK"")"),"Пластина прохідна Т15К6 02311 (29.0)")</f>
        <v>Пластина прохідна Т15К6 02311 (29.0)</v>
      </c>
      <c r="C91" s="59" t="s">
        <v>6</v>
      </c>
      <c r="D91" s="59">
        <v>6</v>
      </c>
      <c r="E91" s="91" t="s">
        <v>183</v>
      </c>
    </row>
    <row r="92" spans="1:5">
      <c r="A92" s="21">
        <f t="shared" si="2"/>
        <v>91</v>
      </c>
      <c r="B92" s="85" t="str">
        <f ca="1">IFERROR(__xludf.DUMMYFUNCTION("GOOGLETRANSLATE(B2166:B2181,""RU"",""UK"")"),"Пластина прохідна Т15К6 70541 (31.6)")</f>
        <v>Пластина прохідна Т15К6 70541 (31.6)</v>
      </c>
      <c r="C92" s="59" t="s">
        <v>6</v>
      </c>
      <c r="D92" s="59">
        <v>28</v>
      </c>
      <c r="E92" s="91" t="s">
        <v>226</v>
      </c>
    </row>
    <row r="93" spans="1:5">
      <c r="A93" s="21">
        <f t="shared" si="2"/>
        <v>92</v>
      </c>
      <c r="B93" s="85" t="str">
        <f ca="1">IFERROR(__xludf.DUMMYFUNCTION("GOOGLETRANSLATE(B2167:B2182,""RU"",""UK"")"),"Пластина прохідна Т15К6 70551 (36)")</f>
        <v>Пластина прохідна Т15К6 70551 (36)</v>
      </c>
      <c r="C93" s="59" t="s">
        <v>6</v>
      </c>
      <c r="D93" s="59">
        <v>11</v>
      </c>
      <c r="E93" s="91" t="s">
        <v>2842</v>
      </c>
    </row>
    <row r="94" spans="1:5">
      <c r="A94" s="21">
        <f t="shared" si="2"/>
        <v>93</v>
      </c>
      <c r="B94" s="85" t="str">
        <f ca="1">IFERROR(__xludf.DUMMYFUNCTION("GOOGLETRANSLATE(B2168:B2183,""RU"",""UK"")"),"Пластина прохідна ВК8 10491 (8.91)")</f>
        <v>Пластина прохідна ВК8 10491 (8.91)</v>
      </c>
      <c r="C94" s="59" t="s">
        <v>6</v>
      </c>
      <c r="D94" s="59">
        <v>39</v>
      </c>
      <c r="E94" s="91" t="s">
        <v>1073</v>
      </c>
    </row>
    <row r="95" spans="1:5">
      <c r="A95" s="21">
        <f t="shared" si="2"/>
        <v>94</v>
      </c>
      <c r="B95" s="85" t="str">
        <f ca="1">IFERROR(__xludf.DUMMYFUNCTION("GOOGLETRANSLATE(B2168:B2183,""RU"",""UK"")"),"Пластина прохідна ВК8 70311")</f>
        <v>Пластина прохідна ВК8 70311</v>
      </c>
      <c r="C95" s="59" t="s">
        <v>6</v>
      </c>
      <c r="D95" s="59">
        <v>17</v>
      </c>
      <c r="E95" s="91" t="s">
        <v>1073</v>
      </c>
    </row>
    <row r="96" spans="1:5">
      <c r="A96" s="21">
        <f t="shared" si="2"/>
        <v>95</v>
      </c>
      <c r="B96" s="85" t="str">
        <f ca="1">IFERROR(__xludf.DUMMYFUNCTION("GOOGLETRANSLATE(B2169:B2184,""RU"",""UK"")"),"Пластина прохідна ВК8 01391 (10)")</f>
        <v>Пластина прохідна ВК8 01391 (10)</v>
      </c>
      <c r="C96" s="59" t="s">
        <v>6</v>
      </c>
      <c r="D96" s="59">
        <v>1</v>
      </c>
      <c r="E96" s="91" t="s">
        <v>248</v>
      </c>
    </row>
    <row r="97" spans="1:5">
      <c r="A97" s="21">
        <f t="shared" si="2"/>
        <v>96</v>
      </c>
      <c r="B97" s="85" t="str">
        <f ca="1">IFERROR(__xludf.DUMMYFUNCTION("GOOGLETRANSLATE(B2170:B2185,""RU"",""UK"")"),"Пластина прохідна ВК8 02251 (14,0)")</f>
        <v>Пластина прохідна ВК8 02251 (14,0)</v>
      </c>
      <c r="C97" s="59" t="s">
        <v>6</v>
      </c>
      <c r="D97" s="59">
        <v>91</v>
      </c>
      <c r="E97" s="91" t="s">
        <v>2700</v>
      </c>
    </row>
    <row r="98" spans="1:5">
      <c r="A98" s="21">
        <f t="shared" si="2"/>
        <v>97</v>
      </c>
      <c r="B98" s="85" t="str">
        <f ca="1">IFERROR(__xludf.DUMMYFUNCTION("GOOGLETRANSLATE(B2170:B2185,""RU"",""UK"")"),"Пластина прохідна ВК8 02271")</f>
        <v>Пластина прохідна ВК8 02271</v>
      </c>
      <c r="C98" s="59" t="s">
        <v>6</v>
      </c>
      <c r="D98" s="59">
        <v>58</v>
      </c>
      <c r="E98" s="91" t="s">
        <v>2700</v>
      </c>
    </row>
    <row r="99" spans="1:5">
      <c r="A99" s="21">
        <f t="shared" si="2"/>
        <v>98</v>
      </c>
      <c r="B99" s="85" t="str">
        <f ca="1">IFERROR(__xludf.DUMMYFUNCTION("GOOGLETRANSLATE(B2171:B2186,""RU"",""UK"")"),"Пластина прохідна ВК8 02351 (69,0)")</f>
        <v>Пластина прохідна ВК8 02351 (69,0)</v>
      </c>
      <c r="C99" s="59" t="s">
        <v>6</v>
      </c>
      <c r="D99" s="59">
        <v>18</v>
      </c>
      <c r="E99" s="91" t="s">
        <v>346</v>
      </c>
    </row>
    <row r="100" spans="1:5">
      <c r="A100" s="21">
        <f t="shared" si="2"/>
        <v>99</v>
      </c>
      <c r="B100" s="85" t="str">
        <f ca="1">IFERROR(__xludf.DUMMYFUNCTION("GOOGLETRANSLATE(B2172:B2187,""RU"",""UK"")"),"Пластина паросткова гол.відп. Т5К10 06050 (4.26)")</f>
        <v>Пластина паросткова гол.відп. Т5К10 06050 (4.26)</v>
      </c>
      <c r="C100" s="59" t="s">
        <v>6</v>
      </c>
      <c r="D100" s="59">
        <v>288</v>
      </c>
      <c r="E100" s="91" t="s">
        <v>1391</v>
      </c>
    </row>
    <row r="101" spans="1:5">
      <c r="A101" s="21">
        <f t="shared" si="2"/>
        <v>100</v>
      </c>
      <c r="B101" s="85" t="str">
        <f ca="1">IFERROR(__xludf.DUMMYFUNCTION("GOOGLETRANSLATE(B2173:B2188,""RU"",""UK"")"),"Пластина паросткова гол.відп. Т5К10 10491 (9.93)")</f>
        <v>Пластина паросткова гол.відп. Т5К10 10491 (9.93)</v>
      </c>
      <c r="C101" s="59" t="s">
        <v>6</v>
      </c>
      <c r="D101" s="59">
        <v>50</v>
      </c>
      <c r="E101" s="91" t="s">
        <v>2938</v>
      </c>
    </row>
    <row r="102" spans="1:5">
      <c r="A102" s="21">
        <f t="shared" si="2"/>
        <v>101</v>
      </c>
      <c r="B102" s="85" t="str">
        <f ca="1">IFERROR(__xludf.DUMMYFUNCTION("GOOGLETRANSLATE(B2174:B2189,""RU"",""UK"")"),"Пластина паросткова гол.відп. Т15К6 06050 (4.26)")</f>
        <v>Пластина паросткова гол.відп. Т15К6 06050 (4.26)</v>
      </c>
      <c r="C102" s="59" t="s">
        <v>6</v>
      </c>
      <c r="D102" s="59">
        <v>190</v>
      </c>
      <c r="E102" s="91" t="s">
        <v>610</v>
      </c>
    </row>
    <row r="103" spans="1:5">
      <c r="A103" s="21">
        <f t="shared" si="2"/>
        <v>102</v>
      </c>
      <c r="B103" s="85" t="str">
        <f ca="1">IFERROR(__xludf.DUMMYFUNCTION("GOOGLETRANSLATE(B2175:B2190,""RU"",""UK"")"),"Пластина паросткова гол.відп. Т15К6 06090 (8.88)")</f>
        <v>Пластина паросткова гол.відп. Т15К6 06090 (8.88)</v>
      </c>
      <c r="C103" s="59" t="s">
        <v>6</v>
      </c>
      <c r="D103" s="59">
        <v>24</v>
      </c>
      <c r="E103" s="91" t="s">
        <v>2938</v>
      </c>
    </row>
    <row r="104" spans="1:5">
      <c r="A104" s="21">
        <f t="shared" si="2"/>
        <v>103</v>
      </c>
      <c r="B104" s="85" t="str">
        <f ca="1">IFERROR(__xludf.DUMMYFUNCTION("GOOGLETRANSLATE(B2176:B2191,""RU"",""UK"")"),"Пластина паросткова гол.відп. Т15К6 06170 (28.3)")</f>
        <v>Пластина паросткова гол.відп. Т15К6 06170 (28.3)</v>
      </c>
      <c r="C104" s="59" t="s">
        <v>6</v>
      </c>
      <c r="D104" s="59">
        <v>17</v>
      </c>
      <c r="E104" s="91" t="s">
        <v>2954</v>
      </c>
    </row>
    <row r="105" spans="1:5">
      <c r="A105" s="21">
        <f t="shared" si="2"/>
        <v>104</v>
      </c>
      <c r="B105" s="85" t="str">
        <f ca="1">IFERROR(__xludf.DUMMYFUNCTION("GOOGLETRANSLATE(B2177:B2192,""RU"",""UK"")"),"Пластина паросткова гол.відп. ВК8 06050 (4.26)")</f>
        <v>Пластина паросткова гол.відп. ВК8 06050 (4.26)</v>
      </c>
      <c r="C105" s="59" t="s">
        <v>6</v>
      </c>
      <c r="D105" s="59">
        <v>396</v>
      </c>
      <c r="E105" s="91" t="s">
        <v>1391</v>
      </c>
    </row>
    <row r="106" spans="1:5">
      <c r="A106" s="21">
        <f t="shared" si="2"/>
        <v>105</v>
      </c>
      <c r="B106" s="85" t="str">
        <f ca="1">IFERROR(__xludf.DUMMYFUNCTION("GOOGLETRANSLATE(B2178:B2193,""RU"",""UK"")"),"Пластина паросткова гол.відп. ВК8 06360 (4.91)")</f>
        <v>Пластина паросткова гол.відп. ВК8 06360 (4.91)</v>
      </c>
      <c r="C106" s="59" t="s">
        <v>6</v>
      </c>
      <c r="D106" s="59">
        <v>33</v>
      </c>
      <c r="E106" s="91" t="s">
        <v>1401</v>
      </c>
    </row>
    <row r="107" spans="1:5">
      <c r="A107" s="21">
        <f t="shared" si="2"/>
        <v>106</v>
      </c>
      <c r="B107" s="85" t="str">
        <f ca="1">IFERROR(__xludf.DUMMYFUNCTION("GOOGLETRANSLATE(B2179:B2194,""RU"",""UK"")"),"Пластина паросткова гол.відп. ВК8 06090 (11.6)")</f>
        <v>Пластина паросткова гол.відп. ВК8 06090 (11.6)</v>
      </c>
      <c r="C107" s="59" t="s">
        <v>6</v>
      </c>
      <c r="D107" s="59">
        <v>299</v>
      </c>
      <c r="E107" s="91" t="s">
        <v>169</v>
      </c>
    </row>
    <row r="108" spans="1:5">
      <c r="A108" s="21">
        <f t="shared" si="2"/>
        <v>107</v>
      </c>
      <c r="B108" s="85" t="str">
        <f ca="1">IFERROR(__xludf.DUMMYFUNCTION("GOOGLETRANSLATE(B2180:B2195,""RU"",""UK"")"),"Пластина росткова скв.відп. Т5К10 01371 (5,51)")</f>
        <v>Пластина росткова скв.відп. Т5К10 01371 (5,51)</v>
      </c>
      <c r="C108" s="59" t="s">
        <v>6</v>
      </c>
      <c r="D108" s="59">
        <v>82</v>
      </c>
      <c r="E108" s="91" t="s">
        <v>290</v>
      </c>
    </row>
    <row r="109" spans="1:5">
      <c r="A109" s="21">
        <f t="shared" si="2"/>
        <v>108</v>
      </c>
      <c r="B109" s="85" t="str">
        <f ca="1">IFERROR(__xludf.DUMMYFUNCTION("GOOGLETRANSLATE(B2181:B2196,""RU"",""UK"")"),"Пластина росткова скв.відп. Т5К10 02651 (8.16)")</f>
        <v>Пластина росткова скв.відп. Т5К10 02651 (8.16)</v>
      </c>
      <c r="C109" s="59" t="s">
        <v>6</v>
      </c>
      <c r="D109" s="59">
        <v>52</v>
      </c>
      <c r="E109" s="91" t="s">
        <v>2911</v>
      </c>
    </row>
    <row r="110" spans="1:5">
      <c r="A110" s="21">
        <f t="shared" si="2"/>
        <v>109</v>
      </c>
      <c r="B110" s="85" t="str">
        <f ca="1">IFERROR(__xludf.DUMMYFUNCTION("GOOGLETRANSLATE(B2182:B2197,""RU"",""UK"")"),"Пластина росткова скв.відп. Т15К6 1391 (9.55)")</f>
        <v>Пластина росткова скв.відп. Т15К6 1391 (9.55)</v>
      </c>
      <c r="C110" s="59" t="s">
        <v>6</v>
      </c>
      <c r="D110" s="59">
        <v>50</v>
      </c>
      <c r="E110" s="91" t="s">
        <v>1073</v>
      </c>
    </row>
    <row r="111" spans="1:5">
      <c r="A111" s="21">
        <f t="shared" si="2"/>
        <v>110</v>
      </c>
      <c r="B111" s="85" t="str">
        <f ca="1">IFERROR(__xludf.DUMMYFUNCTION("GOOGLETRANSLATE(B2183:B2198,""RU"",""UK"")"),"Пластина росткова скв.відп. ВК8 61151 (21.8)")</f>
        <v>Пластина росткова скв.відп. ВК8 61151 (21.8)</v>
      </c>
      <c r="C111" s="59" t="s">
        <v>6</v>
      </c>
      <c r="D111" s="59">
        <v>14</v>
      </c>
      <c r="E111" s="91" t="s">
        <v>2487</v>
      </c>
    </row>
    <row r="112" spans="1:5">
      <c r="A112" s="21">
        <f t="shared" si="2"/>
        <v>111</v>
      </c>
      <c r="B112" s="85" t="str">
        <f ca="1">IFERROR(__xludf.DUMMYFUNCTION("GOOGLETRANSLATE(B2184:B2199,""RU"",""UK"")"),"Пластина росткова скв.відп. ВК8 02651 (9.34)")</f>
        <v>Пластина росткова скв.відп. ВК8 02651 (9.34)</v>
      </c>
      <c r="C112" s="59" t="s">
        <v>6</v>
      </c>
      <c r="D112" s="59">
        <v>33</v>
      </c>
      <c r="E112" s="91" t="s">
        <v>2911</v>
      </c>
    </row>
    <row r="113" spans="1:5">
      <c r="A113" s="21">
        <f t="shared" si="2"/>
        <v>112</v>
      </c>
      <c r="B113" s="85" t="str">
        <f ca="1">IFERROR(__xludf.DUMMYFUNCTION("GOOGLETRANSLATE(B2185:B2200,""RU"",""UK"")"),"Пластина для шківів 32210 ВК8")</f>
        <v>Пластина для шківів 32210 ВК8</v>
      </c>
      <c r="C113" s="59" t="s">
        <v>6</v>
      </c>
      <c r="D113" s="59">
        <v>5</v>
      </c>
      <c r="E113" s="91">
        <v>63</v>
      </c>
    </row>
    <row r="114" spans="1:5">
      <c r="A114" s="21">
        <f t="shared" si="2"/>
        <v>113</v>
      </c>
      <c r="B114" s="85" t="str">
        <f ca="1">IFERROR(__xludf.DUMMYFUNCTION("GOOGLETRANSLATE(B2185:B2200,""RU"",""UK"")"),"Пластина для шківів 32230 ВК8")</f>
        <v>Пластина для шківів 32230 ВК8</v>
      </c>
      <c r="C114" s="59" t="s">
        <v>6</v>
      </c>
      <c r="D114" s="59">
        <v>4</v>
      </c>
      <c r="E114" s="91">
        <v>78</v>
      </c>
    </row>
    <row r="115" spans="1:5">
      <c r="A115" s="21">
        <f t="shared" si="2"/>
        <v>114</v>
      </c>
      <c r="B115" s="85" t="str">
        <f ca="1">IFERROR(__xludf.DUMMYFUNCTION("GOOGLETRANSLATE(B2186:B2201,""RU"",""UK"")"),"Вставка розточувальної головки, різця 4123 Т15К6 d5,2х25мм")</f>
        <v>Вставка розточувальної головки, різця 4123 Т15К6 d5,2х25мм</v>
      </c>
      <c r="C115" s="59" t="s">
        <v>6</v>
      </c>
      <c r="D115" s="59">
        <v>20</v>
      </c>
      <c r="E115" s="91" t="s">
        <v>169</v>
      </c>
    </row>
    <row r="116" spans="1:5">
      <c r="A116" s="21">
        <f t="shared" si="2"/>
        <v>115</v>
      </c>
      <c r="B116" s="85" t="str">
        <f ca="1">IFERROR(__xludf.DUMMYFUNCTION("GOOGLETRANSLATE(B2187:B2202,""RU"",""UK"")"),"Ніж до швидкісної фрези Т5К10 0001")</f>
        <v>Ніж до швидкісної фрези Т5К10 0001</v>
      </c>
      <c r="C116" s="59" t="s">
        <v>6</v>
      </c>
      <c r="D116" s="59">
        <v>107</v>
      </c>
      <c r="E116" s="91" t="s">
        <v>292</v>
      </c>
    </row>
    <row r="117" spans="1:5">
      <c r="A117" s="21">
        <f t="shared" si="2"/>
        <v>116</v>
      </c>
      <c r="B117" s="85" t="str">
        <f ca="1">IFERROR(__xludf.DUMMYFUNCTION("GOOGLETRANSLATE(B2188:B2203,""RU"",""UK"")"),"Ніж до швидкісної фрези 0003пр ВК8")</f>
        <v>Ніж до швидкісної фрези 0003пр ВК8</v>
      </c>
      <c r="C117" s="59" t="s">
        <v>6</v>
      </c>
      <c r="D117" s="59">
        <v>44</v>
      </c>
      <c r="E117" s="91">
        <v>48</v>
      </c>
    </row>
    <row r="118" spans="1:5">
      <c r="A118" s="21">
        <f t="shared" si="2"/>
        <v>117</v>
      </c>
      <c r="B118" s="85" t="str">
        <f ca="1">IFERROR(__xludf.DUMMYFUNCTION("GOOGLETRANSLATE(B2188:B2203,""RU"",""UK"")"),"Ніж до швидкісної фрези 0003лев ВК8")</f>
        <v>Ніж до швидкісної фрези 0003лев ВК8</v>
      </c>
      <c r="C118" s="59" t="s">
        <v>6</v>
      </c>
      <c r="D118" s="59">
        <v>68</v>
      </c>
      <c r="E118" s="91">
        <v>48</v>
      </c>
    </row>
    <row r="119" spans="1:5">
      <c r="A119" s="21">
        <f t="shared" si="2"/>
        <v>118</v>
      </c>
      <c r="B119" s="85" t="str">
        <f ca="1">IFERROR(__xludf.DUMMYFUNCTION("GOOGLETRANSLATE(B2188:B2203,""RU"",""UK"")"),"Ніж до швидкісної фрези 0003пр Т5К10")</f>
        <v>Ніж до швидкісної фрези 0003пр Т5К10</v>
      </c>
      <c r="C119" s="59" t="s">
        <v>6</v>
      </c>
      <c r="D119" s="59">
        <v>192</v>
      </c>
      <c r="E119" s="91">
        <v>48</v>
      </c>
    </row>
    <row r="120" spans="1:5">
      <c r="A120" s="21">
        <f t="shared" si="2"/>
        <v>119</v>
      </c>
      <c r="B120" s="85" t="str">
        <f ca="1">IFERROR(__xludf.DUMMYFUNCTION("GOOGLETRANSLATE(B2189:B2204,""RU"",""UK"")"),"Ніж до швидкісної фрези 0003пр Т15К6")</f>
        <v>Ніж до швидкісної фрези 0003пр Т15К6</v>
      </c>
      <c r="C120" s="59" t="s">
        <v>6</v>
      </c>
      <c r="D120" s="59">
        <v>31</v>
      </c>
      <c r="E120" s="91">
        <v>48</v>
      </c>
    </row>
    <row r="121" spans="1:5">
      <c r="A121" s="21">
        <f t="shared" si="2"/>
        <v>120</v>
      </c>
      <c r="B121" s="85" t="str">
        <f ca="1">IFERROR(__xludf.DUMMYFUNCTION("GOOGLETRANSLATE(B2190:B2205,""RU"",""UK"")"),"Ніж до швидкісної фрези Т5К10 0005пр")</f>
        <v>Ніж до швидкісної фрези Т5К10 0005пр</v>
      </c>
      <c r="C121" s="59" t="s">
        <v>6</v>
      </c>
      <c r="D121" s="59">
        <v>104</v>
      </c>
      <c r="E121" s="91" t="s">
        <v>314</v>
      </c>
    </row>
    <row r="122" spans="1:5">
      <c r="A122" s="21">
        <f t="shared" si="2"/>
        <v>121</v>
      </c>
      <c r="B122" s="85" t="str">
        <f ca="1">IFERROR(__xludf.DUMMYFUNCTION("GOOGLETRANSLATE(B2191:B2206,""RU"",""UK"")"),"Ніж до швидкісної фрези Т5К10 0007пр")</f>
        <v>Ніж до швидкісної фрези Т5К10 0007пр</v>
      </c>
      <c r="C122" s="59" t="s">
        <v>6</v>
      </c>
      <c r="D122" s="59">
        <v>13</v>
      </c>
      <c r="E122" s="91" t="s">
        <v>314</v>
      </c>
    </row>
    <row r="123" spans="1:5">
      <c r="A123" s="21">
        <f t="shared" si="2"/>
        <v>122</v>
      </c>
      <c r="B123" s="85" t="str">
        <f ca="1">IFERROR(__xludf.DUMMYFUNCTION("GOOGLETRANSLATE(B2191:B2206,""RU"",""UK"")"),"Ніж до швидкісної фрези ВК8 0007пр")</f>
        <v>Ніж до швидкісної фрези ВК8 0007пр</v>
      </c>
      <c r="C123" s="59" t="s">
        <v>6</v>
      </c>
      <c r="D123" s="59">
        <v>7</v>
      </c>
      <c r="E123" s="91" t="s">
        <v>314</v>
      </c>
    </row>
    <row r="124" spans="1:5">
      <c r="A124" s="21">
        <f t="shared" si="2"/>
        <v>123</v>
      </c>
      <c r="B124" s="85" t="str">
        <f ca="1">IFERROR(__xludf.DUMMYFUNCTION("GOOGLETRANSLATE(B2192:B2207,""RU"",""UK"")"),"Ніж рифл. до фрези ВК8 0015")</f>
        <v>Ніж рифл. до фрези ВК8 0015</v>
      </c>
      <c r="C124" s="59" t="s">
        <v>6</v>
      </c>
      <c r="D124" s="59">
        <v>15</v>
      </c>
      <c r="E124" s="91" t="s">
        <v>314</v>
      </c>
    </row>
  </sheetData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zoomScale="240" zoomScaleNormal="240" workbookViewId="0">
      <selection activeCell="B19" sqref="B19:B20"/>
    </sheetView>
  </sheetViews>
  <sheetFormatPr defaultRowHeight="12.75"/>
  <cols>
    <col min="2" max="2" width="42.7109375" customWidth="1"/>
  </cols>
  <sheetData>
    <row r="1" spans="1:5">
      <c r="A1" s="27"/>
      <c r="B1" s="119" t="s">
        <v>6072</v>
      </c>
      <c r="C1" s="28"/>
      <c r="D1" s="28"/>
      <c r="E1" s="94"/>
    </row>
    <row r="2" spans="1:5">
      <c r="A2" s="21">
        <v>1</v>
      </c>
      <c r="B2" s="47" t="str">
        <f ca="1">IFERROR(__xludf.DUMMYFUNCTION("GOOGLETRANSLATE(B4098:B4113,""RU"",""UK"")"),"Лом вигнутий 1200мм")</f>
        <v>Лом вигнутий 1200мм</v>
      </c>
      <c r="C2" s="59" t="s">
        <v>6</v>
      </c>
      <c r="D2" s="59">
        <v>5</v>
      </c>
      <c r="E2" s="91" t="s">
        <v>510</v>
      </c>
    </row>
    <row r="3" spans="1:5">
      <c r="A3" s="21">
        <v>2</v>
      </c>
      <c r="B3" s="85" t="str">
        <f ca="1">IFERROR(__xludf.DUMMYFUNCTION("GOOGLETRANSLATE(B4099:B4114,""RU"",""UK"")"),"Стовбур пожежний ПС-Б 50мм")</f>
        <v>Стовбур пожежний ПС-Б 50мм</v>
      </c>
      <c r="C3" s="59" t="s">
        <v>6</v>
      </c>
      <c r="D3" s="59">
        <v>23</v>
      </c>
      <c r="E3" s="91" t="s">
        <v>104</v>
      </c>
    </row>
    <row r="4" spans="1:5">
      <c r="A4" s="21">
        <v>3</v>
      </c>
      <c r="B4" s="85" t="str">
        <f ca="1">IFERROR(__xludf.DUMMYFUNCTION("GOOGLETRANSLATE(B4100:B4115,""RU"",""UK"")"),"Стовбур пожежний ПС-А 70мм")</f>
        <v>Стовбур пожежний ПС-А 70мм</v>
      </c>
      <c r="C4" s="59" t="s">
        <v>6</v>
      </c>
      <c r="D4" s="59">
        <v>10</v>
      </c>
      <c r="E4" s="91" t="s">
        <v>212</v>
      </c>
    </row>
    <row r="5" spans="1:5">
      <c r="A5" s="21">
        <v>4</v>
      </c>
      <c r="B5" s="85" t="str">
        <f ca="1">IFERROR(__xludf.DUMMYFUNCTION("GOOGLETRANSLATE(B4101:B4116,""RU"",""UK"")"),"Головка муфтова ГМ - 50мм вн.")</f>
        <v>Головка муфтова ГМ - 50мм вн.</v>
      </c>
      <c r="C5" s="59" t="s">
        <v>6</v>
      </c>
      <c r="D5" s="59">
        <v>10</v>
      </c>
      <c r="E5" s="91" t="s">
        <v>226</v>
      </c>
    </row>
    <row r="6" spans="1:5">
      <c r="A6" s="21">
        <v>5</v>
      </c>
      <c r="B6" s="85" t="str">
        <f ca="1">IFERROR(__xludf.DUMMYFUNCTION("GOOGLETRANSLATE(B4102:B4117,""RU"",""UK"")"),"Головка рукавна ГР-50 / ГР-70мм (Богданова)")</f>
        <v>Головка рукавна ГР-50 / ГР-70мм (Богданова)</v>
      </c>
      <c r="C6" s="59" t="s">
        <v>6</v>
      </c>
      <c r="D6" s="59" t="s">
        <v>5468</v>
      </c>
      <c r="E6" s="91" t="s">
        <v>596</v>
      </c>
    </row>
    <row r="7" spans="1:5">
      <c r="A7" s="21">
        <v>6</v>
      </c>
      <c r="B7" s="85" t="str">
        <f ca="1">IFERROR(__xludf.DUMMYFUNCTION("GOOGLETRANSLATE(B4103:B4118,""RU"",""UK"")"),"Ключ ріжковий (безіскровий) 9х11")</f>
        <v>Ключ ріжковий (безіскровий) 9х11</v>
      </c>
      <c r="C7" s="59" t="s">
        <v>6</v>
      </c>
      <c r="D7" s="59">
        <v>3</v>
      </c>
      <c r="E7" s="91" t="s">
        <v>255</v>
      </c>
    </row>
    <row r="8" spans="1:5">
      <c r="A8" s="21">
        <v>7</v>
      </c>
      <c r="B8" s="85" t="str">
        <f ca="1">IFERROR(__xludf.DUMMYFUNCTION("GOOGLETRANSLATE(B4104:B4119,""RU"",""UK"")"),"Ключ ріжковий (безіскровий) 17х19")</f>
        <v>Ключ ріжковий (безіскровий) 17х19</v>
      </c>
      <c r="C8" s="59" t="s">
        <v>6</v>
      </c>
      <c r="D8" s="59">
        <v>2</v>
      </c>
      <c r="E8" s="91" t="s">
        <v>319</v>
      </c>
    </row>
    <row r="9" spans="1:5">
      <c r="A9" s="21">
        <v>8</v>
      </c>
      <c r="B9" s="85" t="str">
        <f ca="1">IFERROR(__xludf.DUMMYFUNCTION("GOOGLETRANSLATE(B4105:B4120,""RU"",""UK"")"),"Ключ ріжковий (безіскровий) 32х36")</f>
        <v>Ключ ріжковий (безіскровий) 32х36</v>
      </c>
      <c r="C9" s="59" t="s">
        <v>6</v>
      </c>
      <c r="D9" s="59">
        <v>4</v>
      </c>
      <c r="E9" s="91" t="s">
        <v>327</v>
      </c>
    </row>
    <row r="10" spans="1:5">
      <c r="A10" s="21">
        <v>9</v>
      </c>
      <c r="B10" s="115" t="str">
        <f ca="1">IFERROR(__xludf.DUMMYFUNCTION("GOOGLETRANSLATE(B4106:B4121,""RU"",""UK"")"),"Ключ ріжковий (безіскровий) 41х46")</f>
        <v>Ключ ріжковий (безіскровий) 41х46</v>
      </c>
      <c r="C10" s="59" t="s">
        <v>6</v>
      </c>
      <c r="D10" s="59">
        <v>2</v>
      </c>
      <c r="E10" s="91" t="s">
        <v>24</v>
      </c>
    </row>
    <row r="11" spans="1:5">
      <c r="A11" s="63">
        <v>10</v>
      </c>
      <c r="B11" s="132" t="str">
        <f ca="1">IFERROR(__xludf.DUMMYFUNCTION("GOOGLETRANSLATE(B4107:B4122,""RU"",""UK"")"),"Ключ ріжковий (безіскровий) 46х50")</f>
        <v>Ключ ріжковий (безіскровий) 46х50</v>
      </c>
      <c r="C11" s="59" t="s">
        <v>6</v>
      </c>
      <c r="D11" s="59">
        <v>2</v>
      </c>
      <c r="E11" s="91" t="s">
        <v>413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6"/>
  <sheetViews>
    <sheetView topLeftCell="A360" zoomScale="220" zoomScaleNormal="220" workbookViewId="0">
      <selection activeCell="D366" sqref="D366"/>
    </sheetView>
  </sheetViews>
  <sheetFormatPr defaultRowHeight="12.75"/>
  <cols>
    <col min="2" max="2" width="68.5703125" customWidth="1"/>
  </cols>
  <sheetData>
    <row r="1" spans="1:5">
      <c r="A1" s="43"/>
      <c r="B1" s="110" t="str">
        <f ca="1">IFERROR(__xludf.DUMMYFUNCTION("GOOGLETRANSLATE(B1493:B1508,""RU"",""UK"")"),"1. РІЗЦІ  ТОКАРНІ  НАПАЯНІ")</f>
        <v>1. РІЗЦІ  ТОКАРНІ  НАПАЯНІ</v>
      </c>
      <c r="C1" s="29"/>
      <c r="D1" s="29"/>
      <c r="E1" s="95"/>
    </row>
    <row r="2" spans="1:5">
      <c r="A2" s="21">
        <v>1</v>
      </c>
      <c r="B2" s="85" t="str">
        <f ca="1">IFERROR(__xludf.DUMMYFUNCTION("GOOGLETRANSLATE(B1494:B1509,""RU"",""UK"")"),"Різець токарний прохідний прямий Т5К10 16х16х80/16х16х80лев")</f>
        <v>Різець токарний прохідний прямий Т5К10 16х16х80/16х16х80лев</v>
      </c>
      <c r="C2" s="59" t="s">
        <v>6</v>
      </c>
      <c r="D2" s="165">
        <v>43595</v>
      </c>
      <c r="E2" s="91" t="s">
        <v>201</v>
      </c>
    </row>
    <row r="3" spans="1:5">
      <c r="A3" s="21">
        <v>2</v>
      </c>
      <c r="B3" s="85" t="str">
        <f ca="1">IFERROR(__xludf.DUMMYFUNCTION("GOOGLETRANSLATE(B1495:B1510,""RU"",""UK"")"),"Різець токарний прохідний прямий Т5К10 16х16х110 лів")</f>
        <v>Різець токарний прохідний прямий Т5К10 16х16х110 лів</v>
      </c>
      <c r="C3" s="59" t="s">
        <v>6</v>
      </c>
      <c r="D3" s="59">
        <v>46</v>
      </c>
      <c r="E3" s="91">
        <v>66</v>
      </c>
    </row>
    <row r="4" spans="1:5">
      <c r="A4" s="21">
        <v>3</v>
      </c>
      <c r="B4" s="85" t="str">
        <f ca="1">IFERROR(__xludf.DUMMYFUNCTION("GOOGLETRANSLATE(B1495:B1510,""RU"",""UK"")"),"Різець токарний прохідний прямий Т5К10 20х20х100лев/20х12х110")</f>
        <v>Різець токарний прохідний прямий Т5К10 20х20х100лев/20х12х110</v>
      </c>
      <c r="C4" s="59" t="s">
        <v>6</v>
      </c>
      <c r="D4" s="59" t="s">
        <v>1200</v>
      </c>
      <c r="E4" s="91">
        <v>72</v>
      </c>
    </row>
    <row r="5" spans="1:5">
      <c r="A5" s="21">
        <v>4</v>
      </c>
      <c r="B5" s="85" t="str">
        <f ca="1">IFERROR(__xludf.DUMMYFUNCTION("GOOGLETRANSLATE(B1496:B1511,""RU"",""UK"")"),"Різець токарний прохідний упорний. Т5К10 d-15х50лев / d-20х80лев")</f>
        <v>Різець токарний прохідний упорний. Т5К10 d-15х50лев / d-20х80лев</v>
      </c>
      <c r="C5" s="59" t="s">
        <v>6</v>
      </c>
      <c r="D5" s="59" t="s">
        <v>2117</v>
      </c>
      <c r="E5" s="91" t="s">
        <v>169</v>
      </c>
    </row>
    <row r="6" spans="1:5">
      <c r="A6" s="21">
        <v>5</v>
      </c>
      <c r="B6" s="85" t="str">
        <f ca="1">IFERROR(__xludf.DUMMYFUNCTION("GOOGLETRANSLATE(B1497:B1512,""RU"",""UK"")"),"Різець токарний прохідний прямий Т5К10 20х16х110/25х16-20х120")</f>
        <v>Різець токарний прохідний прямий Т5К10 20х16х110/25х16-20х120</v>
      </c>
      <c r="C6" s="59" t="s">
        <v>6</v>
      </c>
      <c r="D6" s="59" t="s">
        <v>6165</v>
      </c>
      <c r="E6" s="91" t="s">
        <v>564</v>
      </c>
    </row>
    <row r="7" spans="1:5">
      <c r="A7" s="21">
        <v>6</v>
      </c>
      <c r="B7" s="85" t="str">
        <f ca="1">IFERROR(__xludf.DUMMYFUNCTION("GOOGLETRANSLATE(B1498:B1513,""RU"",""UK"")"),"Різець токарний прохідний прямий Т5К10 25х16х140/25х20х140")</f>
        <v>Різець токарний прохідний прямий Т5К10 25х16х140/25х20х140</v>
      </c>
      <c r="C7" s="59" t="s">
        <v>6</v>
      </c>
      <c r="D7" s="59" t="s">
        <v>6415</v>
      </c>
      <c r="E7" s="91" t="s">
        <v>1553</v>
      </c>
    </row>
    <row r="8" spans="1:5">
      <c r="A8" s="21">
        <v>7</v>
      </c>
      <c r="B8" s="85" t="str">
        <f ca="1">IFERROR(__xludf.DUMMYFUNCTION("GOOGLETRANSLATE(B1499:B1514,""RU"",""UK"")"),"Різець токарний прохідний прямий Т5К10 25х25х200")</f>
        <v>Різець токарний прохідний прямий Т5К10 25х25х200</v>
      </c>
      <c r="C8" s="59" t="s">
        <v>6</v>
      </c>
      <c r="D8" s="59">
        <v>4</v>
      </c>
      <c r="E8" s="91" t="s">
        <v>136</v>
      </c>
    </row>
    <row r="9" spans="1:5">
      <c r="A9" s="21">
        <v>8</v>
      </c>
      <c r="B9" s="85" t="str">
        <f ca="1">IFERROR(__xludf.DUMMYFUNCTION("GOOGLETRANSLATE(B1500:B1515,""RU"",""UK"")"),"Різець токарний прохідний прямий Т5К10 32х20х170")</f>
        <v>Різець токарний прохідний прямий Т5К10 32х20х170</v>
      </c>
      <c r="C9" s="59" t="s">
        <v>6</v>
      </c>
      <c r="D9" s="59">
        <v>44</v>
      </c>
      <c r="E9" s="91" t="s">
        <v>557</v>
      </c>
    </row>
    <row r="10" spans="1:5">
      <c r="A10" s="21">
        <v>9</v>
      </c>
      <c r="B10" s="85" t="str">
        <f ca="1">IFERROR(__xludf.DUMMYFUNCTION("GOOGLETRANSLATE(B1501:B1516,""RU"",""UK"")"),"Різець токарний прохідний прямий Т5К10 40х25х200")</f>
        <v>Різець токарний прохідний прямий Т5К10 40х25х200</v>
      </c>
      <c r="C10" s="59" t="s">
        <v>6</v>
      </c>
      <c r="D10" s="59">
        <v>1</v>
      </c>
      <c r="E10" s="91" t="s">
        <v>119</v>
      </c>
    </row>
    <row r="11" spans="1:5">
      <c r="A11" s="21">
        <f t="shared" ref="A11:A74" si="0">A10+1</f>
        <v>10</v>
      </c>
      <c r="B11" s="85" t="str">
        <f ca="1">IFERROR(__xludf.DUMMYFUNCTION("GOOGLETRANSLATE(B1502:B1517,""RU"",""UK"")"),"Різець токарний прохідний упорний. прямий Т5К10 20х20х100 лев")</f>
        <v>Різець токарний прохідний упорний. прямий Т5К10 20х20х100 лев</v>
      </c>
      <c r="C11" s="59" t="s">
        <v>6</v>
      </c>
      <c r="D11" s="59">
        <v>5</v>
      </c>
      <c r="E11" s="91" t="s">
        <v>181</v>
      </c>
    </row>
    <row r="12" spans="1:5">
      <c r="A12" s="21">
        <f t="shared" si="0"/>
        <v>11</v>
      </c>
      <c r="B12" s="85" t="str">
        <f ca="1">IFERROR(__xludf.DUMMYFUNCTION("GOOGLETRANSLATE(B1503:B1518,""RU"",""UK"")"),"Різець токарний прохідний упорний. прямий Т5К10 25х20х140")</f>
        <v>Різець токарний прохідний упорний. прямий Т5К10 25х20х140</v>
      </c>
      <c r="C12" s="59" t="s">
        <v>6</v>
      </c>
      <c r="D12" s="59">
        <v>1</v>
      </c>
      <c r="E12" s="91" t="s">
        <v>1553</v>
      </c>
    </row>
    <row r="13" spans="1:5">
      <c r="A13" s="21">
        <f t="shared" si="0"/>
        <v>12</v>
      </c>
      <c r="B13" s="85" t="str">
        <f ca="1">IFERROR(__xludf.DUMMYFUNCTION("GOOGLETRANSLATE(B1504:B1519,""RU"",""UK"")"),"Різець токарний прохідний упорний. прямий Т5К10 25х25х120")</f>
        <v>Різець токарний прохідний упорний. прямий Т5К10 25х25х120</v>
      </c>
      <c r="C13" s="59" t="s">
        <v>6</v>
      </c>
      <c r="D13" s="59">
        <v>6</v>
      </c>
      <c r="E13" s="91" t="s">
        <v>185</v>
      </c>
    </row>
    <row r="14" spans="1:5">
      <c r="A14" s="21">
        <f t="shared" si="0"/>
        <v>13</v>
      </c>
      <c r="B14" s="85" t="str">
        <f ca="1">IFERROR(__xludf.DUMMYFUNCTION("GOOGLETRANSLATE(B1505:B1520,""RU"",""UK"")"),"Різець токарний прохідний упорний. прямий Т5К10 28х20х140")</f>
        <v>Різець токарний прохідний упорний. прямий Т5К10 28х20х140</v>
      </c>
      <c r="C14" s="59" t="s">
        <v>6</v>
      </c>
      <c r="D14" s="59">
        <v>15</v>
      </c>
      <c r="E14" s="91" t="s">
        <v>136</v>
      </c>
    </row>
    <row r="15" spans="1:5">
      <c r="A15" s="21">
        <f t="shared" si="0"/>
        <v>14</v>
      </c>
      <c r="B15" s="85" t="str">
        <f ca="1">IFERROR(__xludf.DUMMYFUNCTION("GOOGLETRANSLATE(B1506:B1521,""RU"",""UK"")"),"Різець токарний прохідний упорний. прямий Т5К10 30х20х140")</f>
        <v>Різець токарний прохідний упорний. прямий Т5К10 30х20х140</v>
      </c>
      <c r="C15" s="59" t="s">
        <v>6</v>
      </c>
      <c r="D15" s="59">
        <v>6</v>
      </c>
      <c r="E15" s="91" t="s">
        <v>348</v>
      </c>
    </row>
    <row r="16" spans="1:5">
      <c r="A16" s="21">
        <f t="shared" si="0"/>
        <v>15</v>
      </c>
      <c r="B16" s="85" t="str">
        <f ca="1">IFERROR(__xludf.DUMMYFUNCTION("GOOGLETRANSLATE(B1507:B1522,""RU"",""UK"")"),"Різець токарний прохідний упорний. прямий двостор. Т5К10 30х20х140")</f>
        <v>Різець токарний прохідний упорний. прямий двостор. Т5К10 30х20х140</v>
      </c>
      <c r="C16" s="59" t="s">
        <v>6</v>
      </c>
      <c r="D16" s="59">
        <v>4</v>
      </c>
      <c r="E16" s="91" t="s">
        <v>344</v>
      </c>
    </row>
    <row r="17" spans="1:5">
      <c r="A17" s="21">
        <f t="shared" si="0"/>
        <v>16</v>
      </c>
      <c r="B17" s="85" t="str">
        <f ca="1">IFERROR(__xludf.DUMMYFUNCTION("GOOGLETRANSLATE(B1508:B1523,""RU"",""UK"")"),"Різець токарний прохідний упорний. Відігнати. Т5К10 16х12х100пр/16х10х100лев")</f>
        <v>Різець токарний прохідний упорний. Відігнати. Т5К10 16х12х100пр/16х10х100лев</v>
      </c>
      <c r="C17" s="59" t="s">
        <v>6</v>
      </c>
      <c r="D17" s="59" t="s">
        <v>2132</v>
      </c>
      <c r="E17" s="91" t="s">
        <v>201</v>
      </c>
    </row>
    <row r="18" spans="1:5">
      <c r="A18" s="21">
        <f t="shared" si="0"/>
        <v>17</v>
      </c>
      <c r="B18" s="85" t="str">
        <f ca="1">IFERROR(__xludf.DUMMYFUNCTION("GOOGLETRANSLATE(B1509:B1524,""RU"",""UK"")"),"Різець токарний прохідний відігнутий Т5К10 12х12х70")</f>
        <v>Різець токарний прохідний відігнутий Т5К10 12х12х70</v>
      </c>
      <c r="C18" s="59" t="s">
        <v>6</v>
      </c>
      <c r="D18" s="59">
        <v>4</v>
      </c>
      <c r="E18" s="91" t="s">
        <v>169</v>
      </c>
    </row>
    <row r="19" spans="1:5">
      <c r="A19" s="21">
        <f t="shared" si="0"/>
        <v>18</v>
      </c>
      <c r="B19" s="85" t="str">
        <f ca="1">IFERROR(__xludf.DUMMYFUNCTION("GOOGLETRANSLATE(B1510:B1525,""RU"",""UK"")"),"Різець токарний прохідний відігнутий Т5К10 20х12х120")</f>
        <v>Різець токарний прохідний відігнутий Т5К10 20х12х120</v>
      </c>
      <c r="C19" s="59" t="s">
        <v>6</v>
      </c>
      <c r="D19" s="59">
        <v>85</v>
      </c>
      <c r="E19" s="91" t="s">
        <v>598</v>
      </c>
    </row>
    <row r="20" spans="1:5">
      <c r="A20" s="21">
        <f t="shared" si="0"/>
        <v>19</v>
      </c>
      <c r="B20" s="85" t="str">
        <f ca="1">IFERROR(__xludf.DUMMYFUNCTION("GOOGLETRANSLATE(B1511:B1526,""RU"",""UK"")"),"Різець токарний прохідний упорний відігнутий Т5К10 20х12х120")</f>
        <v>Різець токарний прохідний упорний відігнутий Т5К10 20х12х120</v>
      </c>
      <c r="C20" s="59" t="s">
        <v>6</v>
      </c>
      <c r="D20" s="59">
        <v>53</v>
      </c>
      <c r="E20" s="91">
        <v>78</v>
      </c>
    </row>
    <row r="21" spans="1:5">
      <c r="A21" s="21">
        <f t="shared" si="0"/>
        <v>20</v>
      </c>
      <c r="B21" s="85" t="str">
        <f ca="1">IFERROR(__xludf.DUMMYFUNCTION("GOOGLETRANSLATE(B1512:B1527,""RU"",""UK"")"),"Різець токарний прохідний упорний відігнутий Т5К10 20х16х120")</f>
        <v>Різець токарний прохідний упорний відігнутий Т5К10 20х16х120</v>
      </c>
      <c r="C21" s="59" t="s">
        <v>6</v>
      </c>
      <c r="D21" s="59">
        <v>6</v>
      </c>
      <c r="E21" s="91">
        <v>90</v>
      </c>
    </row>
    <row r="22" spans="1:5">
      <c r="A22" s="21">
        <f t="shared" si="0"/>
        <v>21</v>
      </c>
      <c r="B22" s="85" t="str">
        <f ca="1">IFERROR(__xludf.DUMMYFUNCTION("GOOGLETRANSLATE(B1512:B1527,""RU"",""UK"")"),"Різець токарний прохідний упорний відігнутий Т5К10 20х16х120лев")</f>
        <v>Різець токарний прохідний упорний відігнутий Т5К10 20х16х120лев</v>
      </c>
      <c r="C22" s="59" t="s">
        <v>6</v>
      </c>
      <c r="D22" s="59">
        <v>1</v>
      </c>
      <c r="E22" s="91">
        <v>84</v>
      </c>
    </row>
    <row r="23" spans="1:5">
      <c r="A23" s="21">
        <f t="shared" si="0"/>
        <v>22</v>
      </c>
      <c r="B23" s="85" t="str">
        <f ca="1">IFERROR(__xludf.DUMMYFUNCTION("GOOGLETRANSLATE(B1513:B1528,""RU"",""UK"")"),"Різець токарний прохідний упорний відігнутий Т5К10 20х20х140")</f>
        <v>Різець токарний прохідний упорний відігнутий Т5К10 20х20х140</v>
      </c>
      <c r="C23" s="59" t="s">
        <v>6</v>
      </c>
      <c r="D23" s="59">
        <v>10</v>
      </c>
      <c r="E23" s="91" t="s">
        <v>495</v>
      </c>
    </row>
    <row r="24" spans="1:5">
      <c r="A24" s="21">
        <f t="shared" si="0"/>
        <v>23</v>
      </c>
      <c r="B24" s="85" t="str">
        <f ca="1">IFERROR(__xludf.DUMMYFUNCTION("GOOGLETRANSLATE(B1514:B1529,""RU"",""UK"")"),"Різець токарний прохідний відігнутий Т5К10 20х16х120")</f>
        <v>Різець токарний прохідний відігнутий Т5К10 20х16х120</v>
      </c>
      <c r="C24" s="59" t="s">
        <v>6</v>
      </c>
      <c r="D24" s="59">
        <v>363</v>
      </c>
      <c r="E24" s="91" t="s">
        <v>338</v>
      </c>
    </row>
    <row r="25" spans="1:5">
      <c r="A25" s="21">
        <f t="shared" si="0"/>
        <v>24</v>
      </c>
      <c r="B25" s="85" t="str">
        <f ca="1">IFERROR(__xludf.DUMMYFUNCTION("GOOGLETRANSLATE(B1515:B1530,""RU"",""UK"")"),"Різець токарний прохідний відігнутий Т5К10 25х16х140")</f>
        <v>Різець токарний прохідний відігнутий Т5К10 25х16х140</v>
      </c>
      <c r="C25" s="59" t="s">
        <v>6</v>
      </c>
      <c r="D25" s="59">
        <v>107</v>
      </c>
      <c r="E25" s="91">
        <v>123</v>
      </c>
    </row>
    <row r="26" spans="1:5">
      <c r="A26" s="21">
        <f t="shared" si="0"/>
        <v>25</v>
      </c>
      <c r="B26" s="85" t="str">
        <f ca="1">IFERROR(__xludf.DUMMYFUNCTION("GOOGLETRANSLATE(B1515:B1530,""RU"",""UK"")"),"Різець токарний прохідний відігнутий Т5К10 25х16х140лев")</f>
        <v>Різець токарний прохідний відігнутий Т5К10 25х16х140лев</v>
      </c>
      <c r="C26" s="59" t="s">
        <v>6</v>
      </c>
      <c r="D26" s="59">
        <v>14</v>
      </c>
      <c r="E26" s="91">
        <v>129</v>
      </c>
    </row>
    <row r="27" spans="1:5">
      <c r="A27" s="21">
        <f t="shared" si="0"/>
        <v>26</v>
      </c>
      <c r="B27" s="85" t="str">
        <f ca="1">IFERROR(__xludf.DUMMYFUNCTION("GOOGLETRANSLATE(B1516:B1531,""RU"",""UK"")"),"Різець токарний прохідний відігнутий Т5К10 25х20х140")</f>
        <v>Різець токарний прохідний відігнутий Т5К10 25х20х140</v>
      </c>
      <c r="C27" s="59" t="s">
        <v>6</v>
      </c>
      <c r="D27" s="59">
        <v>1</v>
      </c>
      <c r="E27" s="91" t="s">
        <v>344</v>
      </c>
    </row>
    <row r="28" spans="1:5">
      <c r="A28" s="21">
        <f t="shared" si="0"/>
        <v>27</v>
      </c>
      <c r="B28" s="85" t="str">
        <f ca="1">IFERROR(__xludf.DUMMYFUNCTION("GOOGLETRANSLATE(B1516:B1531,""RU"",""UK"")"),"Різець токарний прохідний відігнутий Т5К10 25х20х140лев")</f>
        <v>Різець токарний прохідний відігнутий Т5К10 25х20х140лев</v>
      </c>
      <c r="C28" s="59" t="s">
        <v>6</v>
      </c>
      <c r="D28" s="59">
        <v>27</v>
      </c>
      <c r="E28" s="91">
        <v>132</v>
      </c>
    </row>
    <row r="29" spans="1:5">
      <c r="A29" s="21">
        <f t="shared" si="0"/>
        <v>28</v>
      </c>
      <c r="B29" s="85" t="str">
        <f ca="1">IFERROR(__xludf.DUMMYFUNCTION("GOOGLETRANSLATE(B1517:B1532,""RU"",""UK"")"),"Різець токарний прохідний відігнутий Т5К10 25х16х170")</f>
        <v>Різець токарний прохідний відігнутий Т5К10 25х16х170</v>
      </c>
      <c r="C29" s="59" t="s">
        <v>6</v>
      </c>
      <c r="D29" s="59">
        <v>6</v>
      </c>
      <c r="E29" s="91">
        <v>129</v>
      </c>
    </row>
    <row r="30" spans="1:5">
      <c r="A30" s="21">
        <f t="shared" si="0"/>
        <v>29</v>
      </c>
      <c r="B30" s="85" t="str">
        <f ca="1">IFERROR(__xludf.DUMMYFUNCTION("GOOGLETRANSLATE(B1518:B1533,""RU"",""UK"")"),"Різець токарний прохідний упорний прямий Т5К10 25х16х120")</f>
        <v>Різець токарний прохідний упорний прямий Т5К10 25х16х120</v>
      </c>
      <c r="C30" s="59" t="s">
        <v>6</v>
      </c>
      <c r="D30" s="59">
        <v>17</v>
      </c>
      <c r="E30" s="91" t="s">
        <v>371</v>
      </c>
    </row>
    <row r="31" spans="1:5">
      <c r="A31" s="21">
        <f t="shared" si="0"/>
        <v>30</v>
      </c>
      <c r="B31" s="85" t="str">
        <f ca="1">IFERROR(__xludf.DUMMYFUNCTION("GOOGLETRANSLATE(B1520:B1535,""RU"",""UK"")"),"Різець токарний прохідний упорний відігнутий Т5К10 25х16х140")</f>
        <v>Різець токарний прохідний упорний відігнутий Т5К10 25х16х140</v>
      </c>
      <c r="C31" s="59" t="s">
        <v>6</v>
      </c>
      <c r="D31" s="59">
        <v>34</v>
      </c>
      <c r="E31" s="91">
        <v>126</v>
      </c>
    </row>
    <row r="32" spans="1:5">
      <c r="A32" s="21">
        <f t="shared" si="0"/>
        <v>31</v>
      </c>
      <c r="B32" s="85" t="str">
        <f ca="1">IFERROR(__xludf.DUMMYFUNCTION("GOOGLETRANSLATE(B1520:B1535,""RU"",""UK"")"),"Різець токарний прохідний упорний відігнутий Т5К10 25х20х140")</f>
        <v>Різець токарний прохідний упорний відігнутий Т5К10 25х20х140</v>
      </c>
      <c r="C32" s="59" t="s">
        <v>6</v>
      </c>
      <c r="D32" s="59">
        <v>6</v>
      </c>
      <c r="E32" s="91">
        <v>132</v>
      </c>
    </row>
    <row r="33" spans="1:5">
      <c r="A33" s="21">
        <f t="shared" si="0"/>
        <v>32</v>
      </c>
      <c r="B33" s="85" t="str">
        <f ca="1">IFERROR(__xludf.DUMMYFUNCTION("GOOGLETRANSLATE(B1522:B1537,""RU"",""UK"")"),"Різець токарний прохідний упорний відігнутий Т5К10 25х20х140 лев.")</f>
        <v>Різець токарний прохідний упорний відігнутий Т5К10 25х20х140 лев.</v>
      </c>
      <c r="C33" s="59" t="s">
        <v>6</v>
      </c>
      <c r="D33" s="59">
        <v>4</v>
      </c>
      <c r="E33" s="91">
        <v>138</v>
      </c>
    </row>
    <row r="34" spans="1:5">
      <c r="A34" s="21">
        <f t="shared" si="0"/>
        <v>33</v>
      </c>
      <c r="B34" s="85" t="str">
        <f ca="1">IFERROR(__xludf.DUMMYFUNCTION("GOOGLETRANSLATE(B1523:B1538,""RU"",""UK"")"),"Різець токарний прохідний упорний прямий Т5К10 25х20х140")</f>
        <v>Різець токарний прохідний упорний прямий Т5К10 25х20х140</v>
      </c>
      <c r="C34" s="59" t="s">
        <v>6</v>
      </c>
      <c r="D34" s="59">
        <v>5</v>
      </c>
      <c r="E34" s="91" t="s">
        <v>185</v>
      </c>
    </row>
    <row r="35" spans="1:5">
      <c r="A35" s="21">
        <f t="shared" si="0"/>
        <v>34</v>
      </c>
      <c r="B35" s="85" t="str">
        <f ca="1">IFERROR(__xludf.DUMMYFUNCTION("GOOGLETRANSLATE(B1524:B1539,""RU"",""UK"")"),"Різець токарний прохідний упорний прямий Т5К10 30х20х140")</f>
        <v>Різець токарний прохідний упорний прямий Т5К10 30х20х140</v>
      </c>
      <c r="C35" s="59" t="s">
        <v>6</v>
      </c>
      <c r="D35" s="59">
        <v>1</v>
      </c>
      <c r="E35" s="91" t="s">
        <v>136</v>
      </c>
    </row>
    <row r="36" spans="1:5">
      <c r="A36" s="21">
        <f t="shared" si="0"/>
        <v>35</v>
      </c>
      <c r="B36" s="85" t="str">
        <f ca="1">IFERROR(__xludf.DUMMYFUNCTION("GOOGLETRANSLATE(B1525:B1540,""RU"",""UK"")"),"Різець токарний прохідний відігнутий Т5К10 32х20х170")</f>
        <v>Різець токарний прохідний відігнутий Т5К10 32х20х170</v>
      </c>
      <c r="C36" s="59" t="s">
        <v>6</v>
      </c>
      <c r="D36" s="59">
        <v>334</v>
      </c>
      <c r="E36" s="91">
        <v>150</v>
      </c>
    </row>
    <row r="37" spans="1:5">
      <c r="A37" s="21">
        <f t="shared" si="0"/>
        <v>36</v>
      </c>
      <c r="B37" s="85" t="str">
        <f ca="1">IFERROR(__xludf.DUMMYFUNCTION("GOOGLETRANSLATE(B1526:B1541,""RU"",""UK"")"),"Різець токарний прохідний відігнутий Т5К10 32х20х170 лев")</f>
        <v>Різець токарний прохідний відігнутий Т5К10 32х20х170 лев</v>
      </c>
      <c r="C37" s="59" t="s">
        <v>6</v>
      </c>
      <c r="D37" s="59">
        <v>10</v>
      </c>
      <c r="E37" s="91">
        <v>175</v>
      </c>
    </row>
    <row r="38" spans="1:5">
      <c r="A38" s="21">
        <f t="shared" si="0"/>
        <v>37</v>
      </c>
      <c r="B38" s="85" t="str">
        <f ca="1">IFERROR(__xludf.DUMMYFUNCTION("GOOGLETRANSLATE(B1527:B1542,""RU"",""UK"")"),"Різець токарний прохідний упорний відігнутий Т5К10 32х20х170")</f>
        <v>Різець токарний прохідний упорний відігнутий Т5К10 32х20х170</v>
      </c>
      <c r="C38" s="59" t="s">
        <v>6</v>
      </c>
      <c r="D38" s="59">
        <v>35</v>
      </c>
      <c r="E38" s="91" t="s">
        <v>319</v>
      </c>
    </row>
    <row r="39" spans="1:5">
      <c r="A39" s="21">
        <f t="shared" si="0"/>
        <v>38</v>
      </c>
      <c r="B39" s="200" t="str">
        <f ca="1">IFERROR(__xludf.DUMMYFUNCTION("GOOGLETRANSLATE(B1528:B1543,""RU"",""UK"")"),"Різець токарний прохідний упорний відігнутий Т5К10 32х20х170 лев")</f>
        <v>Різець токарний прохідний упорний відігнутий Т5К10 32х20х170 лев</v>
      </c>
      <c r="C39" s="59" t="s">
        <v>6</v>
      </c>
      <c r="D39" s="59">
        <v>0</v>
      </c>
      <c r="E39" s="91">
        <v>175</v>
      </c>
    </row>
    <row r="40" spans="1:5">
      <c r="A40" s="21">
        <f t="shared" si="0"/>
        <v>39</v>
      </c>
      <c r="B40" s="85" t="str">
        <f ca="1">IFERROR(__xludf.DUMMYFUNCTION("GOOGLETRANSLATE(B1529:B1544,""RU"",""UK"")"),"Різець токарний прохідний відігнутий Т5К10 32х25х160")</f>
        <v>Різець токарний прохідний відігнутий Т5К10 32х25х160</v>
      </c>
      <c r="C40" s="59" t="s">
        <v>6</v>
      </c>
      <c r="D40" s="59">
        <v>22</v>
      </c>
      <c r="E40" s="91">
        <v>150</v>
      </c>
    </row>
    <row r="41" spans="1:5">
      <c r="A41" s="21">
        <f t="shared" si="0"/>
        <v>40</v>
      </c>
      <c r="B41" s="85" t="str">
        <f ca="1">IFERROR(__xludf.DUMMYFUNCTION("GOOGLETRANSLATE(B1530:B1545,""RU"",""UK"")"),"Різець токарний прохідний відігнутий Т5К10 40х25х200")</f>
        <v>Різець токарний прохідний відігнутий Т5К10 40х25х200</v>
      </c>
      <c r="C41" s="59" t="s">
        <v>6</v>
      </c>
      <c r="D41" s="59">
        <v>82</v>
      </c>
      <c r="E41" s="91">
        <v>300</v>
      </c>
    </row>
    <row r="42" spans="1:5">
      <c r="A42" s="21">
        <f t="shared" si="0"/>
        <v>41</v>
      </c>
      <c r="B42" s="221" t="str">
        <f ca="1">IFERROR(__xludf.DUMMYFUNCTION("GOOGLETRANSLATE(B1532:B1547,""RU"",""UK"")"),"Різець токарний прохідний відігнутий Т5К10 40х25х200 лев")</f>
        <v>Різець токарний прохідний відігнутий Т5К10 40х25х200 лев</v>
      </c>
      <c r="C42" s="59" t="s">
        <v>6</v>
      </c>
      <c r="D42" s="59">
        <v>23</v>
      </c>
      <c r="E42" s="91">
        <v>300</v>
      </c>
    </row>
    <row r="43" spans="1:5">
      <c r="A43" s="21">
        <f t="shared" si="0"/>
        <v>42</v>
      </c>
      <c r="B43" s="169" t="str">
        <f ca="1">IFERROR(__xludf.DUMMYFUNCTION("GOOGLETRANSLATE(B1533:B1548,""RU"",""UK"")"),"Різець токарний прохідний упорний. відігнутий Т5К10 40х25х200лев")</f>
        <v>Різець токарний прохідний упорний. відігнутий Т5К10 40х25х200лев</v>
      </c>
      <c r="C43" s="59" t="s">
        <v>6</v>
      </c>
      <c r="D43" s="59">
        <v>38</v>
      </c>
      <c r="E43" s="91">
        <v>300</v>
      </c>
    </row>
    <row r="44" spans="1:5">
      <c r="A44" s="21">
        <f t="shared" si="0"/>
        <v>43</v>
      </c>
      <c r="B44" s="169" t="str">
        <f ca="1">IFERROR(__xludf.DUMMYFUNCTION("GOOGLETRANSLATE(B1533:B1548,""RU"",""UK"")"),"Різець токарний прохідний упорний. відігнутий Т5К10 40х30х200лев")</f>
        <v>Різець токарний прохідний упорний. відігнутий Т5К10 40х30х200лев</v>
      </c>
      <c r="C44" s="59" t="s">
        <v>6</v>
      </c>
      <c r="D44" s="59">
        <v>14</v>
      </c>
      <c r="E44" s="91">
        <v>330</v>
      </c>
    </row>
    <row r="45" spans="1:5">
      <c r="A45" s="21">
        <f t="shared" si="0"/>
        <v>44</v>
      </c>
      <c r="B45" s="164" t="str">
        <f ca="1">IFERROR(__xludf.DUMMYFUNCTION("GOOGLETRANSLATE(B1534:B1549,""RU"",""UK"")"),"Різець токарний прохідний упорний відігнутий Т5К10 40х25х200")</f>
        <v>Різець токарний прохідний упорний відігнутий Т5К10 40х25х200</v>
      </c>
      <c r="C45" s="59" t="s">
        <v>6</v>
      </c>
      <c r="D45" s="59">
        <v>30</v>
      </c>
      <c r="E45" s="91">
        <v>300</v>
      </c>
    </row>
    <row r="46" spans="1:5">
      <c r="A46" s="21">
        <f t="shared" si="0"/>
        <v>45</v>
      </c>
      <c r="B46" s="164" t="str">
        <f ca="1">IFERROR(__xludf.DUMMYFUNCTION("GOOGLETRANSLATE(B1534:B1549,""RU"",""UK"")"),"Різець токарний прохідний упорний відігнутий Т5К10 45х30х240")</f>
        <v>Різець токарний прохідний упорний відігнутий Т5К10 45х30х240</v>
      </c>
      <c r="C46" s="59" t="s">
        <v>6</v>
      </c>
      <c r="D46" s="59">
        <v>2</v>
      </c>
      <c r="E46" s="91">
        <v>360</v>
      </c>
    </row>
    <row r="47" spans="1:5">
      <c r="A47" s="21">
        <f t="shared" si="0"/>
        <v>46</v>
      </c>
      <c r="B47" s="85" t="str">
        <f ca="1">IFERROR(__xludf.DUMMYFUNCTION("GOOGLETRANSLATE(B1535:B1550,""RU"",""UK"")"),"Різець токарний прохідний прямий Т15К6 10х10х50")</f>
        <v>Різець токарний прохідний прямий Т15К6 10х10х50</v>
      </c>
      <c r="C47" s="59" t="s">
        <v>6</v>
      </c>
      <c r="D47" s="59">
        <v>26</v>
      </c>
      <c r="E47" s="91" t="s">
        <v>124</v>
      </c>
    </row>
    <row r="48" spans="1:5">
      <c r="A48" s="21">
        <f t="shared" si="0"/>
        <v>47</v>
      </c>
      <c r="B48" s="85" t="str">
        <f ca="1">IFERROR(__xludf.DUMMYFUNCTION("GOOGLETRANSLATE(B1536:B1551,""RU"",""UK"")"),"Різець токарний прохідний прямий Т15К6 12х12х40лев")</f>
        <v>Різець токарний прохідний прямий Т15К6 12х12х40лев</v>
      </c>
      <c r="C48" s="59" t="s">
        <v>6</v>
      </c>
      <c r="D48" s="59">
        <v>2</v>
      </c>
      <c r="E48" s="91" t="s">
        <v>167</v>
      </c>
    </row>
    <row r="49" spans="1:5">
      <c r="A49" s="21">
        <f t="shared" si="0"/>
        <v>48</v>
      </c>
      <c r="B49" s="85" t="str">
        <f ca="1">IFERROR(__xludf.DUMMYFUNCTION("GOOGLETRANSLATE(B1537:B1552,""RU"",""UK"")"),"Різець токарний прохідний прямий Т15К6 12х12х70")</f>
        <v>Різець токарний прохідний прямий Т15К6 12х12х70</v>
      </c>
      <c r="C49" s="59" t="s">
        <v>6</v>
      </c>
      <c r="D49" s="160">
        <v>43</v>
      </c>
      <c r="E49" s="91" t="s">
        <v>248</v>
      </c>
    </row>
    <row r="50" spans="1:5">
      <c r="A50" s="21">
        <f t="shared" si="0"/>
        <v>49</v>
      </c>
      <c r="B50" s="85" t="str">
        <f ca="1">IFERROR(__xludf.DUMMYFUNCTION("GOOGLETRANSLATE(B1537:B1552,""RU"",""UK"")"),"Різець токарний прохідний прямий Т15К6 14х14х50")</f>
        <v>Різець токарний прохідний прямий Т15К6 14х14х50</v>
      </c>
      <c r="C50" s="59" t="s">
        <v>6</v>
      </c>
      <c r="D50" s="160">
        <v>13</v>
      </c>
      <c r="E50" s="91" t="s">
        <v>248</v>
      </c>
    </row>
    <row r="51" spans="1:5">
      <c r="A51" s="21">
        <f>A50+1</f>
        <v>50</v>
      </c>
      <c r="B51" s="85" t="str">
        <f ca="1">IFERROR(__xludf.DUMMYFUNCTION("GOOGLETRANSLATE(B1538:B1553,""RU"",""UK"")"),"Різець токарний прохідний прямий Т15К6 14х14х40лев")</f>
        <v>Різець токарний прохідний прямий Т15К6 14х14х40лев</v>
      </c>
      <c r="C51" s="59" t="s">
        <v>6</v>
      </c>
      <c r="D51" s="59">
        <v>9</v>
      </c>
      <c r="E51" s="91" t="s">
        <v>169</v>
      </c>
    </row>
    <row r="52" spans="1:5">
      <c r="A52" s="21">
        <f t="shared" si="0"/>
        <v>51</v>
      </c>
      <c r="B52" s="85" t="str">
        <f ca="1">IFERROR(__xludf.DUMMYFUNCTION("GOOGLETRANSLATE(B1539:B1554,""RU"",""UK"")"),"Різець токарний прохідний прямий Т15К6 16х12х90")</f>
        <v>Різець токарний прохідний прямий Т15К6 16х12х90</v>
      </c>
      <c r="C52" s="59" t="s">
        <v>6</v>
      </c>
      <c r="D52" s="59">
        <v>2</v>
      </c>
      <c r="E52" s="91" t="s">
        <v>201</v>
      </c>
    </row>
    <row r="53" spans="1:5">
      <c r="A53" s="21">
        <f t="shared" si="0"/>
        <v>52</v>
      </c>
      <c r="B53" s="85" t="str">
        <f ca="1">IFERROR(__xludf.DUMMYFUNCTION("GOOGLETRANSLATE(B1540:B1555,""RU"",""UK"")"),"Різець токарний прохідний прямий Т15К6 16х16х90лев")</f>
        <v>Різець токарний прохідний прямий Т15К6 16х16х90лев</v>
      </c>
      <c r="C53" s="59" t="s">
        <v>6</v>
      </c>
      <c r="D53" s="59">
        <v>12</v>
      </c>
      <c r="E53" s="91" t="s">
        <v>253</v>
      </c>
    </row>
    <row r="54" spans="1:5">
      <c r="A54" s="21">
        <f t="shared" si="0"/>
        <v>53</v>
      </c>
      <c r="B54" s="85" t="str">
        <f ca="1">IFERROR(__xludf.DUMMYFUNCTION("GOOGLETRANSLATE(B1541:B1556,""RU"",""UK"")"),"Різець токарний прохідний прямий Т15К6 20х16х120/20х12х120")</f>
        <v>Різець токарний прохідний прямий Т15К6 20х16х120/20х12х120</v>
      </c>
      <c r="C54" s="59" t="s">
        <v>6</v>
      </c>
      <c r="D54" s="59" t="s">
        <v>6164</v>
      </c>
      <c r="E54" s="91" t="s">
        <v>338</v>
      </c>
    </row>
    <row r="55" spans="1:5">
      <c r="A55" s="21">
        <f t="shared" si="0"/>
        <v>54</v>
      </c>
      <c r="B55" s="85" t="str">
        <f ca="1">IFERROR(__xludf.DUMMYFUNCTION("GOOGLETRANSLATE(B1542:B1557,""RU"",""UK"")"),"Різець токарний прохідний прямий Т15К6 20х20х100 лев")</f>
        <v>Різець токарний прохідний прямий Т15К6 20х20х100 лев</v>
      </c>
      <c r="C55" s="59" t="s">
        <v>6</v>
      </c>
      <c r="D55" s="59">
        <v>32</v>
      </c>
      <c r="E55" s="91" t="s">
        <v>564</v>
      </c>
    </row>
    <row r="56" spans="1:5">
      <c r="A56" s="21">
        <f t="shared" si="0"/>
        <v>55</v>
      </c>
      <c r="B56" s="85" t="str">
        <f ca="1">IFERROR(__xludf.DUMMYFUNCTION("GOOGLETRANSLATE(B1543:B1558,""RU"",""UK"")"),"Різець токарний прохідний прямий Т15К6 25х16х140/25х20х140")</f>
        <v>Різець токарний прохідний прямий Т15К6 25х16х140/25х20х140</v>
      </c>
      <c r="C56" s="59" t="s">
        <v>6</v>
      </c>
      <c r="D56" s="59" t="s">
        <v>2172</v>
      </c>
      <c r="E56" s="91" t="s">
        <v>1553</v>
      </c>
    </row>
    <row r="57" spans="1:5">
      <c r="A57" s="21">
        <f t="shared" si="0"/>
        <v>56</v>
      </c>
      <c r="B57" s="85" t="str">
        <f ca="1">IFERROR(__xludf.DUMMYFUNCTION("GOOGLETRANSLATE(B1544:B1559,""RU"",""UK"")"),"Різець токарний прохідний прямий Т15К6 25х20х195/25х16х250")</f>
        <v>Різець токарний прохідний прямий Т15К6 25х20х195/25х16х250</v>
      </c>
      <c r="C57" s="59" t="s">
        <v>6</v>
      </c>
      <c r="D57" s="159">
        <v>45442</v>
      </c>
      <c r="E57" s="91" t="s">
        <v>185</v>
      </c>
    </row>
    <row r="58" spans="1:5">
      <c r="A58" s="21">
        <f t="shared" si="0"/>
        <v>57</v>
      </c>
      <c r="B58" s="85" t="str">
        <f ca="1">IFERROR(__xludf.DUMMYFUNCTION("GOOGLETRANSLATE(B1545:B1560,""RU"",""UK"")"),"Різець токарний прохідний прямий Т15К6 32х20х160")</f>
        <v>Різець токарний прохідний прямий Т15К6 32х20х160</v>
      </c>
      <c r="C58" s="59" t="s">
        <v>6</v>
      </c>
      <c r="D58" s="59">
        <v>51</v>
      </c>
      <c r="E58" s="91" t="s">
        <v>536</v>
      </c>
    </row>
    <row r="59" spans="1:5">
      <c r="A59" s="21">
        <f t="shared" si="0"/>
        <v>58</v>
      </c>
      <c r="B59" s="85" t="str">
        <f ca="1">IFERROR(__xludf.DUMMYFUNCTION("GOOGLETRANSLATE(B1546:B1561,""RU"",""UK"")"),"Різець токарний прохідний прямий Т15К6 40х25х200")</f>
        <v>Різець токарний прохідний прямий Т15К6 40х25х200</v>
      </c>
      <c r="C59" s="59" t="s">
        <v>6</v>
      </c>
      <c r="D59" s="59">
        <v>62</v>
      </c>
      <c r="E59" s="91" t="s">
        <v>327</v>
      </c>
    </row>
    <row r="60" spans="1:5">
      <c r="A60" s="21">
        <f t="shared" si="0"/>
        <v>59</v>
      </c>
      <c r="B60" s="85" t="str">
        <f ca="1">IFERROR(__xludf.DUMMYFUNCTION("GOOGLETRANSLATE(B1547:B1562,""RU"",""UK"")"),"Різець токарний прохідний упорний Т15К6 12х12х70 лев")</f>
        <v>Різець токарний прохідний упорний Т15К6 12х12х70 лев</v>
      </c>
      <c r="C60" s="59" t="s">
        <v>6</v>
      </c>
      <c r="D60" s="59">
        <v>0</v>
      </c>
      <c r="E60" s="91" t="s">
        <v>169</v>
      </c>
    </row>
    <row r="61" spans="1:5">
      <c r="A61" s="21">
        <f t="shared" si="0"/>
        <v>60</v>
      </c>
      <c r="B61" s="85" t="str">
        <f ca="1">IFERROR(__xludf.DUMMYFUNCTION("GOOGLETRANSLATE(B1548:B1563,""RU"",""UK"")"),"Різець токарний прохідний упорний відігнутий Т15К6 16х12х110")</f>
        <v>Різець токарний прохідний упорний відігнутий Т15К6 16х12х110</v>
      </c>
      <c r="C61" s="59" t="s">
        <v>6</v>
      </c>
      <c r="D61" s="59">
        <v>0</v>
      </c>
      <c r="E61" s="91" t="s">
        <v>598</v>
      </c>
    </row>
    <row r="62" spans="1:5">
      <c r="A62" s="21">
        <f t="shared" si="0"/>
        <v>61</v>
      </c>
      <c r="B62" s="85" t="str">
        <f ca="1">IFERROR(__xludf.DUMMYFUNCTION("GOOGLETRANSLATE(B1549:B1564,""RU"",""UK"")"),"Різець токарний прохідний відігнутий Т15К6 16х12х100")</f>
        <v>Різець токарний прохідний відігнутий Т15К6 16х12х100</v>
      </c>
      <c r="C62" s="59" t="s">
        <v>6</v>
      </c>
      <c r="D62" s="59">
        <v>7</v>
      </c>
      <c r="E62" s="91">
        <v>72</v>
      </c>
    </row>
    <row r="63" spans="1:5">
      <c r="A63" s="21">
        <f t="shared" si="0"/>
        <v>62</v>
      </c>
      <c r="B63" s="85" t="str">
        <f ca="1">IFERROR(__xludf.DUMMYFUNCTION("GOOGLETRANSLATE(B1549:B1564,""RU"",""UK"")"),"Різець токарний прохідний відігнутий Т15К6 16х12х100лев")</f>
        <v>Різець токарний прохідний відігнутий Т15К6 16х12х100лев</v>
      </c>
      <c r="C63" s="59" t="s">
        <v>6</v>
      </c>
      <c r="D63" s="59">
        <v>24</v>
      </c>
      <c r="E63" s="91">
        <v>78</v>
      </c>
    </row>
    <row r="64" spans="1:5">
      <c r="A64" s="21">
        <f t="shared" si="0"/>
        <v>63</v>
      </c>
      <c r="B64" s="85" t="str">
        <f ca="1">IFERROR(__xludf.DUMMYFUNCTION("GOOGLETRANSLATE(B1550:B1565,""RU"",""UK"")"),"Різець токарний прохідний відігнутий Т15К6 20х12х120")</f>
        <v>Різець токарний прохідний відігнутий Т15К6 20х12х120</v>
      </c>
      <c r="C64" s="59" t="s">
        <v>6</v>
      </c>
      <c r="D64" s="59">
        <v>58</v>
      </c>
      <c r="E64" s="91">
        <v>96</v>
      </c>
    </row>
    <row r="65" spans="1:5">
      <c r="A65" s="21">
        <f t="shared" si="0"/>
        <v>64</v>
      </c>
      <c r="B65" s="85" t="str">
        <f ca="1">IFERROR(__xludf.DUMMYFUNCTION("GOOGLETRANSLATE(B1551:B1566,""RU"",""UK"")"),"Різець токарний прохідний завзятий відігнутий. Т15К6 20х20х80")</f>
        <v>Різець токарний прохідний завзятий відігнутий. Т15К6 20х20х80</v>
      </c>
      <c r="C65" s="59" t="s">
        <v>6</v>
      </c>
      <c r="D65" s="160">
        <v>4</v>
      </c>
      <c r="E65" s="91">
        <v>99</v>
      </c>
    </row>
    <row r="66" spans="1:5">
      <c r="A66" s="21">
        <f t="shared" si="0"/>
        <v>65</v>
      </c>
      <c r="B66" s="85" t="str">
        <f ca="1">IFERROR(__xludf.DUMMYFUNCTION("GOOGLETRANSLATE(B1551:B1566,""RU"",""UK"")"),"Різець токарний прохідний завзятий відігнутий. Т15К6 20х12х120")</f>
        <v>Різець токарний прохідний завзятий відігнутий. Т15К6 20х12х120</v>
      </c>
      <c r="C66" s="59" t="s">
        <v>6</v>
      </c>
      <c r="D66" s="160">
        <v>10</v>
      </c>
      <c r="E66" s="91">
        <v>99</v>
      </c>
    </row>
    <row r="67" spans="1:5">
      <c r="A67" s="21">
        <f t="shared" si="0"/>
        <v>66</v>
      </c>
      <c r="B67" s="85" t="str">
        <f ca="1">IFERROR(__xludf.DUMMYFUNCTION("GOOGLETRANSLATE(B1552:B1567,""RU"",""UK"")"),"Різець токарний прохідний відігнутий Т15К6 20х16х120")</f>
        <v>Різець токарний прохідний відігнутий Т15К6 20х16х120</v>
      </c>
      <c r="C67" s="59" t="s">
        <v>6</v>
      </c>
      <c r="D67" s="59">
        <v>401</v>
      </c>
      <c r="E67" s="91">
        <v>99</v>
      </c>
    </row>
    <row r="68" spans="1:5">
      <c r="A68" s="21">
        <f t="shared" si="0"/>
        <v>67</v>
      </c>
      <c r="B68" s="85" t="str">
        <f ca="1">IFERROR(__xludf.DUMMYFUNCTION("GOOGLETRANSLATE(B1553:B1568,""RU"",""UK"")"),"Різець токарний прохідний упорний відігнутий Т15К6 20х16х120")</f>
        <v>Різець токарний прохідний упорний відігнутий Т15К6 20х16х120</v>
      </c>
      <c r="C68" s="59" t="s">
        <v>6</v>
      </c>
      <c r="D68" s="59">
        <v>86</v>
      </c>
      <c r="E68" s="91">
        <v>99</v>
      </c>
    </row>
    <row r="69" spans="1:5">
      <c r="A69" s="21">
        <f t="shared" si="0"/>
        <v>68</v>
      </c>
      <c r="B69" s="85" t="str">
        <f ca="1">IFERROR(__xludf.DUMMYFUNCTION("GOOGLETRANSLATE(B1554:B1569,""RU"",""UK"")"),"Різець токарний прохідний відігнутий Т15К6 20х20х140")</f>
        <v>Різець токарний прохідний відігнутий Т15К6 20х20х140</v>
      </c>
      <c r="C69" s="59" t="s">
        <v>6</v>
      </c>
      <c r="D69" s="59">
        <v>9</v>
      </c>
      <c r="E69" s="91">
        <v>99</v>
      </c>
    </row>
    <row r="70" spans="1:5">
      <c r="A70" s="21">
        <f t="shared" si="0"/>
        <v>69</v>
      </c>
      <c r="B70" s="85" t="str">
        <f ca="1">IFERROR(__xludf.DUMMYFUNCTION("GOOGLETRANSLATE(B1555:B1570,""RU"",""UK"")"),"Різець токарний прохідний відігнутий Т15К6 25х16х140")</f>
        <v>Різець токарний прохідний відігнутий Т15К6 25х16х140</v>
      </c>
      <c r="C70" s="59" t="s">
        <v>6</v>
      </c>
      <c r="D70" s="59">
        <v>440</v>
      </c>
      <c r="E70" s="91">
        <v>123</v>
      </c>
    </row>
    <row r="71" spans="1:5">
      <c r="A71" s="21">
        <f t="shared" si="0"/>
        <v>70</v>
      </c>
      <c r="B71" s="85" t="str">
        <f ca="1">IFERROR(__xludf.DUMMYFUNCTION("GOOGLETRANSLATE(B1556:B1571,""RU"",""UK"")"),"Різець токарний прохідний відігнутий Т15К6 25х16х140 лев")</f>
        <v>Різець токарний прохідний відігнутий Т15К6 25х16х140 лев</v>
      </c>
      <c r="C71" s="59" t="s">
        <v>6</v>
      </c>
      <c r="D71" s="59">
        <v>50</v>
      </c>
      <c r="E71" s="91" t="s">
        <v>344</v>
      </c>
    </row>
    <row r="72" spans="1:5">
      <c r="A72" s="21">
        <f t="shared" si="0"/>
        <v>71</v>
      </c>
      <c r="B72" s="85" t="str">
        <f ca="1">IFERROR(__xludf.DUMMYFUNCTION("GOOGLETRANSLATE(B1557:B1572,""RU"",""UK"")"),"Різець токарний прохідний відігнутий Т30К4 25х16х140")</f>
        <v>Різець токарний прохідний відігнутий Т30К4 25х16х140</v>
      </c>
      <c r="C72" s="59" t="s">
        <v>6</v>
      </c>
      <c r="D72" s="59">
        <v>8</v>
      </c>
      <c r="E72" s="91" t="s">
        <v>136</v>
      </c>
    </row>
    <row r="73" spans="1:5">
      <c r="A73" s="21">
        <f t="shared" si="0"/>
        <v>72</v>
      </c>
      <c r="B73" s="169" t="str">
        <f ca="1">IFERROR(__xludf.DUMMYFUNCTION("GOOGLETRANSLATE(B1558:B1573,""RU"",""UK"")"),"Різець токарний прохідний упорний відігнутий Т15К6 25х16х140")</f>
        <v>Різець токарний прохідний упорний відігнутий Т15К6 25х16х140</v>
      </c>
      <c r="C73" s="59" t="s">
        <v>6</v>
      </c>
      <c r="D73" s="37">
        <v>23</v>
      </c>
      <c r="E73" s="91">
        <v>126</v>
      </c>
    </row>
    <row r="74" spans="1:5">
      <c r="A74" s="21">
        <f t="shared" si="0"/>
        <v>73</v>
      </c>
      <c r="B74" s="85" t="str">
        <f ca="1">IFERROR(__xludf.DUMMYFUNCTION("GOOGLETRANSLATE(B1559:B1574,""RU"",""UK"")"),"Різець токарний прохідний упорний відігнутий Т15К6 25х16х140 лев")</f>
        <v>Різець токарний прохідний упорний відігнутий Т15К6 25х16х140 лев</v>
      </c>
      <c r="C74" s="59" t="s">
        <v>6</v>
      </c>
      <c r="D74" s="59">
        <v>239</v>
      </c>
      <c r="E74" s="91">
        <v>132</v>
      </c>
    </row>
    <row r="75" spans="1:5">
      <c r="A75" s="21">
        <f t="shared" ref="A75:A155" si="1">A74+1</f>
        <v>74</v>
      </c>
      <c r="B75" s="85" t="str">
        <f ca="1">IFERROR(__xludf.DUMMYFUNCTION("GOOGLETRANSLATE(B1560:B1575,""RU"",""UK"")"),"Різець токарний прохідний упорний відігнутий Т15К6 25х16х140 прав-лев")</f>
        <v>Різець токарний прохідний упорний відігнутий Т15К6 25х16х140 прав-лев</v>
      </c>
      <c r="C75" s="59" t="s">
        <v>6</v>
      </c>
      <c r="D75" s="37">
        <v>7</v>
      </c>
      <c r="E75" s="91" t="s">
        <v>344</v>
      </c>
    </row>
    <row r="76" spans="1:5">
      <c r="A76" s="21">
        <f t="shared" si="1"/>
        <v>75</v>
      </c>
      <c r="B76" s="85" t="str">
        <f ca="1">IFERROR(__xludf.DUMMYFUNCTION("GOOGLETRANSLATE(B1561:B1576,""RU"",""UK"")"),"Різець токарний прохідний упорний прямий Т15К6 25х16х120")</f>
        <v>Різець токарний прохідний упорний прямий Т15К6 25х16х120</v>
      </c>
      <c r="C76" s="37" t="s">
        <v>6</v>
      </c>
      <c r="D76" s="37">
        <v>0</v>
      </c>
      <c r="E76" s="92" t="s">
        <v>136</v>
      </c>
    </row>
    <row r="77" spans="1:5">
      <c r="A77" s="21">
        <f t="shared" si="1"/>
        <v>76</v>
      </c>
      <c r="B77" s="85" t="str">
        <f ca="1">IFERROR(__xludf.DUMMYFUNCTION("GOOGLETRANSLATE(B1562:B1577,""RU"",""UK"")"),"Різець токарний прохідний упорний відігнутий Т14К8 25х16х140")</f>
        <v>Різець токарний прохідний упорний відігнутий Т14К8 25х16х140</v>
      </c>
      <c r="C77" s="59" t="s">
        <v>6</v>
      </c>
      <c r="D77" s="59">
        <v>9</v>
      </c>
      <c r="E77" s="91" t="s">
        <v>136</v>
      </c>
    </row>
    <row r="78" spans="1:5">
      <c r="A78" s="21">
        <f t="shared" si="1"/>
        <v>77</v>
      </c>
      <c r="B78" s="85" t="str">
        <f ca="1">IFERROR(__xludf.DUMMYFUNCTION("GOOGLETRANSLATE(B1563:B1578,""RU"",""UK"")"),"Різець токарний прохідний упорний відігнутий Т15К6 25х20х140")</f>
        <v>Різець токарний прохідний упорний відігнутий Т15К6 25х20х140</v>
      </c>
      <c r="C78" s="59" t="s">
        <v>6</v>
      </c>
      <c r="D78" s="37">
        <v>97</v>
      </c>
      <c r="E78" s="91">
        <v>132</v>
      </c>
    </row>
    <row r="79" spans="1:5">
      <c r="A79" s="21">
        <f t="shared" si="1"/>
        <v>78</v>
      </c>
      <c r="B79" s="85" t="str">
        <f ca="1">IFERROR(__xludf.DUMMYFUNCTION("GOOGLETRANSLATE(B1564:B1579,""RU"",""UK"")"),"Різець токарний прохідний упорний відігнутий Т15К6 25х25х200")</f>
        <v>Різець токарний прохідний упорний відігнутий Т15К6 25х25х200</v>
      </c>
      <c r="C79" s="59" t="s">
        <v>6</v>
      </c>
      <c r="D79" s="62">
        <v>23</v>
      </c>
      <c r="E79" s="91">
        <v>136</v>
      </c>
    </row>
    <row r="80" spans="1:5">
      <c r="A80" s="21">
        <f t="shared" si="1"/>
        <v>79</v>
      </c>
      <c r="B80" s="85" t="str">
        <f ca="1">IFERROR(__xludf.DUMMYFUNCTION("GOOGLETRANSLATE(B1565:B1580,""RU"",""UK"")"),"Різець токарний прохідний відігнутий Т15К6 25х20х140")</f>
        <v>Різець токарний прохідний відігнутий Т15К6 25х20х140</v>
      </c>
      <c r="C80" s="59" t="s">
        <v>6</v>
      </c>
      <c r="D80" s="59">
        <v>884</v>
      </c>
      <c r="E80" s="91">
        <v>132</v>
      </c>
    </row>
    <row r="81" spans="1:5">
      <c r="A81" s="21">
        <f t="shared" si="1"/>
        <v>80</v>
      </c>
      <c r="B81" s="85" t="str">
        <f ca="1">IFERROR(__xludf.DUMMYFUNCTION("GOOGLETRANSLATE(B1566:B1581,""RU"",""UK"")"),"Різець токарний прохідний відігнутий Т15К6 25х20х170")</f>
        <v>Різець токарний прохідний відігнутий Т15К6 25х20х170</v>
      </c>
      <c r="C81" s="59" t="s">
        <v>6</v>
      </c>
      <c r="D81" s="59">
        <v>164</v>
      </c>
      <c r="E81" s="91">
        <v>132</v>
      </c>
    </row>
    <row r="82" spans="1:5">
      <c r="A82" s="21">
        <f t="shared" si="1"/>
        <v>81</v>
      </c>
      <c r="B82" s="85" t="str">
        <f ca="1">IFERROR(__xludf.DUMMYFUNCTION("GOOGLETRANSLATE(B1567:B1582,""RU"",""UK"")"),"Різець токарний прохідний відігнутий Т15К6 32х20х170")</f>
        <v>Різець токарний прохідний відігнутий Т15К6 32х20х170</v>
      </c>
      <c r="C82" s="59" t="s">
        <v>6</v>
      </c>
      <c r="D82" s="59">
        <v>950</v>
      </c>
      <c r="E82" s="91">
        <v>150</v>
      </c>
    </row>
    <row r="83" spans="1:5">
      <c r="A83" s="21">
        <f t="shared" si="1"/>
        <v>82</v>
      </c>
      <c r="B83" s="85" t="str">
        <f ca="1">IFERROR(__xludf.DUMMYFUNCTION("GOOGLETRANSLATE(B1568:B1583,""RU"",""UK"")"),"Різець токарний прохідний відігнутий Т15К6 32х25х170")</f>
        <v>Різець токарний прохідний відігнутий Т15К6 32х25х170</v>
      </c>
      <c r="C83" s="59" t="s">
        <v>6</v>
      </c>
      <c r="D83" s="59">
        <v>644</v>
      </c>
      <c r="E83" s="91">
        <v>156</v>
      </c>
    </row>
    <row r="84" spans="1:5">
      <c r="A84" s="21">
        <f t="shared" si="1"/>
        <v>83</v>
      </c>
      <c r="B84" s="85" t="str">
        <f ca="1">IFERROR(__xludf.DUMMYFUNCTION("GOOGLETRANSLATE(B1569:B1584,""RU"",""UK"")"),"Різець токарний прохідний відігнутий Т15К6 32х25х170 лев")</f>
        <v>Різець токарний прохідний відігнутий Т15К6 32х25х170 лев</v>
      </c>
      <c r="C84" s="59" t="s">
        <v>6</v>
      </c>
      <c r="D84" s="59">
        <v>74</v>
      </c>
      <c r="E84" s="91">
        <v>175</v>
      </c>
    </row>
    <row r="85" spans="1:5">
      <c r="A85" s="21">
        <f t="shared" si="1"/>
        <v>84</v>
      </c>
      <c r="B85" s="85" t="str">
        <f ca="1">IFERROR(__xludf.DUMMYFUNCTION("GOOGLETRANSLATE(B1570:B1585,""RU"",""UK"")"),"Різець токарний прохідний упорний відігнутий Т15К6 32х20х170")</f>
        <v>Різець токарний прохідний упорний відігнутий Т15К6 32х20х170</v>
      </c>
      <c r="C85" s="59" t="s">
        <v>6</v>
      </c>
      <c r="D85" s="59">
        <v>62</v>
      </c>
      <c r="E85" s="91">
        <v>150</v>
      </c>
    </row>
    <row r="86" spans="1:5">
      <c r="A86" s="21">
        <f t="shared" si="1"/>
        <v>85</v>
      </c>
      <c r="B86" s="164" t="str">
        <f ca="1">IFERROR(__xludf.DUMMYFUNCTION("GOOGLETRANSLATE(B1571:B1586,""RU"",""UK"")"),"Різець токарний прохідний упорний відігнутий Т15К6 32х20х170лів")</f>
        <v>Різець токарний прохідний упорний відігнутий Т15К6 32х20х170лів</v>
      </c>
      <c r="C86" s="59" t="s">
        <v>6</v>
      </c>
      <c r="D86" s="59">
        <v>0</v>
      </c>
      <c r="E86" s="91">
        <v>175</v>
      </c>
    </row>
    <row r="87" spans="1:5">
      <c r="A87" s="21">
        <f t="shared" si="1"/>
        <v>86</v>
      </c>
      <c r="B87" s="85" t="str">
        <f ca="1">IFERROR(__xludf.DUMMYFUNCTION("GOOGLETRANSLATE(B1572:B1587,""RU"",""UK"")"),"Різець токарний прохідний відігнутий Т15К6 40х25х200")</f>
        <v>Різець токарний прохідний відігнутий Т15К6 40х25х200</v>
      </c>
      <c r="C87" s="59" t="s">
        <v>6</v>
      </c>
      <c r="D87" s="59">
        <v>71</v>
      </c>
      <c r="E87" s="91">
        <v>270</v>
      </c>
    </row>
    <row r="88" spans="1:5">
      <c r="A88" s="21">
        <f t="shared" si="1"/>
        <v>87</v>
      </c>
      <c r="B88" s="85" t="str">
        <f ca="1">IFERROR(__xludf.DUMMYFUNCTION("GOOGLETRANSLATE(B1573:B1588,""RU"",""UK"")"),"Різець токарний прохідний відігнутий Т15К6 40х25х200 лів")</f>
        <v>Різець токарний прохідний відігнутий Т15К6 40х25х200 лів</v>
      </c>
      <c r="C88" s="59" t="s">
        <v>6</v>
      </c>
      <c r="D88" s="59">
        <v>3</v>
      </c>
      <c r="E88" s="91">
        <v>300</v>
      </c>
    </row>
    <row r="89" spans="1:5">
      <c r="A89" s="21">
        <f t="shared" si="1"/>
        <v>88</v>
      </c>
      <c r="B89" s="85" t="str">
        <f ca="1">IFERROR(__xludf.DUMMYFUNCTION("GOOGLETRANSLATE(B1574:B1589,""RU"",""UK"")"),"Різець токарний прохідний упорний відігнутий Т15К6 40х25х200")</f>
        <v>Різець токарний прохідний упорний відігнутий Т15К6 40х25х200</v>
      </c>
      <c r="C89" s="59" t="s">
        <v>6</v>
      </c>
      <c r="D89" s="59">
        <v>45</v>
      </c>
      <c r="E89" s="91">
        <v>300</v>
      </c>
    </row>
    <row r="90" spans="1:5">
      <c r="A90" s="21">
        <f>A89+1</f>
        <v>89</v>
      </c>
      <c r="B90" s="85" t="str">
        <f ca="1">IFERROR(__xludf.DUMMYFUNCTION("GOOGLETRANSLATE(B1575:B1590,""RU"",""UK"")"),"Різець токарний прохідний упорний відігнутий Т15К6 40х25х200 лів")</f>
        <v>Різець токарний прохідний упорний відігнутий Т15К6 40х25х200 лів</v>
      </c>
      <c r="C90" s="59" t="s">
        <v>6</v>
      </c>
      <c r="D90" s="59">
        <v>14</v>
      </c>
      <c r="E90" s="91">
        <v>300</v>
      </c>
    </row>
    <row r="91" spans="1:5">
      <c r="A91" s="21">
        <f t="shared" si="1"/>
        <v>90</v>
      </c>
      <c r="B91" s="85" t="str">
        <f ca="1">IFERROR(__xludf.DUMMYFUNCTION("GOOGLETRANSLATE(B1576:B1591,""RU"",""UK"")"),"Різець токарний прохідний прямий ВК8 7х8х25")</f>
        <v>Різець токарний прохідний прямий ВК8 7х8х25</v>
      </c>
      <c r="C91" s="59" t="s">
        <v>6</v>
      </c>
      <c r="D91" s="59">
        <v>13</v>
      </c>
      <c r="E91" s="91" t="s">
        <v>361</v>
      </c>
    </row>
    <row r="92" spans="1:5">
      <c r="A92" s="21">
        <f t="shared" si="1"/>
        <v>91</v>
      </c>
      <c r="B92" s="85" t="str">
        <f ca="1">IFERROR(__xludf.DUMMYFUNCTION("GOOGLETRANSLATE(B1577:B1592,""RU"",""UK"")"),"Різець токарний прохідний прямий ВК8 7х8х35")</f>
        <v>Різець токарний прохідний прямий ВК8 7х8х35</v>
      </c>
      <c r="C92" s="59" t="s">
        <v>6</v>
      </c>
      <c r="D92" s="59">
        <v>6</v>
      </c>
      <c r="E92" s="91" t="s">
        <v>286</v>
      </c>
    </row>
    <row r="93" spans="1:5">
      <c r="A93" s="21">
        <f t="shared" si="1"/>
        <v>92</v>
      </c>
      <c r="B93" s="85" t="str">
        <f ca="1">IFERROR(__xludf.DUMMYFUNCTION("GOOGLETRANSLATE(B1578:B1593,""RU"",""UK"")"),"Різець токарний прохідний прямий ВК8 8х8х40 лів")</f>
        <v>Різець токарний прохідний прямий ВК8 8х8х40 лів</v>
      </c>
      <c r="C93" s="59" t="s">
        <v>6</v>
      </c>
      <c r="D93" s="59">
        <v>6</v>
      </c>
      <c r="E93" s="91" t="s">
        <v>417</v>
      </c>
    </row>
    <row r="94" spans="1:5">
      <c r="A94" s="21">
        <f t="shared" si="1"/>
        <v>93</v>
      </c>
      <c r="B94" s="85" t="str">
        <f ca="1">IFERROR(__xludf.DUMMYFUNCTION("GOOGLETRANSLATE(B1578:B1593,""RU"",""UK"")"),"Різець токарний прохідний прямий ВК8 8х8х50лів")</f>
        <v>Різець токарний прохідний прямий ВК8 8х8х50лів</v>
      </c>
      <c r="C94" s="59" t="s">
        <v>6</v>
      </c>
      <c r="D94" s="59">
        <v>2</v>
      </c>
      <c r="E94" s="91" t="s">
        <v>417</v>
      </c>
    </row>
    <row r="95" spans="1:5">
      <c r="A95" s="21">
        <f t="shared" si="1"/>
        <v>94</v>
      </c>
      <c r="B95" s="85" t="str">
        <f ca="1">IFERROR(__xludf.DUMMYFUNCTION("GOOGLETRANSLATE(B1578:B1593,""RU"",""UK"")"),"Різець токарний прохідний прямий ВК8 10х10х25")</f>
        <v>Різець токарний прохідний прямий ВК8 10х10х25</v>
      </c>
      <c r="C95" s="59" t="s">
        <v>6</v>
      </c>
      <c r="D95" s="59">
        <v>30</v>
      </c>
      <c r="E95" s="91" t="s">
        <v>417</v>
      </c>
    </row>
    <row r="96" spans="1:5">
      <c r="A96" s="21">
        <f t="shared" si="1"/>
        <v>95</v>
      </c>
      <c r="B96" s="85" t="str">
        <f ca="1">IFERROR(__xludf.DUMMYFUNCTION("GOOGLETRANSLATE(B1579:B1594,""RU"",""UK"")"),"Різець токарний прохідний прямий ВК8 10х10х40")</f>
        <v>Різець токарний прохідний прямий ВК8 10х10х40</v>
      </c>
      <c r="C96" s="59" t="s">
        <v>6</v>
      </c>
      <c r="D96" s="59">
        <v>13</v>
      </c>
      <c r="E96" s="91">
        <v>21</v>
      </c>
    </row>
    <row r="97" spans="1:5">
      <c r="A97" s="21">
        <f t="shared" si="1"/>
        <v>96</v>
      </c>
      <c r="B97" s="85" t="str">
        <f ca="1">IFERROR(__xludf.DUMMYFUNCTION("GOOGLETRANSLATE(B1579:B1594,""RU"",""UK"")"),"Різець токарний прохідний прямий ВК8 10х10х40лів")</f>
        <v>Різець токарний прохідний прямий ВК8 10х10х40лів</v>
      </c>
      <c r="C97" s="59" t="s">
        <v>6</v>
      </c>
      <c r="D97" s="59">
        <v>30</v>
      </c>
      <c r="E97" s="91">
        <v>24</v>
      </c>
    </row>
    <row r="98" spans="1:5">
      <c r="A98" s="21">
        <f t="shared" si="1"/>
        <v>97</v>
      </c>
      <c r="B98" s="85" t="str">
        <f ca="1">IFERROR(__xludf.DUMMYFUNCTION("GOOGLETRANSLATE(B1580:B1595,""RU"",""UK"")"),"Різець токарний прохідний прямий ВК8 12х12х50")</f>
        <v>Різець токарний прохідний прямий ВК8 12х12х50</v>
      </c>
      <c r="C98" s="59" t="s">
        <v>6</v>
      </c>
      <c r="D98" s="59">
        <v>20</v>
      </c>
      <c r="E98" s="91" t="s">
        <v>366</v>
      </c>
    </row>
    <row r="99" spans="1:5">
      <c r="A99" s="21">
        <f t="shared" si="1"/>
        <v>98</v>
      </c>
      <c r="B99" s="85" t="str">
        <f ca="1">IFERROR(__xludf.DUMMYFUNCTION("GOOGLETRANSLATE(B1581:B1596,""RU"",""UK"")"),"Різець токарний прохідний прямий ВК8 12х12х50лів")</f>
        <v>Різець токарний прохідний прямий ВК8 12х12х50лів</v>
      </c>
      <c r="C99" s="59" t="s">
        <v>6</v>
      </c>
      <c r="D99" s="59">
        <v>9</v>
      </c>
      <c r="E99" s="91" t="s">
        <v>134</v>
      </c>
    </row>
    <row r="100" spans="1:5">
      <c r="A100" s="21">
        <f t="shared" si="1"/>
        <v>99</v>
      </c>
      <c r="B100" s="85" t="str">
        <f ca="1">IFERROR(__xludf.DUMMYFUNCTION("GOOGLETRANSLATE(B1580:B1595,""RU"",""UK"")"),"Різець токарний прохідний прямий ВК8 12х12х60")</f>
        <v>Різець токарний прохідний прямий ВК8 12х12х60</v>
      </c>
      <c r="C100" s="59" t="s">
        <v>6</v>
      </c>
      <c r="D100" s="59">
        <v>13</v>
      </c>
      <c r="E100" s="91" t="s">
        <v>366</v>
      </c>
    </row>
    <row r="101" spans="1:5">
      <c r="A101" s="21">
        <f t="shared" si="1"/>
        <v>100</v>
      </c>
      <c r="B101" s="85" t="str">
        <f ca="1">IFERROR(__xludf.DUMMYFUNCTION("GOOGLETRANSLATE(B1582:B1597,""RU"",""UK"")"),"Різець токарний прохідний прямий ВК8 16х16х60лів")</f>
        <v>Різець токарний прохідний прямий ВК8 16х16х60лів</v>
      </c>
      <c r="C101" s="59" t="s">
        <v>6</v>
      </c>
      <c r="D101" s="59">
        <v>13</v>
      </c>
      <c r="E101" s="91" t="s">
        <v>167</v>
      </c>
    </row>
    <row r="102" spans="1:5">
      <c r="A102" s="21">
        <f t="shared" si="1"/>
        <v>101</v>
      </c>
      <c r="B102" s="85" t="str">
        <f ca="1">IFERROR(__xludf.DUMMYFUNCTION("GOOGLETRANSLATE(B1580:B1595,""RU"",""UK"")"),"Різець токарний прохідний прямий ВК8 12х12х70")</f>
        <v>Різець токарний прохідний прямий ВК8 12х12х70</v>
      </c>
      <c r="C102" s="59" t="s">
        <v>6</v>
      </c>
      <c r="D102" s="59">
        <v>15</v>
      </c>
      <c r="E102" s="91" t="s">
        <v>366</v>
      </c>
    </row>
    <row r="103" spans="1:5">
      <c r="A103" s="21">
        <f t="shared" si="1"/>
        <v>102</v>
      </c>
      <c r="B103" s="85" t="str">
        <f ca="1">IFERROR(__xludf.DUMMYFUNCTION("GOOGLETRANSLATE(B1581:B1596,""RU"",""UK"")"),"Різець токарний прохідний прямий ВК8 12х12х70лів")</f>
        <v>Різець токарний прохідний прямий ВК8 12х12х70лів</v>
      </c>
      <c r="C103" s="59" t="s">
        <v>6</v>
      </c>
      <c r="D103" s="59">
        <v>5</v>
      </c>
      <c r="E103" s="91" t="s">
        <v>134</v>
      </c>
    </row>
    <row r="104" spans="1:5">
      <c r="A104" s="21">
        <f t="shared" si="1"/>
        <v>103</v>
      </c>
      <c r="B104" s="85" t="str">
        <f ca="1">IFERROR(__xludf.DUMMYFUNCTION("GOOGLETRANSLATE(B1582:B1597,""RU"",""UK"")"),"Різець токарний прохідний прямий ВК8 16х12х80")</f>
        <v>Різець токарний прохідний прямий ВК8 16х12х80</v>
      </c>
      <c r="C104" s="59" t="s">
        <v>6</v>
      </c>
      <c r="D104" s="59">
        <v>14</v>
      </c>
      <c r="E104" s="91" t="s">
        <v>167</v>
      </c>
    </row>
    <row r="105" spans="1:5">
      <c r="A105" s="21">
        <f t="shared" si="1"/>
        <v>104</v>
      </c>
      <c r="B105" s="85" t="str">
        <f ca="1">IFERROR(__xludf.DUMMYFUNCTION("GOOGLETRANSLATE(B1583:B1598,""RU"",""UK"")"),"Різець токарний прохідний прямий ВК8 16х16х70")</f>
        <v>Різець токарний прохідний прямий ВК8 16х16х70</v>
      </c>
      <c r="C105" s="59" t="s">
        <v>6</v>
      </c>
      <c r="D105" s="59">
        <v>55</v>
      </c>
      <c r="E105" s="91">
        <v>39</v>
      </c>
    </row>
    <row r="106" spans="1:5">
      <c r="A106" s="21">
        <f t="shared" si="1"/>
        <v>105</v>
      </c>
      <c r="B106" s="85" t="str">
        <f ca="1">IFERROR(__xludf.DUMMYFUNCTION("GOOGLETRANSLATE(B1583:B1598,""RU"",""UK"")"),"Різець токарний прохідний прямий ВК8 16х16х80")</f>
        <v>Різець токарний прохідний прямий ВК8 16х16х80</v>
      </c>
      <c r="C106" s="59" t="s">
        <v>6</v>
      </c>
      <c r="D106" s="59">
        <v>4</v>
      </c>
      <c r="E106" s="91">
        <v>39</v>
      </c>
    </row>
    <row r="107" spans="1:5">
      <c r="A107" s="21">
        <f t="shared" si="1"/>
        <v>106</v>
      </c>
      <c r="B107" s="85" t="str">
        <f ca="1">IFERROR(__xludf.DUMMYFUNCTION("GOOGLETRANSLATE(B1584:B1599,""RU"",""UK"")"),"Різець токарний прохідний прямий ВК8 16х16х60-70лів")</f>
        <v>Різець токарний прохідний прямий ВК8 16х16х60-70лів</v>
      </c>
      <c r="C107" s="59" t="s">
        <v>6</v>
      </c>
      <c r="D107" s="59">
        <v>15</v>
      </c>
      <c r="E107" s="91">
        <v>60</v>
      </c>
    </row>
    <row r="108" spans="1:5">
      <c r="A108" s="21">
        <f t="shared" si="1"/>
        <v>107</v>
      </c>
      <c r="B108" s="85" t="str">
        <f ca="1">IFERROR(__xludf.DUMMYFUNCTION("GOOGLETRANSLATE(B1584:B1599,""RU"",""UK"")"),"Різець токарний прохідний прямий ВК8 16х16х80лів")</f>
        <v>Різець токарний прохідний прямий ВК8 16х16х80лів</v>
      </c>
      <c r="C108" s="59" t="s">
        <v>6</v>
      </c>
      <c r="D108" s="59">
        <v>39</v>
      </c>
      <c r="E108" s="91">
        <v>60</v>
      </c>
    </row>
    <row r="109" spans="1:5">
      <c r="A109" s="21">
        <f t="shared" si="1"/>
        <v>108</v>
      </c>
      <c r="B109" s="85" t="str">
        <f ca="1">IFERROR(__xludf.DUMMYFUNCTION("GOOGLETRANSLATE(B1584:B1599,""RU"",""UK"")"),"Різець токарний прохідний прямий Т/с 16х16х100лів")</f>
        <v>Різець токарний прохідний прямий Т/с 16х16х100лів</v>
      </c>
      <c r="C109" s="59" t="s">
        <v>6</v>
      </c>
      <c r="D109" s="59">
        <v>3</v>
      </c>
      <c r="E109" s="91">
        <v>78</v>
      </c>
    </row>
    <row r="110" spans="1:5">
      <c r="A110" s="21">
        <f t="shared" si="1"/>
        <v>109</v>
      </c>
      <c r="B110" s="85" t="str">
        <f ca="1">IFERROR(__xludf.DUMMYFUNCTION("GOOGLETRANSLATE(B1585:B1600,""RU"",""UK"")"),"Різець токарний прохідний прямий ВК8 16х16х140")</f>
        <v>Різець токарний прохідний прямий ВК8 16х16х140</v>
      </c>
      <c r="C110" s="59" t="s">
        <v>6</v>
      </c>
      <c r="D110" s="59">
        <v>9</v>
      </c>
      <c r="E110" s="91" t="s">
        <v>255</v>
      </c>
    </row>
    <row r="111" spans="1:5">
      <c r="A111" s="21">
        <f t="shared" si="1"/>
        <v>110</v>
      </c>
      <c r="B111" s="85" t="str">
        <f ca="1">IFERROR(__xludf.DUMMYFUNCTION("GOOGLETRANSLATE(B1587:B1602,""RU"",""UK"")"),"Різець токарний прохідний прямий ВК8 18х14х110")</f>
        <v>Різець токарний прохідний прямий ВК8 18х14х110</v>
      </c>
      <c r="C111" s="59" t="s">
        <v>6</v>
      </c>
      <c r="D111" s="59">
        <v>11</v>
      </c>
      <c r="E111" s="91" t="s">
        <v>169</v>
      </c>
    </row>
    <row r="112" spans="1:5">
      <c r="A112" s="21">
        <f t="shared" si="1"/>
        <v>111</v>
      </c>
      <c r="B112" s="85" t="str">
        <f ca="1">IFERROR(__xludf.DUMMYFUNCTION("GOOGLETRANSLATE(B1586:B1601,""RU"",""UK"")"),"Різець токарний прохідний прямий ВК8 20х20х70")</f>
        <v>Різець токарний прохідний прямий ВК8 20х20х70</v>
      </c>
      <c r="C112" s="59" t="s">
        <v>6</v>
      </c>
      <c r="D112" s="59">
        <v>6</v>
      </c>
      <c r="E112" s="91" t="s">
        <v>304</v>
      </c>
    </row>
    <row r="113" spans="1:5">
      <c r="A113" s="21">
        <f t="shared" si="1"/>
        <v>112</v>
      </c>
      <c r="B113" s="85" t="str">
        <f ca="1">IFERROR(__xludf.DUMMYFUNCTION("GOOGLETRANSLATE(B1586:B1601,""RU"",""UK"")"),"Різець токарний прохідний прямий ВК8 20х20х90лів")</f>
        <v>Різець токарний прохідний прямий ВК8 20х20х90лів</v>
      </c>
      <c r="C113" s="59" t="s">
        <v>6</v>
      </c>
      <c r="D113" s="59">
        <v>4</v>
      </c>
      <c r="E113" s="91" t="s">
        <v>304</v>
      </c>
    </row>
    <row r="114" spans="1:5">
      <c r="A114" s="21">
        <f t="shared" si="1"/>
        <v>113</v>
      </c>
      <c r="B114" s="85" t="str">
        <f ca="1">IFERROR(__xludf.DUMMYFUNCTION("GOOGLETRANSLATE(B1586:B1601,""RU"",""UK"")"),"Різець токарний прохідний прямий ВК8 20х20х100лів")</f>
        <v>Різець токарний прохідний прямий ВК8 20х20х100лів</v>
      </c>
      <c r="C114" s="59" t="s">
        <v>6</v>
      </c>
      <c r="D114" s="59">
        <v>16</v>
      </c>
      <c r="E114" s="91" t="s">
        <v>304</v>
      </c>
    </row>
    <row r="115" spans="1:5">
      <c r="A115" s="21">
        <f t="shared" si="1"/>
        <v>114</v>
      </c>
      <c r="B115" s="85" t="str">
        <f ca="1">IFERROR(__xludf.DUMMYFUNCTION("GOOGLETRANSLATE(B1587:B1602,""RU"",""UK"")"),"Різець токарний прохідний прямий ВК8 20х12х120")</f>
        <v>Різець токарний прохідний прямий ВК8 20х12х120</v>
      </c>
      <c r="C115" s="59" t="s">
        <v>6</v>
      </c>
      <c r="D115" s="59">
        <v>3</v>
      </c>
      <c r="E115" s="91" t="s">
        <v>169</v>
      </c>
    </row>
    <row r="116" spans="1:5">
      <c r="A116" s="21">
        <f t="shared" si="1"/>
        <v>115</v>
      </c>
      <c r="B116" s="85" t="str">
        <f ca="1">IFERROR(__xludf.DUMMYFUNCTION("GOOGLETRANSLATE(B1588:B1603,""RU"",""UK"")"),"Різець токарний прохідний упорний. прямий ВК8 12х12х70")</f>
        <v>Різець токарний прохідний упорний. прямий ВК8 12х12х70</v>
      </c>
      <c r="C116" s="59" t="s">
        <v>6</v>
      </c>
      <c r="D116" s="59">
        <v>13</v>
      </c>
      <c r="E116" s="91">
        <v>48</v>
      </c>
    </row>
    <row r="117" spans="1:5">
      <c r="A117" s="21">
        <f t="shared" si="1"/>
        <v>116</v>
      </c>
      <c r="B117" s="85" t="str">
        <f ca="1">IFERROR(__xludf.DUMMYFUNCTION("GOOGLETRANSLATE(B1589:B1604,""RU"",""UK"")"),"Різець токарний прохідний упорний. прямий ВК8 16х12х65")</f>
        <v>Різець токарний прохідний упорний. прямий ВК8 16х12х65</v>
      </c>
      <c r="C117" s="59" t="s">
        <v>6</v>
      </c>
      <c r="D117" s="59">
        <v>1</v>
      </c>
      <c r="E117" s="91">
        <v>54</v>
      </c>
    </row>
    <row r="118" spans="1:5">
      <c r="A118" s="21">
        <f t="shared" si="1"/>
        <v>117</v>
      </c>
      <c r="B118" s="85" t="str">
        <f ca="1">IFERROR(__xludf.DUMMYFUNCTION("GOOGLETRANSLATE(B1590:B1605,""RU"",""UK"")"),"Різець токарний прохідний упорний. прямий ВК8 16х12х70 лів")</f>
        <v>Різець токарний прохідний упорний. прямий ВК8 16х12х70 лів</v>
      </c>
      <c r="C118" s="59" t="s">
        <v>6</v>
      </c>
      <c r="D118" s="59">
        <v>2</v>
      </c>
      <c r="E118" s="91">
        <v>54</v>
      </c>
    </row>
    <row r="119" spans="1:5">
      <c r="A119" s="21">
        <f t="shared" si="1"/>
        <v>118</v>
      </c>
      <c r="B119" s="85" t="str">
        <f ca="1">IFERROR(__xludf.DUMMYFUNCTION("GOOGLETRANSLATE(B1589:B1604,""RU"",""UK"")"),"Різець токарний прохідний упорний. прямий ВК8 16х16х65")</f>
        <v>Різець токарний прохідний упорний. прямий ВК8 16х16х65</v>
      </c>
      <c r="C119" s="59" t="s">
        <v>6</v>
      </c>
      <c r="D119" s="59">
        <v>1</v>
      </c>
      <c r="E119" s="91">
        <v>57</v>
      </c>
    </row>
    <row r="120" spans="1:5">
      <c r="A120" s="21">
        <f t="shared" si="1"/>
        <v>119</v>
      </c>
      <c r="B120" s="85" t="str">
        <f ca="1">IFERROR(__xludf.DUMMYFUNCTION("GOOGLETRANSLATE(B1590:B1605,""RU"",""UK"")"),"Різець токарний прохідний упорний. прямий ВК8 16х16х65лів")</f>
        <v>Різець токарний прохідний упорний. прямий ВК8 16х16х65лів</v>
      </c>
      <c r="C120" s="59" t="s">
        <v>6</v>
      </c>
      <c r="D120" s="59">
        <v>4</v>
      </c>
      <c r="E120" s="91">
        <v>60</v>
      </c>
    </row>
    <row r="121" spans="1:5">
      <c r="A121" s="21">
        <f t="shared" si="1"/>
        <v>120</v>
      </c>
      <c r="B121" s="85" t="str">
        <f ca="1">IFERROR(__xludf.DUMMYFUNCTION("GOOGLETRANSLATE(B1591:B1606,""RU"",""UK"")"),"Різець токарний прохідний упорний. прямий ВК8 16х16х80лів")</f>
        <v>Різець токарний прохідний упорний. прямий ВК8 16х16х80лів</v>
      </c>
      <c r="C121" s="59" t="s">
        <v>6</v>
      </c>
      <c r="D121" s="59">
        <v>3</v>
      </c>
      <c r="E121" s="91">
        <v>60</v>
      </c>
    </row>
    <row r="122" spans="1:5">
      <c r="A122" s="21">
        <f t="shared" si="1"/>
        <v>121</v>
      </c>
      <c r="B122" s="85" t="str">
        <f ca="1">IFERROR(__xludf.DUMMYFUNCTION("GOOGLETRANSLATE(B1592:B1607,""RU"",""UK"")"),"Різець токарний прохідний упорний. прямий ВК8 20х12х100")</f>
        <v>Різець токарний прохідний упорний. прямий ВК8 20х12х100</v>
      </c>
      <c r="C122" s="59" t="s">
        <v>6</v>
      </c>
      <c r="D122" s="59">
        <v>2</v>
      </c>
      <c r="E122" s="91">
        <v>60</v>
      </c>
    </row>
    <row r="123" spans="1:5">
      <c r="A123" s="21">
        <f t="shared" si="1"/>
        <v>122</v>
      </c>
      <c r="B123" s="85" t="str">
        <f ca="1">IFERROR(__xludf.DUMMYFUNCTION("GOOGLETRANSLATE(B1592:B1607,""RU"",""UK"")"),"Різець токарний прохідний упорний. прямий ВК8 20х20х80лів")</f>
        <v>Різець токарний прохідний упорний. прямий ВК8 20х20х80лів</v>
      </c>
      <c r="C123" s="59" t="s">
        <v>6</v>
      </c>
      <c r="D123" s="59">
        <v>6</v>
      </c>
      <c r="E123" s="91">
        <v>63</v>
      </c>
    </row>
    <row r="124" spans="1:5">
      <c r="A124" s="21">
        <f t="shared" si="1"/>
        <v>123</v>
      </c>
      <c r="B124" s="85" t="str">
        <f ca="1">IFERROR(__xludf.DUMMYFUNCTION("GOOGLETRANSLATE(B1593:B1608,""RU"",""UK"")"),"Різець токарний прохідний упорний. ізог ВК8 20х20х100лів")</f>
        <v>Різець токарний прохідний упорний. ізог ВК8 20х20х100лів</v>
      </c>
      <c r="C124" s="59" t="s">
        <v>6</v>
      </c>
      <c r="D124" s="59">
        <v>1</v>
      </c>
      <c r="E124" s="91">
        <v>66</v>
      </c>
    </row>
    <row r="125" spans="1:5">
      <c r="A125" s="21">
        <f t="shared" si="1"/>
        <v>124</v>
      </c>
      <c r="B125" s="85" t="str">
        <f ca="1">IFERROR(__xludf.DUMMYFUNCTION("GOOGLETRANSLATE(B1594:B1609,""RU"",""UK"")"),"Різець токарний прохідний упорний. прямий ВК8 15х30/15х60")</f>
        <v>Різець токарний прохідний упорний. прямий ВК8 15х30/15х60</v>
      </c>
      <c r="C125" s="59" t="s">
        <v>6</v>
      </c>
      <c r="D125" s="59" t="s">
        <v>1637</v>
      </c>
      <c r="E125" s="91" t="s">
        <v>167</v>
      </c>
    </row>
    <row r="126" spans="1:5">
      <c r="A126" s="21">
        <f t="shared" si="1"/>
        <v>125</v>
      </c>
      <c r="B126" s="85" t="str">
        <f ca="1">IFERROR(__xludf.DUMMYFUNCTION("GOOGLETRANSLATE(B1595:B1610,""RU"",""UK"")"),"Різець токарний прохідний прямий ВК8 20х12х120/20х16х120 /20х20х120")</f>
        <v>Різець токарний прохідний прямий ВК8 20х12х120/20х16х120 /20х20х120</v>
      </c>
      <c r="C126" s="59" t="s">
        <v>6</v>
      </c>
      <c r="D126" s="59" t="s">
        <v>6163</v>
      </c>
      <c r="E126" s="91">
        <v>90</v>
      </c>
    </row>
    <row r="127" spans="1:5">
      <c r="A127" s="21">
        <f t="shared" si="1"/>
        <v>126</v>
      </c>
      <c r="B127" s="85" t="str">
        <f ca="1">IFERROR(__xludf.DUMMYFUNCTION("GOOGLETRANSLATE(B1596:B1611,""RU"",""UK"")"),"Різець токарний прохідний прямий ВК8 25х25х80лів / 25х20х120лів")</f>
        <v>Різець токарний прохідний прямий ВК8 25х25х80лів / 25х20х120лів</v>
      </c>
      <c r="C127" s="59" t="s">
        <v>6</v>
      </c>
      <c r="D127" s="59" t="s">
        <v>2241</v>
      </c>
      <c r="E127" s="91" t="s">
        <v>338</v>
      </c>
    </row>
    <row r="128" spans="1:5">
      <c r="A128" s="21">
        <f t="shared" si="1"/>
        <v>127</v>
      </c>
      <c r="B128" s="85" t="str">
        <f ca="1">IFERROR(__xludf.DUMMYFUNCTION("GOOGLETRANSLATE(B1597:B1612,""RU"",""UK"")"),"Різець токарний прохідний прямий ВК8 25х16х120/25х16х200/25х25х120")</f>
        <v>Різець токарний прохідний прямий ВК8 25х16х120/25х16х200/25х25х120</v>
      </c>
      <c r="C128" s="59" t="s">
        <v>6</v>
      </c>
      <c r="D128" s="59" t="s">
        <v>2243</v>
      </c>
      <c r="E128" s="91" t="s">
        <v>495</v>
      </c>
    </row>
    <row r="129" spans="1:5">
      <c r="A129" s="21">
        <f t="shared" si="1"/>
        <v>128</v>
      </c>
      <c r="B129" s="85" t="str">
        <f ca="1">IFERROR(__xludf.DUMMYFUNCTION("GOOGLETRANSLATE(B1598:B1613,""RU"",""UK"")"),"Різець токарний прохідний прямий ВК8 25х20х140/25х16х140лев")</f>
        <v>Різець токарний прохідний прямий ВК8 25х20х140/25х16х140лев</v>
      </c>
      <c r="C129" s="59" t="s">
        <v>6</v>
      </c>
      <c r="D129" s="59" t="s">
        <v>2245</v>
      </c>
      <c r="E129" s="91" t="s">
        <v>1553</v>
      </c>
    </row>
    <row r="130" spans="1:5">
      <c r="A130" s="21">
        <f t="shared" si="1"/>
        <v>129</v>
      </c>
      <c r="B130" s="85" t="str">
        <f ca="1">IFERROR(__xludf.DUMMYFUNCTION("GOOGLETRANSLATE(B1599:B1614,""RU"",""UK"")"),"Різець токарний прохідний прямий ВК8 25х20х200/32х20х160")</f>
        <v>Різець токарний прохідний прямий ВК8 25х20х200/32х20х160</v>
      </c>
      <c r="C130" s="59" t="s">
        <v>6</v>
      </c>
      <c r="D130" s="59" t="s">
        <v>2247</v>
      </c>
      <c r="E130" s="91" t="s">
        <v>136</v>
      </c>
    </row>
    <row r="131" spans="1:5">
      <c r="A131" s="21">
        <f t="shared" si="1"/>
        <v>130</v>
      </c>
      <c r="B131" s="85" t="str">
        <f ca="1">IFERROR(__xludf.DUMMYFUNCTION("GOOGLETRANSLATE(B1600:B1615,""RU"",""UK"")"),"Різець токарний прохідний прямий ВК8 40х25х200")</f>
        <v>Різець токарний прохідний прямий ВК8 40х25х200</v>
      </c>
      <c r="C131" s="59" t="s">
        <v>6</v>
      </c>
      <c r="D131" s="59">
        <v>4</v>
      </c>
      <c r="E131" s="91" t="s">
        <v>327</v>
      </c>
    </row>
    <row r="132" spans="1:5">
      <c r="A132" s="21">
        <f t="shared" si="1"/>
        <v>131</v>
      </c>
      <c r="B132" s="85" t="str">
        <f ca="1">IFERROR(__xludf.DUMMYFUNCTION("GOOGLETRANSLATE(B1601:B1616,""RU"",""UK"")"),"Різець токарний прохідний прямий ВК8 d-10х50лев/d-12х60лев")</f>
        <v>Різець токарний прохідний прямий ВК8 d-10х50лев/d-12х60лев</v>
      </c>
      <c r="C132" s="59" t="s">
        <v>6</v>
      </c>
      <c r="D132" s="59" t="s">
        <v>2250</v>
      </c>
      <c r="E132" s="91" t="s">
        <v>167</v>
      </c>
    </row>
    <row r="133" spans="1:5">
      <c r="A133" s="21">
        <f t="shared" si="1"/>
        <v>132</v>
      </c>
      <c r="B133" s="85" t="str">
        <f ca="1">IFERROR(__xludf.DUMMYFUNCTION("GOOGLETRANSLATE(B1602:B1617,""RU"",""UK"")"),"Різець токарний прохідний прямий ВК8 d-12х70лев/d-12х60 /d-12х90")</f>
        <v>Різець токарний прохідний прямий ВК8 d-12х70лев/d-12х60 /d-12х90</v>
      </c>
      <c r="C133" s="59" t="s">
        <v>6</v>
      </c>
      <c r="D133" s="59" t="s">
        <v>2252</v>
      </c>
      <c r="E133" s="91" t="s">
        <v>248</v>
      </c>
    </row>
    <row r="134" spans="1:5">
      <c r="A134" s="21">
        <f t="shared" si="1"/>
        <v>133</v>
      </c>
      <c r="B134" s="85" t="str">
        <f ca="1">IFERROR(__xludf.DUMMYFUNCTION("GOOGLETRANSLATE(B1603:B1618,""RU"",""UK"")"),"Різець токарний прохідний упорний. ВК8 d-14х40/d-15х40/d-15х60")</f>
        <v>Різець токарний прохідний упорний. ВК8 d-14х40/d-15х40/d-15х60</v>
      </c>
      <c r="C134" s="59" t="s">
        <v>6</v>
      </c>
      <c r="D134" s="59" t="s">
        <v>2254</v>
      </c>
      <c r="E134" s="91" t="s">
        <v>169</v>
      </c>
    </row>
    <row r="135" spans="1:5">
      <c r="A135" s="21">
        <f t="shared" si="1"/>
        <v>134</v>
      </c>
      <c r="B135" s="85" t="str">
        <f ca="1">IFERROR(__xludf.DUMMYFUNCTION("GOOGLETRANSLATE(B1604:B1619,""RU"",""UK"")"),"Різець токарний прохідний прямий ВК8 d-15х55/d-16х70/d-16х50")</f>
        <v>Різець токарний прохідний прямий ВК8 d-15х55/d-16х70/d-16х50</v>
      </c>
      <c r="C135" s="59" t="s">
        <v>6</v>
      </c>
      <c r="D135" s="59" t="s">
        <v>2256</v>
      </c>
      <c r="E135" s="91" t="s">
        <v>304</v>
      </c>
    </row>
    <row r="136" spans="1:5">
      <c r="A136" s="21">
        <f t="shared" si="1"/>
        <v>135</v>
      </c>
      <c r="B136" s="85" t="str">
        <f ca="1">IFERROR(__xludf.DUMMYFUNCTION("GOOGLETRANSLATE(B1605:B1620,""RU"",""UK"")"),"Різець токарний прохідний прямий ВК8(тс) d-16х50лев /d-20х60")</f>
        <v>Різець токарний прохідний прямий ВК8(тс) d-16х50лев /d-20х60</v>
      </c>
      <c r="C136" s="59" t="s">
        <v>6</v>
      </c>
      <c r="D136" s="59" t="s">
        <v>993</v>
      </c>
      <c r="E136" s="91" t="s">
        <v>253</v>
      </c>
    </row>
    <row r="137" spans="1:5">
      <c r="A137" s="21">
        <f t="shared" si="1"/>
        <v>136</v>
      </c>
      <c r="B137" s="85" t="str">
        <f ca="1">IFERROR(__xludf.DUMMYFUNCTION("GOOGLETRANSLATE(B1606:B1621,""RU"",""UK"")"),"Різець токарний прохідний прямий ВК8(тс) d-20х66лев /d-16х90лев")</f>
        <v>Різець токарний прохідний прямий ВК8(тс) d-20х66лев /d-16х90лев</v>
      </c>
      <c r="C137" s="59" t="s">
        <v>6</v>
      </c>
      <c r="D137" s="59" t="s">
        <v>793</v>
      </c>
      <c r="E137" s="91" t="s">
        <v>314</v>
      </c>
    </row>
    <row r="138" spans="1:5">
      <c r="A138" s="21">
        <f t="shared" si="1"/>
        <v>137</v>
      </c>
      <c r="B138" s="85" t="str">
        <f ca="1">IFERROR(__xludf.DUMMYFUNCTION("GOOGLETRANSLATE(B1607:B1622,""RU"",""UK"")"),"Різець токарний прохідний відігн. ВК8 d-17х110/d-20х80лев")</f>
        <v>Різець токарний прохідний відігн. ВК8 d-17х110/d-20х80лев</v>
      </c>
      <c r="C138" s="59" t="s">
        <v>6</v>
      </c>
      <c r="D138" s="59" t="s">
        <v>438</v>
      </c>
      <c r="E138" s="91" t="s">
        <v>596</v>
      </c>
    </row>
    <row r="139" spans="1:5">
      <c r="A139" s="21">
        <f t="shared" si="1"/>
        <v>138</v>
      </c>
      <c r="B139" s="85" t="str">
        <f ca="1">IFERROR(__xludf.DUMMYFUNCTION("GOOGLETRANSLATE(B1608:B1623,""RU"",""UK"")"),"Різець токарний прохідний відігн. ВК8 d-20х120")</f>
        <v>Різець токарний прохідний відігн. ВК8 d-20х120</v>
      </c>
      <c r="C139" s="59" t="s">
        <v>6</v>
      </c>
      <c r="D139" s="59">
        <v>3</v>
      </c>
      <c r="E139" s="91" t="s">
        <v>255</v>
      </c>
    </row>
    <row r="140" spans="1:5">
      <c r="A140" s="21">
        <f t="shared" si="1"/>
        <v>139</v>
      </c>
      <c r="B140" s="85" t="str">
        <f ca="1">IFERROR(__xludf.DUMMYFUNCTION("GOOGLETRANSLATE(B1609:B1624,""RU"",""UK"")"),"Різець токарний прохідний відігнутий ВК8 10х10х55 лев")</f>
        <v>Різець токарний прохідний відігнутий ВК8 10х10х55 лев</v>
      </c>
      <c r="C140" s="59" t="s">
        <v>6</v>
      </c>
      <c r="D140" s="59">
        <v>1</v>
      </c>
      <c r="E140" s="91" t="s">
        <v>134</v>
      </c>
    </row>
    <row r="141" spans="1:5">
      <c r="A141" s="21">
        <f t="shared" si="1"/>
        <v>140</v>
      </c>
      <c r="B141" s="85" t="str">
        <f ca="1">IFERROR(__xludf.DUMMYFUNCTION("GOOGLETRANSLATE(B1610:B1625,""RU"",""UK"")"),"Різець токарний прохідний відігнутий ВК8 12х12х80")</f>
        <v>Різець токарний прохідний відігнутий ВК8 12х12х80</v>
      </c>
      <c r="C141" s="59" t="s">
        <v>6</v>
      </c>
      <c r="D141" s="59">
        <v>20</v>
      </c>
      <c r="E141" s="91" t="s">
        <v>167</v>
      </c>
    </row>
    <row r="142" spans="1:5">
      <c r="A142" s="21">
        <f t="shared" si="1"/>
        <v>141</v>
      </c>
      <c r="B142" s="85" t="str">
        <f ca="1">IFERROR(__xludf.DUMMYFUNCTION("GOOGLETRANSLATE(B1611:B1626,""RU"",""UK"")"),"Різець токарний прохідний упорний відігнутий ВК8 12х12х40")</f>
        <v>Різець токарний прохідний упорний відігнутий ВК8 12х12х40</v>
      </c>
      <c r="C142" s="59" t="s">
        <v>6</v>
      </c>
      <c r="D142" s="59">
        <v>8</v>
      </c>
      <c r="E142" s="91" t="s">
        <v>134</v>
      </c>
    </row>
    <row r="143" spans="1:5">
      <c r="A143" s="21">
        <f t="shared" si="1"/>
        <v>142</v>
      </c>
      <c r="B143" s="85" t="str">
        <f ca="1">IFERROR(__xludf.DUMMYFUNCTION("GOOGLETRANSLATE(B1612:B1627,""RU"",""UK"")"),"Різець токарний прохідний упорний відігнутий ВК8 12х12х70лев")</f>
        <v>Різець токарний прохідний упорний відігнутий ВК8 12х12х70лев</v>
      </c>
      <c r="C143" s="59" t="s">
        <v>6</v>
      </c>
      <c r="D143" s="59">
        <v>19</v>
      </c>
      <c r="E143" s="91" t="s">
        <v>248</v>
      </c>
    </row>
    <row r="144" spans="1:5">
      <c r="A144" s="21">
        <f t="shared" si="1"/>
        <v>143</v>
      </c>
      <c r="B144" s="85" t="str">
        <f ca="1">IFERROR(__xludf.DUMMYFUNCTION("GOOGLETRANSLATE(B1613:B1628,""RU"",""UK"")"),"Різець токарний прохідний упорний відігнутий ВК8 16х12х120")</f>
        <v>Різець токарний прохідний упорний відігнутий ВК8 16х12х120</v>
      </c>
      <c r="C144" s="59" t="s">
        <v>6</v>
      </c>
      <c r="D144" s="160">
        <v>1</v>
      </c>
      <c r="E144" s="91" t="s">
        <v>253</v>
      </c>
    </row>
    <row r="145" spans="1:5">
      <c r="A145" s="21">
        <f t="shared" si="1"/>
        <v>144</v>
      </c>
      <c r="B145" s="85" t="str">
        <f ca="1">IFERROR(__xludf.DUMMYFUNCTION("GOOGLETRANSLATE(B1614:B1629,""RU"",""UK"")"),"Різець токарний прохідний відігнутий ВК8 16х16х65")</f>
        <v>Різець токарний прохідний відігнутий ВК8 16х16х65</v>
      </c>
      <c r="C145" s="59" t="s">
        <v>6</v>
      </c>
      <c r="D145" s="59">
        <v>7</v>
      </c>
      <c r="E145" s="91" t="s">
        <v>596</v>
      </c>
    </row>
    <row r="146" spans="1:5">
      <c r="A146" s="21">
        <f t="shared" si="1"/>
        <v>145</v>
      </c>
      <c r="B146" s="85" t="str">
        <f ca="1">IFERROR(__xludf.DUMMYFUNCTION("GOOGLETRANSLATE(B1616:B1631,""RU"",""UK"")"),"Різець токарний прохідний упорний відігнутий ВК8 20х12х120")</f>
        <v>Різець токарний прохідний упорний відігнутий ВК8 20х12х120</v>
      </c>
      <c r="C146" s="59" t="s">
        <v>6</v>
      </c>
      <c r="D146" s="59">
        <v>18</v>
      </c>
      <c r="E146" s="91">
        <v>85</v>
      </c>
    </row>
    <row r="147" spans="1:5">
      <c r="A147" s="21">
        <f t="shared" si="1"/>
        <v>146</v>
      </c>
      <c r="B147" s="85" t="str">
        <f ca="1">IFERROR(__xludf.DUMMYFUNCTION("GOOGLETRANSLATE(B1617:B1632,""RU"",""UK"")"),"Різець токарний прохідний упорний відігнутий ВК8 20х12х120 лев")</f>
        <v>Різець токарний прохідний упорний відігнутий ВК8 20х12х120 лев</v>
      </c>
      <c r="C147" s="59" t="s">
        <v>6</v>
      </c>
      <c r="D147" s="59">
        <v>19</v>
      </c>
      <c r="E147" s="91">
        <v>85</v>
      </c>
    </row>
    <row r="148" spans="1:5">
      <c r="A148" s="21">
        <f t="shared" si="1"/>
        <v>147</v>
      </c>
      <c r="B148" s="85" t="str">
        <f ca="1">IFERROR(__xludf.DUMMYFUNCTION("GOOGLETRANSLATE(B1618:B1633,""RU"",""UK"")"),"Різець токарний прохідний відігнутий ВК8 20х16х120/20х20х110лев.")</f>
        <v>Різець токарний прохідний відігнутий ВК8 20х16х120/20х20х110лев.</v>
      </c>
      <c r="C148" s="59" t="s">
        <v>6</v>
      </c>
      <c r="D148" s="59" t="s">
        <v>6431</v>
      </c>
      <c r="E148" s="91">
        <v>93</v>
      </c>
    </row>
    <row r="149" spans="1:5">
      <c r="A149" s="21">
        <f t="shared" si="1"/>
        <v>148</v>
      </c>
      <c r="B149" s="85" t="str">
        <f ca="1">IFERROR(__xludf.DUMMYFUNCTION("GOOGLETRANSLATE(B1619:B1634,""RU"",""UK"")"),"Різець токарний прохідний упорний відігнутий ВК8 20х16х120/лев")</f>
        <v>Різець токарний прохідний упорний відігнутий ВК8 20х16х120/лев</v>
      </c>
      <c r="C149" s="59" t="s">
        <v>6</v>
      </c>
      <c r="D149" s="59" t="s">
        <v>6436</v>
      </c>
      <c r="E149" s="91">
        <v>90</v>
      </c>
    </row>
    <row r="150" spans="1:5">
      <c r="A150" s="21">
        <f t="shared" si="1"/>
        <v>149</v>
      </c>
      <c r="B150" s="85" t="str">
        <f ca="1">IFERROR(__xludf.DUMMYFUNCTION("GOOGLETRANSLATE(B1620:B1635,""RU"",""UK"")"),"Різець токарний прохідний упорний відігнутий ВК8 20х20х190")</f>
        <v>Різець токарний прохідний упорний відігнутий ВК8 20х20х190</v>
      </c>
      <c r="C150" s="59" t="s">
        <v>6</v>
      </c>
      <c r="D150" s="59">
        <v>4</v>
      </c>
      <c r="E150" s="91">
        <v>105</v>
      </c>
    </row>
    <row r="151" spans="1:5">
      <c r="A151" s="21">
        <f t="shared" si="1"/>
        <v>150</v>
      </c>
      <c r="B151" s="85" t="str">
        <f ca="1">IFERROR(__xludf.DUMMYFUNCTION("GOOGLETRANSLATE(B1621:B1636,""RU"",""UK"")"),"Різець токарний прохідний відігнутий ВК8 25х16х140")</f>
        <v>Різець токарний прохідний відігнутий ВК8 25х16х140</v>
      </c>
      <c r="C151" s="59" t="s">
        <v>6</v>
      </c>
      <c r="D151" s="59">
        <v>853</v>
      </c>
      <c r="E151" s="91">
        <v>120</v>
      </c>
    </row>
    <row r="152" spans="1:5">
      <c r="A152" s="21">
        <f t="shared" si="1"/>
        <v>151</v>
      </c>
      <c r="B152" s="85" t="str">
        <f ca="1">IFERROR(__xludf.DUMMYFUNCTION("GOOGLETRANSLATE(B1621:B1636,""RU"",""UK"")"),"Різець токарний прохідний відігнутий ВК8 25х16х140лев")</f>
        <v>Різець токарний прохідний відігнутий ВК8 25х16х140лев</v>
      </c>
      <c r="C152" s="59" t="s">
        <v>6</v>
      </c>
      <c r="D152" s="59">
        <v>35</v>
      </c>
      <c r="E152" s="91">
        <v>132</v>
      </c>
    </row>
    <row r="153" spans="1:5">
      <c r="A153" s="21">
        <f t="shared" si="1"/>
        <v>152</v>
      </c>
      <c r="B153" s="85" t="str">
        <f ca="1">IFERROR(__xludf.DUMMYFUNCTION("GOOGLETRANSLATE(B1622:B1637,""RU"",""UK"")"),"Різець токарний прохідний упорний прямий ВК8 25х16х120")</f>
        <v>Різець токарний прохідний упорний прямий ВК8 25х16х120</v>
      </c>
      <c r="C153" s="59" t="s">
        <v>6</v>
      </c>
      <c r="D153" s="59">
        <v>24</v>
      </c>
      <c r="E153" s="91" t="s">
        <v>136</v>
      </c>
    </row>
    <row r="154" spans="1:5">
      <c r="A154" s="21">
        <f t="shared" si="1"/>
        <v>153</v>
      </c>
      <c r="B154" s="85" t="str">
        <f ca="1">IFERROR(__xludf.DUMMYFUNCTION("GOOGLETRANSLATE(B1623:B1638,""RU"",""UK"")"),"Різець токарний прохідний упорний відігнутий ВК8 25х16х140")</f>
        <v>Різець токарний прохідний упорний відігнутий ВК8 25х16х140</v>
      </c>
      <c r="C154" s="59" t="s">
        <v>6</v>
      </c>
      <c r="D154" s="59">
        <v>368</v>
      </c>
      <c r="E154" s="91">
        <v>126</v>
      </c>
    </row>
    <row r="155" spans="1:5">
      <c r="A155" s="21">
        <f t="shared" si="1"/>
        <v>154</v>
      </c>
      <c r="B155" s="85" t="str">
        <f ca="1">IFERROR(__xludf.DUMMYFUNCTION("GOOGLETRANSLATE(B1624:B1639,""RU"",""UK"")"),"Різець токарний прохідний упорний відігнутий ВК8 25х16х140 лев")</f>
        <v>Різець токарний прохідний упорний відігнутий ВК8 25х16х140 лев</v>
      </c>
      <c r="C155" s="59" t="s">
        <v>6</v>
      </c>
      <c r="D155" s="59">
        <v>18</v>
      </c>
      <c r="E155" s="91">
        <v>132</v>
      </c>
    </row>
    <row r="156" spans="1:5">
      <c r="A156" s="21">
        <f t="shared" ref="A156:A225" si="2">A155+1</f>
        <v>155</v>
      </c>
      <c r="B156" s="85" t="str">
        <f ca="1">IFERROR(__xludf.DUMMYFUNCTION("GOOGLETRANSLATE(B1625:B1640,""RU"",""UK"")"),"Різець токарний прохідний упорний відігнутий ВК8 25х20х140")</f>
        <v>Різець токарний прохідний упорний відігнутий ВК8 25х20х140</v>
      </c>
      <c r="C156" s="59" t="s">
        <v>6</v>
      </c>
      <c r="D156" s="59">
        <v>35</v>
      </c>
      <c r="E156" s="91">
        <v>132</v>
      </c>
    </row>
    <row r="157" spans="1:5">
      <c r="A157" s="21">
        <f t="shared" si="2"/>
        <v>156</v>
      </c>
      <c r="B157" s="85" t="str">
        <f ca="1">IFERROR(__xludf.DUMMYFUNCTION("GOOGLETRANSLATE(B1626:B1641,""RU"",""UK"")"),"Різець токарний прохідний відігнутий ВК8 25х20х140/ВК4")</f>
        <v>Різець токарний прохідний відігнутий ВК8 25х20х140/ВК4</v>
      </c>
      <c r="C157" s="59" t="s">
        <v>6</v>
      </c>
      <c r="D157" s="59" t="s">
        <v>6435</v>
      </c>
      <c r="E157" s="91">
        <v>132</v>
      </c>
    </row>
    <row r="158" spans="1:5">
      <c r="A158" s="21">
        <f t="shared" si="2"/>
        <v>157</v>
      </c>
      <c r="B158" s="85" t="str">
        <f ca="1">IFERROR(__xludf.DUMMYFUNCTION("GOOGLETRANSLATE(B1627:B1642,""RU"",""UK"")"),"Різець токарний прохідний відігнутий ВК8 25х20х180")</f>
        <v>Різець токарний прохідний відігнутий ВК8 25х20х180</v>
      </c>
      <c r="C158" s="59" t="s">
        <v>6</v>
      </c>
      <c r="D158" s="59">
        <v>14</v>
      </c>
      <c r="E158" s="91">
        <v>142</v>
      </c>
    </row>
    <row r="159" spans="1:5">
      <c r="A159" s="21">
        <f t="shared" si="2"/>
        <v>158</v>
      </c>
      <c r="B159" s="85" t="str">
        <f ca="1">IFERROR(__xludf.DUMMYFUNCTION("GOOGLETRANSLATE(B1628:B1643,""RU"",""UK"")"),"Різець токарний прохідний відігнутий ВК8 32х25х140/32х20х170")</f>
        <v>Різець токарний прохідний відігнутий ВК8 32х25х140/32х20х170</v>
      </c>
      <c r="C159" s="59" t="s">
        <v>6</v>
      </c>
      <c r="D159" s="59" t="s">
        <v>6422</v>
      </c>
      <c r="E159" s="91">
        <v>150</v>
      </c>
    </row>
    <row r="160" spans="1:5">
      <c r="A160" s="21">
        <f t="shared" si="2"/>
        <v>159</v>
      </c>
      <c r="B160" s="164" t="str">
        <f ca="1">IFERROR(__xludf.DUMMYFUNCTION("GOOGLETRANSLATE(B1629:B1644,""RU"",""UK"")"),"Різець токарний прохідний відігнутий ВК8 32х20х160лев")</f>
        <v>Різець токарний прохідний відігнутий ВК8 32х20х160лев</v>
      </c>
      <c r="C160" s="59" t="s">
        <v>6</v>
      </c>
      <c r="D160" s="59">
        <v>1</v>
      </c>
      <c r="E160" s="91">
        <v>175</v>
      </c>
    </row>
    <row r="161" spans="1:5">
      <c r="A161" s="21">
        <f t="shared" si="2"/>
        <v>160</v>
      </c>
      <c r="B161" s="85" t="str">
        <f ca="1">IFERROR(__xludf.DUMMYFUNCTION("GOOGLETRANSLATE(B1630:B1645,""RU"",""UK"")"),"Різець токарний прохідний упорний відігнутий ВК8 32х20х170")</f>
        <v>Різець токарний прохідний упорний відігнутий ВК8 32х20х170</v>
      </c>
      <c r="C161" s="59" t="s">
        <v>6</v>
      </c>
      <c r="D161" s="59">
        <v>408</v>
      </c>
      <c r="E161" s="91">
        <v>150</v>
      </c>
    </row>
    <row r="162" spans="1:5">
      <c r="A162" s="21">
        <f t="shared" si="2"/>
        <v>161</v>
      </c>
      <c r="B162" s="169" t="str">
        <f ca="1">IFERROR(__xludf.DUMMYFUNCTION("GOOGLETRANSLATE(B1631:B1646,""RU"",""UK"")"),"Різець токарний прохідний упорний відігнутий ВК8 32х20х170 лев")</f>
        <v>Різець токарний прохідний упорний відігнутий ВК8 32х20х170 лев</v>
      </c>
      <c r="C162" s="59" t="s">
        <v>6</v>
      </c>
      <c r="D162" s="59">
        <v>18</v>
      </c>
      <c r="E162" s="91">
        <v>175</v>
      </c>
    </row>
    <row r="163" spans="1:5">
      <c r="A163" s="21">
        <f t="shared" si="2"/>
        <v>162</v>
      </c>
      <c r="B163" s="85" t="str">
        <f ca="1">IFERROR(__xludf.DUMMYFUNCTION("GOOGLETRANSLATE(B1632:B1647,""RU"",""UK"")"),"Різець токарний прохідний відігнутий ВК8 32х20х170")</f>
        <v>Різець токарний прохідний відігнутий ВК8 32х20х170</v>
      </c>
      <c r="C163" s="59" t="s">
        <v>6</v>
      </c>
      <c r="D163" s="59">
        <v>26</v>
      </c>
      <c r="E163" s="91">
        <v>150</v>
      </c>
    </row>
    <row r="164" spans="1:5">
      <c r="A164" s="21">
        <f t="shared" si="2"/>
        <v>163</v>
      </c>
      <c r="B164" s="85" t="str">
        <f ca="1">IFERROR(__xludf.DUMMYFUNCTION("GOOGLETRANSLATE(B1633:B1648,""RU"",""UK"")"),"Різець токарний прохідний відігнутий ВК8 32х20х170лев.")</f>
        <v>Різець токарний прохідний відігнутий ВК8 32х20х170лев.</v>
      </c>
      <c r="C164" s="59" t="s">
        <v>6</v>
      </c>
      <c r="D164" s="59">
        <v>6</v>
      </c>
      <c r="E164" s="91">
        <v>175</v>
      </c>
    </row>
    <row r="165" spans="1:5">
      <c r="A165" s="21">
        <f t="shared" si="2"/>
        <v>164</v>
      </c>
      <c r="B165" s="85" t="str">
        <f ca="1">IFERROR(__xludf.DUMMYFUNCTION("GOOGLETRANSLATE(B1634:B1649,""RU"",""UK"")"),"Різець токарний прохідний упорний прямий ВК8 32х20х170")</f>
        <v>Різець токарний прохідний упорний прямий ВК8 32х20х170</v>
      </c>
      <c r="C165" s="59" t="s">
        <v>6</v>
      </c>
      <c r="D165" s="59">
        <v>24</v>
      </c>
      <c r="E165" s="91">
        <v>126</v>
      </c>
    </row>
    <row r="166" spans="1:5">
      <c r="A166" s="21">
        <f t="shared" si="2"/>
        <v>165</v>
      </c>
      <c r="B166" s="85" t="str">
        <f ca="1">IFERROR(__xludf.DUMMYFUNCTION("GOOGLETRANSLATE(B1632:B1647,""RU"",""UK"")"),"Різець токарний прохідний відігнутий ВК8 32х32х250")</f>
        <v>Різець токарний прохідний відігнутий ВК8 32х32х250</v>
      </c>
      <c r="C166" s="59" t="s">
        <v>6</v>
      </c>
      <c r="D166" s="59">
        <v>1</v>
      </c>
      <c r="E166" s="91">
        <v>210</v>
      </c>
    </row>
    <row r="167" spans="1:5">
      <c r="A167" s="21">
        <f t="shared" si="2"/>
        <v>166</v>
      </c>
      <c r="B167" s="169" t="str">
        <f ca="1">IFERROR(__xludf.DUMMYFUNCTION("GOOGLETRANSLATE(B1635:B1650,""RU"",""UK"")"),"Різець токарний прохідний відігнутий ВК8 40х25х200")</f>
        <v>Різець токарний прохідний відігнутий ВК8 40х25х200</v>
      </c>
      <c r="C167" s="59" t="s">
        <v>6</v>
      </c>
      <c r="D167" s="59">
        <v>8</v>
      </c>
      <c r="E167" s="91">
        <v>300</v>
      </c>
    </row>
    <row r="168" spans="1:5">
      <c r="A168" s="21">
        <f t="shared" si="2"/>
        <v>167</v>
      </c>
      <c r="B168" s="164" t="str">
        <f ca="1">IFERROR(__xludf.DUMMYFUNCTION("GOOGLETRANSLATE(B1636:B1651,""RU"",""UK"")"),"Різець токарний прохідний відігнутий ВК8 40х25х200 лев")</f>
        <v>Різець токарний прохідний відігнутий ВК8 40х25х200 лев</v>
      </c>
      <c r="C168" s="59" t="s">
        <v>6</v>
      </c>
      <c r="D168" s="59">
        <v>4</v>
      </c>
      <c r="E168" s="91">
        <v>300</v>
      </c>
    </row>
    <row r="169" spans="1:5">
      <c r="A169" s="21">
        <f t="shared" si="2"/>
        <v>168</v>
      </c>
      <c r="B169" s="169" t="str">
        <f ca="1">IFERROR(__xludf.DUMMYFUNCTION("GOOGLETRANSLATE(B1638:B1653,""RU"",""UK"")"),"Різець токарний прохідний упорний відігнутий ВК8 40х25х200")</f>
        <v>Різець токарний прохідний упорний відігнутий ВК8 40х25х200</v>
      </c>
      <c r="C169" s="59" t="s">
        <v>6</v>
      </c>
      <c r="D169" s="59">
        <v>39</v>
      </c>
      <c r="E169" s="91">
        <v>300</v>
      </c>
    </row>
    <row r="170" spans="1:5">
      <c r="A170" s="21">
        <f t="shared" si="2"/>
        <v>169</v>
      </c>
      <c r="B170" s="164" t="str">
        <f ca="1">IFERROR(__xludf.DUMMYFUNCTION("GOOGLETRANSLATE(B1639:B1654,""RU"",""UK"")"),"Різець токарний прохідний упорний відігнутий ВК8 40х25х200лев")</f>
        <v>Різець токарний прохідний упорний відігнутий ВК8 40х25х200лев</v>
      </c>
      <c r="C170" s="59" t="s">
        <v>6</v>
      </c>
      <c r="D170" s="59">
        <v>16</v>
      </c>
      <c r="E170" s="91">
        <v>300</v>
      </c>
    </row>
    <row r="171" spans="1:5">
      <c r="A171" s="21">
        <f t="shared" si="2"/>
        <v>170</v>
      </c>
      <c r="B171" s="85" t="str">
        <f ca="1">IFERROR(__xludf.DUMMYFUNCTION("GOOGLETRANSLATE(B1641:B1656,""RU"",""UK"")"),"Різець токарний прохідний відігнутий Р6М5 20х16х120")</f>
        <v>Різець токарний прохідний відігнутий Р6М5 20х16х120</v>
      </c>
      <c r="C171" s="59" t="s">
        <v>6</v>
      </c>
      <c r="D171" s="160">
        <v>2</v>
      </c>
      <c r="E171" s="91">
        <v>57</v>
      </c>
    </row>
    <row r="172" spans="1:5">
      <c r="A172" s="21">
        <f t="shared" si="2"/>
        <v>171</v>
      </c>
      <c r="B172" s="85" t="str">
        <f ca="1">IFERROR(__xludf.DUMMYFUNCTION("GOOGLETRANSLATE(B1641:B1656,""RU"",""UK"")"),"Різець токарний прохідний відігнутий Р6М5 25х16х140")</f>
        <v>Різець токарний прохідний відігнутий Р6М5 25х16х140</v>
      </c>
      <c r="C172" s="59" t="s">
        <v>6</v>
      </c>
      <c r="D172" s="160">
        <v>40</v>
      </c>
      <c r="E172" s="91">
        <v>60</v>
      </c>
    </row>
    <row r="173" spans="1:5">
      <c r="A173" s="21">
        <f t="shared" si="2"/>
        <v>172</v>
      </c>
      <c r="B173" s="85" t="str">
        <f ca="1">IFERROR(__xludf.DUMMYFUNCTION("GOOGLETRANSLATE(B1642:B1657,""RU"",""UK"")"),"Різець токарний прохідний відігнутий Р6М5 32х20х170")</f>
        <v>Різець токарний прохідний відігнутий Р6М5 32х20х170</v>
      </c>
      <c r="C173" s="59" t="s">
        <v>6</v>
      </c>
      <c r="D173" s="59">
        <v>13</v>
      </c>
      <c r="E173" s="91">
        <v>72</v>
      </c>
    </row>
    <row r="174" spans="1:5">
      <c r="A174" s="21">
        <f t="shared" si="2"/>
        <v>173</v>
      </c>
      <c r="B174" s="85" t="str">
        <f ca="1">IFERROR(__xludf.DUMMYFUNCTION("GOOGLETRANSLATE(B1643:B1658,""RU"",""UK"")"),"Різець токарний прох. прямий Р9 16х16х150")</f>
        <v>Різець токарний прох. прямий Р9 16х16х150</v>
      </c>
      <c r="C174" s="59" t="s">
        <v>6</v>
      </c>
      <c r="D174" s="59">
        <v>4</v>
      </c>
      <c r="E174" s="91" t="s">
        <v>169</v>
      </c>
    </row>
    <row r="175" spans="1:5">
      <c r="A175" s="21">
        <f t="shared" si="2"/>
        <v>174</v>
      </c>
      <c r="B175" s="85" t="str">
        <f ca="1">IFERROR(__xludf.DUMMYFUNCTION("GOOGLETRANSLATE(B1644:B1659,""RU"",""UK"")"),"Різець токарний прох. прямий Р6М5 20х12х120")</f>
        <v>Різець токарний прох. прямий Р6М5 20х12х120</v>
      </c>
      <c r="C175" s="59" t="s">
        <v>6</v>
      </c>
      <c r="D175" s="59">
        <v>1</v>
      </c>
      <c r="E175" s="91" t="s">
        <v>169</v>
      </c>
    </row>
    <row r="176" spans="1:5">
      <c r="A176" s="21">
        <f t="shared" si="2"/>
        <v>175</v>
      </c>
      <c r="B176" s="85" t="str">
        <f ca="1">IFERROR(__xludf.DUMMYFUNCTION("GOOGLETRANSLATE(B1646:B1661,""RU"",""UK"")"),"Різець токарний прох. прямий мон-ний Р6М5 20х20х150")</f>
        <v>Різець токарний прох. прямий мон-ний Р6М5 20х20х150</v>
      </c>
      <c r="C176" s="59" t="s">
        <v>6</v>
      </c>
      <c r="D176" s="59">
        <v>10</v>
      </c>
      <c r="E176" s="91" t="s">
        <v>16</v>
      </c>
    </row>
    <row r="177" spans="1:5">
      <c r="A177" s="21">
        <f t="shared" si="2"/>
        <v>176</v>
      </c>
      <c r="B177" s="85" t="s">
        <v>6371</v>
      </c>
      <c r="C177" s="59" t="s">
        <v>6</v>
      </c>
      <c r="D177" s="59">
        <v>3</v>
      </c>
      <c r="E177" s="91">
        <v>210</v>
      </c>
    </row>
    <row r="178" spans="1:5">
      <c r="A178" s="21">
        <f t="shared" si="2"/>
        <v>177</v>
      </c>
      <c r="B178" s="85" t="str">
        <f ca="1">IFERROR(__xludf.DUMMYFUNCTION("GOOGLETRANSLATE(B1647:B1662,""RU"",""UK"")"),"Різець токарний прох. прямий мон-ний Р6М5 20х12х125")</f>
        <v>Різець токарний прох. прямий мон-ний Р6М5 20х12х125</v>
      </c>
      <c r="C178" s="59" t="s">
        <v>6</v>
      </c>
      <c r="D178" s="59">
        <v>3</v>
      </c>
      <c r="E178" s="91" t="s">
        <v>140</v>
      </c>
    </row>
    <row r="179" spans="1:5">
      <c r="A179" s="21">
        <f t="shared" si="2"/>
        <v>178</v>
      </c>
      <c r="B179" s="85" t="str">
        <f ca="1">IFERROR(__xludf.DUMMYFUNCTION("GOOGLETRANSLATE(B1648:B1663,""RU"",""UK"")"),"Різець токарний прох. прямий мон-ний Р6М5 16х12х70/Р9")</f>
        <v>Різець токарний прох. прямий мон-ний Р6М5 16х12х70/Р9</v>
      </c>
      <c r="C179" s="59" t="s">
        <v>6</v>
      </c>
      <c r="D179" s="59" t="s">
        <v>2307</v>
      </c>
      <c r="E179" s="91" t="s">
        <v>185</v>
      </c>
    </row>
    <row r="180" spans="1:5">
      <c r="A180" s="21">
        <f t="shared" si="2"/>
        <v>179</v>
      </c>
      <c r="B180" s="85" t="str">
        <f ca="1">IFERROR(__xludf.DUMMYFUNCTION("GOOGLETRANSLATE(B1649:B1664,""RU"",""UK"")"),"Різець токарний прох. прямий мон-ний Р6М5 16х16х70/16х16х80")</f>
        <v>Різець токарний прох. прямий мон-ний Р6М5 16х16х70/16х16х80</v>
      </c>
      <c r="C180" s="59" t="s">
        <v>6</v>
      </c>
      <c r="D180" s="59" t="s">
        <v>2309</v>
      </c>
      <c r="E180" s="91" t="s">
        <v>319</v>
      </c>
    </row>
    <row r="181" spans="1:5">
      <c r="A181" s="21">
        <f t="shared" si="2"/>
        <v>180</v>
      </c>
      <c r="B181" s="85" t="str">
        <f ca="1">IFERROR(__xludf.DUMMYFUNCTION("GOOGLETRANSLATE(B1650:B1665,""RU"",""UK"")"),"Різець токарний прох. прямий Р6М5 16х16х125")</f>
        <v>Різець токарний прох. прямий Р6М5 16х16х125</v>
      </c>
      <c r="C181" s="59" t="s">
        <v>6</v>
      </c>
      <c r="D181" s="59">
        <v>6</v>
      </c>
      <c r="E181" s="91" t="s">
        <v>255</v>
      </c>
    </row>
    <row r="182" spans="1:5">
      <c r="A182" s="21">
        <f t="shared" si="2"/>
        <v>181</v>
      </c>
      <c r="B182" s="85" t="str">
        <f ca="1">IFERROR(__xludf.DUMMYFUNCTION("GOOGLETRANSLATE(B1653:B1668,""RU"",""UK"")"),"Різець токарний прох. прямий мон-ний Р6М5 16х16х80/16х12х85")</f>
        <v>Різець токарний прох. прямий мон-ний Р6М5 16х16х80/16х12х85</v>
      </c>
      <c r="C182" s="59" t="s">
        <v>6</v>
      </c>
      <c r="D182" s="59" t="s">
        <v>749</v>
      </c>
      <c r="E182" s="91" t="s">
        <v>136</v>
      </c>
    </row>
    <row r="183" spans="1:5">
      <c r="A183" s="21">
        <f t="shared" si="2"/>
        <v>182</v>
      </c>
      <c r="B183" s="85" t="str">
        <f ca="1">IFERROR(__xludf.DUMMYFUNCTION("GOOGLETRANSLATE(B1654:B1669,""RU"",""UK"")"),"Різець токарний прох. прямий мон-ний Р18 16х12х110/Р18 16х12х110лев")</f>
        <v>Різець токарний прох. прямий мон-ний Р18 16х12х110/Р18 16х12х110лев</v>
      </c>
      <c r="C183" s="59" t="s">
        <v>6</v>
      </c>
      <c r="D183" s="59" t="s">
        <v>2315</v>
      </c>
      <c r="E183" s="91" t="s">
        <v>119</v>
      </c>
    </row>
    <row r="184" spans="1:5">
      <c r="A184" s="21">
        <f t="shared" si="2"/>
        <v>183</v>
      </c>
      <c r="B184" s="85" t="str">
        <f ca="1">IFERROR(__xludf.DUMMYFUNCTION("GOOGLETRANSLATE(B1651:B1666,""RU"",""UK"")"),"Різець токарний прох. прямий мон-ний Р6М5 15х15х140")</f>
        <v>Різець токарний прох. прямий мон-ний Р6М5 15х15х140</v>
      </c>
      <c r="C184" s="59" t="s">
        <v>6</v>
      </c>
      <c r="D184" s="59">
        <v>3</v>
      </c>
      <c r="E184" s="91" t="s">
        <v>24</v>
      </c>
    </row>
    <row r="185" spans="1:5">
      <c r="A185" s="21">
        <f t="shared" si="2"/>
        <v>184</v>
      </c>
      <c r="B185" s="85" t="s">
        <v>6372</v>
      </c>
      <c r="C185" s="59" t="s">
        <v>6</v>
      </c>
      <c r="D185" s="59">
        <v>3</v>
      </c>
      <c r="E185" s="91">
        <v>150</v>
      </c>
    </row>
    <row r="186" spans="1:5">
      <c r="A186" s="21">
        <f t="shared" si="2"/>
        <v>185</v>
      </c>
      <c r="B186" s="85" t="s">
        <v>6374</v>
      </c>
      <c r="C186" s="59" t="s">
        <v>6</v>
      </c>
      <c r="D186" s="59">
        <v>5</v>
      </c>
      <c r="E186" s="91">
        <v>100</v>
      </c>
    </row>
    <row r="187" spans="1:5">
      <c r="A187" s="21">
        <f t="shared" si="2"/>
        <v>186</v>
      </c>
      <c r="B187" s="85" t="str">
        <f ca="1">IFERROR(__xludf.DUMMYFUNCTION("GOOGLETRANSLATE(B1657:B1672,""RU"",""UK"")"),"Різець токарний прох. прямий мон-ний Р6М5 12х12х40")</f>
        <v>Різець токарний прох. прямий мон-ний Р6М5 12х12х40</v>
      </c>
      <c r="C187" s="59" t="s">
        <v>6</v>
      </c>
      <c r="D187" s="59">
        <v>10</v>
      </c>
      <c r="E187" s="91" t="s">
        <v>255</v>
      </c>
    </row>
    <row r="188" spans="1:5">
      <c r="A188" s="21">
        <f t="shared" si="2"/>
        <v>187</v>
      </c>
      <c r="B188" s="85" t="str">
        <f ca="1">IFERROR(__xludf.DUMMYFUNCTION("GOOGLETRANSLATE(B1657:B1672,""RU"",""UK"")"),"Різець токарний прох. прямий мон-ний Р6М5 12х12х50")</f>
        <v>Різець токарний прох. прямий мон-ний Р6М5 12х12х50</v>
      </c>
      <c r="C188" s="59" t="s">
        <v>6</v>
      </c>
      <c r="D188" s="59">
        <v>5</v>
      </c>
      <c r="E188" s="91" t="s">
        <v>255</v>
      </c>
    </row>
    <row r="189" spans="1:5">
      <c r="A189" s="21">
        <f t="shared" si="2"/>
        <v>188</v>
      </c>
      <c r="B189" s="85" t="str">
        <f ca="1">IFERROR(__xludf.DUMMYFUNCTION("GOOGLETRANSLATE(B1658:B1673,""RU"",""UK"")"),"Різець токарний прох. прямий мон-ний Р6М5 12х12х70")</f>
        <v>Різець токарний прох. прямий мон-ний Р6М5 12х12х70</v>
      </c>
      <c r="C189" s="59" t="s">
        <v>6</v>
      </c>
      <c r="D189" s="59">
        <v>20</v>
      </c>
      <c r="E189" s="91">
        <v>84</v>
      </c>
    </row>
    <row r="190" spans="1:5">
      <c r="A190" s="21">
        <f t="shared" si="2"/>
        <v>189</v>
      </c>
      <c r="B190" s="85" t="str">
        <f ca="1">IFERROR(__xludf.DUMMYFUNCTION("GOOGLETRANSLATE(B1658:B1673,""RU"",""UK"")"),"Різець токарний прох. прямий мон-ний Р6М5 12х12х80")</f>
        <v>Різець токарний прох. прямий мон-ний Р6М5 12х12х80</v>
      </c>
      <c r="C190" s="59" t="s">
        <v>6</v>
      </c>
      <c r="D190" s="59">
        <v>5</v>
      </c>
      <c r="E190" s="91">
        <v>90</v>
      </c>
    </row>
    <row r="191" spans="1:5">
      <c r="A191" s="21">
        <f t="shared" si="2"/>
        <v>190</v>
      </c>
      <c r="B191" s="85" t="str">
        <f ca="1">IFERROR(__xludf.DUMMYFUNCTION("GOOGLETRANSLATE(B1656:B1671,""RU"",""UK"")"),"Різець токарний прох. прямий мон-ний Р6М5 12х12х100")</f>
        <v>Різець токарний прох. прямий мон-ний Р6М5 12х12х100</v>
      </c>
      <c r="C191" s="59" t="s">
        <v>6</v>
      </c>
      <c r="D191" s="59">
        <v>1</v>
      </c>
      <c r="E191" s="91" t="s">
        <v>319</v>
      </c>
    </row>
    <row r="192" spans="1:5">
      <c r="A192" s="21">
        <f t="shared" si="2"/>
        <v>191</v>
      </c>
      <c r="B192" s="85" t="str">
        <f ca="1">IFERROR(__xludf.DUMMYFUNCTION("GOOGLETRANSLATE(B1656:B1671,""RU"",""UK"")"),"Різець токарний прох. прямий мон-ний Р6М5 12х12х120")</f>
        <v>Різець токарний прох. прямий мон-ний Р6М5 12х12х120</v>
      </c>
      <c r="C192" s="59" t="s">
        <v>6</v>
      </c>
      <c r="D192" s="59">
        <v>200</v>
      </c>
      <c r="E192" s="91" t="s">
        <v>319</v>
      </c>
    </row>
    <row r="193" spans="1:5">
      <c r="A193" s="21">
        <f t="shared" si="2"/>
        <v>192</v>
      </c>
      <c r="B193" s="85" t="str">
        <f ca="1">IFERROR(__xludf.DUMMYFUNCTION("GOOGLETRANSLATE(B1655:B1670,""RU"",""UK"")"),"Різець токарний прох. прямий мон-ний Р6М5 12х12х150")</f>
        <v>Різець токарний прох. прямий мон-ний Р6М5 12х12х150</v>
      </c>
      <c r="C193" s="59" t="s">
        <v>6</v>
      </c>
      <c r="D193" s="59">
        <v>8</v>
      </c>
      <c r="E193" s="91" t="s">
        <v>119</v>
      </c>
    </row>
    <row r="194" spans="1:5">
      <c r="A194" s="21">
        <f t="shared" si="2"/>
        <v>193</v>
      </c>
      <c r="B194" s="85" t="s">
        <v>6373</v>
      </c>
      <c r="C194" s="59" t="s">
        <v>6</v>
      </c>
      <c r="D194" s="59">
        <v>2</v>
      </c>
      <c r="E194" s="91">
        <v>80</v>
      </c>
    </row>
    <row r="195" spans="1:5">
      <c r="A195" s="21">
        <f t="shared" si="2"/>
        <v>194</v>
      </c>
      <c r="B195" s="85" t="str">
        <f ca="1">IFERROR(__xludf.DUMMYFUNCTION("GOOGLETRANSLATE(B1659:B1674,""RU"",""UK"")"),"Різець токарний прох. прямий мон-ний Р6М5 10х10х100")</f>
        <v>Різець токарний прох. прямий мон-ний Р6М5 10х10х100</v>
      </c>
      <c r="C195" s="59" t="s">
        <v>6</v>
      </c>
      <c r="D195" s="59">
        <v>16</v>
      </c>
      <c r="E195" s="91">
        <v>90</v>
      </c>
    </row>
    <row r="196" spans="1:5">
      <c r="A196" s="21">
        <f t="shared" si="2"/>
        <v>195</v>
      </c>
      <c r="B196" s="85" t="str">
        <f ca="1">IFERROR(__xludf.DUMMYFUNCTION("GOOGLETRANSLATE(B1659:B1674,""RU"",""UK"")"),"Різець токарний прох. прямий мон-ний Р6М5 10х10х120")</f>
        <v>Різець токарний прох. прямий мон-ний Р6М5 10х10х120</v>
      </c>
      <c r="C196" s="59" t="s">
        <v>6</v>
      </c>
      <c r="D196" s="59">
        <v>127</v>
      </c>
      <c r="E196" s="91" t="s">
        <v>194</v>
      </c>
    </row>
    <row r="197" spans="1:5">
      <c r="A197" s="21">
        <f t="shared" si="2"/>
        <v>196</v>
      </c>
      <c r="B197" s="85" t="str">
        <f ca="1">IFERROR(__xludf.DUMMYFUNCTION("GOOGLETRANSLATE(B1660:B1675,""RU"",""UK"")"),"Різець токарний прох. прямий мон-ний Р6М5 10х10х150")</f>
        <v>Різець токарний прох. прямий мон-ний Р6М5 10х10х150</v>
      </c>
      <c r="C197" s="59" t="s">
        <v>6</v>
      </c>
      <c r="D197" s="59">
        <v>28</v>
      </c>
      <c r="E197" s="91" t="s">
        <v>319</v>
      </c>
    </row>
    <row r="198" spans="1:5">
      <c r="A198" s="21">
        <f t="shared" si="2"/>
        <v>197</v>
      </c>
      <c r="B198" s="85" t="str">
        <f ca="1">IFERROR(__xludf.DUMMYFUNCTION("GOOGLETRANSLATE(B1661:B1676,""RU"",""UK"")"),"Різець токарний прох. прямий Р6М5 10х10х120")</f>
        <v>Різець токарний прох. прямий Р6М5 10х10х120</v>
      </c>
      <c r="C198" s="59" t="s">
        <v>6</v>
      </c>
      <c r="D198" s="59">
        <v>4</v>
      </c>
      <c r="E198" s="91" t="s">
        <v>124</v>
      </c>
    </row>
    <row r="199" spans="1:5">
      <c r="A199" s="21">
        <f t="shared" si="2"/>
        <v>198</v>
      </c>
      <c r="B199" s="85" t="str">
        <f ca="1">IFERROR(__xludf.DUMMYFUNCTION("GOOGLETRANSLATE(B1662:B1677,""RU"",""UK"")"),"Різець токарний прох. прямий мон-ний Р6М5 10х10х60")</f>
        <v>Різець токарний прох. прямий мон-ний Р6М5 10х10х60</v>
      </c>
      <c r="C199" s="59" t="s">
        <v>6</v>
      </c>
      <c r="D199" s="59">
        <v>2</v>
      </c>
      <c r="E199" s="91" t="s">
        <v>209</v>
      </c>
    </row>
    <row r="200" spans="1:5">
      <c r="A200" s="21">
        <f t="shared" si="2"/>
        <v>199</v>
      </c>
      <c r="B200" s="85" t="str">
        <f ca="1">IFERROR(__xludf.DUMMYFUNCTION("GOOGLETRANSLATE(B1663:B1678,""RU"",""UK"")"),"Різець токарний прох. прямий мон-ний Р6М5 8х8х80")</f>
        <v>Різець токарний прох. прямий мон-ний Р6М5 8х8х80</v>
      </c>
      <c r="C200" s="59" t="s">
        <v>6</v>
      </c>
      <c r="D200" s="59">
        <v>1</v>
      </c>
      <c r="E200" s="91" t="s">
        <v>169</v>
      </c>
    </row>
    <row r="201" spans="1:5">
      <c r="A201" s="21">
        <f t="shared" si="2"/>
        <v>200</v>
      </c>
      <c r="B201" s="85" t="str">
        <f ca="1">IFERROR(__xludf.DUMMYFUNCTION("GOOGLETRANSLATE(B1664:B1679,""RU"",""UK"")"),"Різець токарний прох. прямий мон-ний Р6М5 8х8х120")</f>
        <v>Різець токарний прох. прямий мон-ний Р6М5 8х8х120</v>
      </c>
      <c r="C201" s="59" t="s">
        <v>6</v>
      </c>
      <c r="D201" s="59">
        <v>184</v>
      </c>
      <c r="E201" s="91" t="s">
        <v>226</v>
      </c>
    </row>
    <row r="202" spans="1:5">
      <c r="A202" s="21">
        <f t="shared" si="2"/>
        <v>201</v>
      </c>
      <c r="B202" s="85" t="str">
        <f ca="1">IFERROR(__xludf.DUMMYFUNCTION("GOOGLETRANSLATE(B1665:B1680,""RU"",""UK"")"),"Різець токарний прох. прямий мон-ний Р6М5 8х8х150")</f>
        <v>Різець токарний прох. прямий мон-ний Р6М5 8х8х150</v>
      </c>
      <c r="C202" s="59" t="s">
        <v>6</v>
      </c>
      <c r="D202" s="59">
        <v>243</v>
      </c>
      <c r="E202" s="91" t="s">
        <v>338</v>
      </c>
    </row>
    <row r="203" spans="1:5">
      <c r="A203" s="21">
        <f t="shared" si="2"/>
        <v>202</v>
      </c>
      <c r="B203" s="85" t="str">
        <f ca="1">IFERROR(__xludf.DUMMYFUNCTION("GOOGLETRANSLATE(B1666:B1681,""RU"",""UK"")"),"Різець токарний підрізний прямий Т5К10 12х12х120")</f>
        <v>Різець токарний підрізний прямий Т5К10 12х12х120</v>
      </c>
      <c r="C203" s="59" t="s">
        <v>6</v>
      </c>
      <c r="D203" s="59">
        <v>13</v>
      </c>
      <c r="E203" s="91" t="s">
        <v>169</v>
      </c>
    </row>
    <row r="204" spans="1:5">
      <c r="A204" s="21">
        <f t="shared" si="2"/>
        <v>203</v>
      </c>
      <c r="B204" s="85" t="str">
        <f ca="1">IFERROR(__xludf.DUMMYFUNCTION("GOOGLETRANSLATE(B1667:B1682,""RU"",""UK"")"),"Різець токарний підрізний відігнутий Т5К10 20х12х120 лев")</f>
        <v>Різець токарний підрізний відігнутий Т5К10 20х12х120 лев</v>
      </c>
      <c r="C204" s="59" t="s">
        <v>6</v>
      </c>
      <c r="D204" s="59">
        <v>2</v>
      </c>
      <c r="E204" s="91" t="s">
        <v>181</v>
      </c>
    </row>
    <row r="205" spans="1:5">
      <c r="A205" s="21">
        <f t="shared" si="2"/>
        <v>204</v>
      </c>
      <c r="B205" s="85" t="str">
        <f ca="1">IFERROR(__xludf.DUMMYFUNCTION("GOOGLETRANSLATE(B1668:B1683,""RU"",""UK"")"),"Різець токарний підрізний відігнутий Т5К10 20х16х120")</f>
        <v>Різець токарний підрізний відігнутий Т5К10 20х16х120</v>
      </c>
      <c r="C205" s="59" t="s">
        <v>6</v>
      </c>
      <c r="D205" s="59">
        <v>379</v>
      </c>
      <c r="E205" s="91" t="s">
        <v>371</v>
      </c>
    </row>
    <row r="206" spans="1:5">
      <c r="A206" s="21">
        <f t="shared" si="2"/>
        <v>205</v>
      </c>
      <c r="B206" s="85" t="str">
        <f ca="1">IFERROR(__xludf.DUMMYFUNCTION("GOOGLETRANSLATE(B1669:B1684,""RU"",""UK"")"),"Різець токарний підрізний відігнутий Т5К10 25х16х140")</f>
        <v>Різець токарний підрізний відігнутий Т5К10 25х16х140</v>
      </c>
      <c r="C206" s="59" t="s">
        <v>6</v>
      </c>
      <c r="D206" s="59">
        <v>456</v>
      </c>
      <c r="E206" s="91" t="s">
        <v>136</v>
      </c>
    </row>
    <row r="207" spans="1:5">
      <c r="A207" s="21">
        <f t="shared" si="2"/>
        <v>206</v>
      </c>
      <c r="B207" s="85" t="str">
        <f ca="1">IFERROR(__xludf.DUMMYFUNCTION("GOOGLETRANSLATE(B1670:B1685,""RU"",""UK"")"),"Різець токарний підрізний відігнутий Т5К10 25х16х140 лев")</f>
        <v>Різець токарний підрізний відігнутий Т5К10 25х16х140 лев</v>
      </c>
      <c r="C207" s="59" t="s">
        <v>6</v>
      </c>
      <c r="D207" s="59">
        <v>9</v>
      </c>
      <c r="E207" s="91" t="s">
        <v>344</v>
      </c>
    </row>
    <row r="208" spans="1:5">
      <c r="A208" s="21">
        <f t="shared" si="2"/>
        <v>207</v>
      </c>
      <c r="B208" s="85" t="str">
        <f ca="1">IFERROR(__xludf.DUMMYFUNCTION("GOOGLETRANSLATE(B1671:B1686,""RU"",""UK"")"),"Різець токарний підрізний відігнутий Т5К10 32х25х170/32х20х200")</f>
        <v>Різець токарний підрізний відігнутий Т5К10 32х25х170/32х20х200</v>
      </c>
      <c r="C208" s="59" t="s">
        <v>6</v>
      </c>
      <c r="D208" s="59" t="s">
        <v>793</v>
      </c>
      <c r="E208" s="91" t="s">
        <v>317</v>
      </c>
    </row>
    <row r="209" spans="1:5">
      <c r="A209" s="21">
        <f t="shared" si="2"/>
        <v>208</v>
      </c>
      <c r="B209" s="85" t="str">
        <f ca="1">IFERROR(__xludf.DUMMYFUNCTION("GOOGLETRANSLATE(B1672:B1687,""RU"",""UK"")"),"Різець токарний підрізний відігнутий Т15К6 16х12х100")</f>
        <v>Різець токарний підрізний відігнутий Т15К6 16х12х100</v>
      </c>
      <c r="C209" s="59" t="s">
        <v>6</v>
      </c>
      <c r="D209" s="59">
        <v>1</v>
      </c>
      <c r="E209" s="91" t="s">
        <v>181</v>
      </c>
    </row>
    <row r="210" spans="1:5">
      <c r="A210" s="21">
        <f t="shared" si="2"/>
        <v>209</v>
      </c>
      <c r="B210" s="85" t="str">
        <f ca="1">IFERROR(__xludf.DUMMYFUNCTION("GOOGLETRANSLATE(B1673:B1688,""RU"",""UK"")"),"Різець токарний підрізний відігнутий Т15К6 20х16х120")</f>
        <v>Різець токарний підрізний відігнутий Т15К6 20х16х120</v>
      </c>
      <c r="C210" s="59" t="s">
        <v>6</v>
      </c>
      <c r="D210" s="59">
        <v>45</v>
      </c>
      <c r="E210" s="91" t="s">
        <v>371</v>
      </c>
    </row>
    <row r="211" spans="1:5">
      <c r="A211" s="21">
        <f t="shared" si="2"/>
        <v>210</v>
      </c>
      <c r="B211" s="85" t="str">
        <f ca="1">IFERROR(__xludf.DUMMYFUNCTION("GOOGLETRANSLATE(B1674:B1689,""RU"",""UK"")"),"Різець токарний підрізний відігнутий Т15К6 25х16х140")</f>
        <v>Різець токарний підрізний відігнутий Т15К6 25х16х140</v>
      </c>
      <c r="C211" s="59" t="s">
        <v>6</v>
      </c>
      <c r="D211" s="59">
        <v>21</v>
      </c>
      <c r="E211" s="91" t="s">
        <v>136</v>
      </c>
    </row>
    <row r="212" spans="1:5">
      <c r="A212" s="21">
        <f t="shared" si="2"/>
        <v>211</v>
      </c>
      <c r="B212" s="85" t="str">
        <f ca="1">IFERROR(__xludf.DUMMYFUNCTION("GOOGLETRANSLATE(B1675:B1690,""RU"",""UK"")"),"Різець токарний підрізний відігнутий Т15К6 25х16х140 лев")</f>
        <v>Різець токарний підрізний відігнутий Т15К6 25х16х140 лев</v>
      </c>
      <c r="C212" s="59" t="s">
        <v>6</v>
      </c>
      <c r="D212" s="59">
        <v>16</v>
      </c>
      <c r="E212" s="91" t="s">
        <v>194</v>
      </c>
    </row>
    <row r="213" spans="1:5">
      <c r="A213" s="21">
        <f t="shared" si="2"/>
        <v>212</v>
      </c>
      <c r="B213" s="85" t="str">
        <f ca="1">IFERROR(__xludf.DUMMYFUNCTION("GOOGLETRANSLATE(B1676:B1691,""RU"",""UK"")"),"Різець токарний підрізний відігнутий Т14К8 25х16х140")</f>
        <v>Різець токарний підрізний відігнутий Т14К8 25х16х140</v>
      </c>
      <c r="C213" s="59" t="s">
        <v>6</v>
      </c>
      <c r="D213" s="59">
        <v>49</v>
      </c>
      <c r="E213" s="91" t="s">
        <v>136</v>
      </c>
    </row>
    <row r="214" spans="1:5">
      <c r="A214" s="21">
        <f t="shared" si="2"/>
        <v>213</v>
      </c>
      <c r="B214" s="85" t="str">
        <f ca="1">IFERROR(__xludf.DUMMYFUNCTION("GOOGLETRANSLATE(B1677:B1692,""RU"",""UK"")"),"Різець токарний підрізний відігнутий Т15К6 32х20х170")</f>
        <v>Різець токарний підрізний відігнутий Т15К6 32х20х170</v>
      </c>
      <c r="C214" s="59" t="s">
        <v>6</v>
      </c>
      <c r="D214" s="59">
        <v>0</v>
      </c>
      <c r="E214" s="91" t="s">
        <v>631</v>
      </c>
    </row>
    <row r="215" spans="1:5">
      <c r="A215" s="21">
        <f t="shared" si="2"/>
        <v>214</v>
      </c>
      <c r="B215" s="85" t="str">
        <f ca="1">IFERROR(__xludf.DUMMYFUNCTION("GOOGLETRANSLATE(B1678:B1693,""RU"",""UK"")"),"Різець токарний підрізний відігнутий Т14К8 32х20х170")</f>
        <v>Різець токарний підрізний відігнутий Т14К8 32х20х170</v>
      </c>
      <c r="C215" s="59" t="s">
        <v>6</v>
      </c>
      <c r="D215" s="59">
        <v>33</v>
      </c>
      <c r="E215" s="91" t="s">
        <v>319</v>
      </c>
    </row>
    <row r="216" spans="1:5">
      <c r="A216" s="21">
        <f t="shared" si="2"/>
        <v>215</v>
      </c>
      <c r="B216" s="85" t="str">
        <f ca="1">IFERROR(__xludf.DUMMYFUNCTION("GOOGLETRANSLATE(B1679:B1694,""RU"",""UK"")"),"Різець токарний підрізний відігнутий Т15К6 40х30х200")</f>
        <v>Різець токарний підрізний відігнутий Т15К6 40х30х200</v>
      </c>
      <c r="C216" s="59" t="s">
        <v>6</v>
      </c>
      <c r="D216" s="59">
        <v>20</v>
      </c>
      <c r="E216" s="91" t="s">
        <v>327</v>
      </c>
    </row>
    <row r="217" spans="1:5">
      <c r="A217" s="21">
        <f t="shared" si="2"/>
        <v>216</v>
      </c>
      <c r="B217" s="85" t="str">
        <f ca="1">IFERROR(__xludf.DUMMYFUNCTION("GOOGLETRANSLATE(B1680:B1695,""RU"",""UK"")"),"Різець токарний підрізний прямий. ВК8 d10х70")</f>
        <v>Різець токарний підрізний прямий. ВК8 d10х70</v>
      </c>
      <c r="C217" s="59" t="s">
        <v>6</v>
      </c>
      <c r="D217" s="59">
        <v>10</v>
      </c>
      <c r="E217" s="91" t="s">
        <v>2343</v>
      </c>
    </row>
    <row r="218" spans="1:5">
      <c r="A218" s="21">
        <f t="shared" si="2"/>
        <v>217</v>
      </c>
      <c r="B218" s="85" t="str">
        <f ca="1">IFERROR(__xludf.DUMMYFUNCTION("GOOGLETRANSLATE(B1681:B1696,""RU"",""UK"")"),"Різець токарний підрізний прямий. ВК8 12х12х50/d16х50")</f>
        <v>Різець токарний підрізний прямий. ВК8 12х12х50/d16х50</v>
      </c>
      <c r="C218" s="59" t="s">
        <v>6</v>
      </c>
      <c r="D218" s="59" t="s">
        <v>707</v>
      </c>
      <c r="E218" s="91" t="s">
        <v>2345</v>
      </c>
    </row>
    <row r="219" spans="1:5">
      <c r="A219" s="21">
        <f t="shared" si="2"/>
        <v>218</v>
      </c>
      <c r="B219" s="85" t="str">
        <f ca="1">IFERROR(__xludf.DUMMYFUNCTION("GOOGLETRANSLATE(B1682:B1697,""RU"",""UK"")"),"Різець токарний підрізний прямий. ВК8 12х12х70")</f>
        <v>Різець токарний підрізний прямий. ВК8 12х12х70</v>
      </c>
      <c r="C219" s="59" t="s">
        <v>6</v>
      </c>
      <c r="D219" s="59">
        <v>1</v>
      </c>
      <c r="E219" s="91" t="s">
        <v>124</v>
      </c>
    </row>
    <row r="220" spans="1:5">
      <c r="A220" s="21">
        <f t="shared" si="2"/>
        <v>219</v>
      </c>
      <c r="B220" s="85" t="str">
        <f ca="1">IFERROR(__xludf.DUMMYFUNCTION("GOOGLETRANSLATE(B1683:B1698,""RU"",""UK"")"),"Різець токарний підрізний прямий. ВК8 16х16х70лев")</f>
        <v>Різець токарний підрізний прямий. ВК8 16х16х70лев</v>
      </c>
      <c r="C220" s="59" t="s">
        <v>6</v>
      </c>
      <c r="D220" s="59">
        <v>11</v>
      </c>
      <c r="E220" s="91" t="s">
        <v>1073</v>
      </c>
    </row>
    <row r="221" spans="1:5">
      <c r="A221" s="21">
        <f t="shared" si="2"/>
        <v>220</v>
      </c>
      <c r="B221" s="85" t="str">
        <f ca="1">IFERROR(__xludf.DUMMYFUNCTION("GOOGLETRANSLATE(B1684:B1699,""RU"",""UK"")"),"Різець токарний підрізний прямий. ВК8 16х16х100")</f>
        <v>Різець токарний підрізний прямий. ВК8 16х16х100</v>
      </c>
      <c r="C221" s="59" t="s">
        <v>6</v>
      </c>
      <c r="D221" s="59">
        <v>4</v>
      </c>
      <c r="E221" s="91" t="s">
        <v>201</v>
      </c>
    </row>
    <row r="222" spans="1:5">
      <c r="A222" s="21">
        <f t="shared" si="2"/>
        <v>221</v>
      </c>
      <c r="B222" s="85" t="str">
        <f ca="1">IFERROR(__xludf.DUMMYFUNCTION("GOOGLETRANSLATE(B1685:B1700,""RU"",""UK"")"),"Різець токарний підрізний прямий. ВК8 22х22х130/25х25х100")</f>
        <v>Різець токарний підрізний прямий. ВК8 22х22х130/25х25х100</v>
      </c>
      <c r="C222" s="59" t="s">
        <v>6</v>
      </c>
      <c r="D222" s="59" t="s">
        <v>2117</v>
      </c>
      <c r="E222" s="91" t="s">
        <v>226</v>
      </c>
    </row>
    <row r="223" spans="1:5">
      <c r="A223" s="21">
        <f t="shared" si="2"/>
        <v>222</v>
      </c>
      <c r="B223" s="85" t="str">
        <f ca="1">IFERROR(__xludf.DUMMYFUNCTION("GOOGLETRANSLATE(B1686:B1701,""RU"",""UK"")"),"Різець токарний підрізний прямий. ВК8 25х16х100лев")</f>
        <v>Різець токарний підрізний прямий. ВК8 25х16х100лев</v>
      </c>
      <c r="C223" s="59" t="s">
        <v>6</v>
      </c>
      <c r="D223" s="59">
        <v>1</v>
      </c>
      <c r="E223" s="91" t="s">
        <v>371</v>
      </c>
    </row>
    <row r="224" spans="1:5">
      <c r="A224" s="21">
        <f t="shared" si="2"/>
        <v>223</v>
      </c>
      <c r="B224" s="85" t="str">
        <f ca="1">IFERROR(__xludf.DUMMYFUNCTION("GOOGLETRANSLATE(B1687:B1702,""RU"",""UK"")"),"Різець токарний підрізний прямий. ВК8 32х20х140/32х20х100лев")</f>
        <v>Різець токарний підрізний прямий. ВК8 32х20х140/32х20х100лев</v>
      </c>
      <c r="C224" s="59" t="s">
        <v>6</v>
      </c>
      <c r="D224" s="59" t="s">
        <v>2352</v>
      </c>
      <c r="E224" s="91" t="s">
        <v>2106</v>
      </c>
    </row>
    <row r="225" spans="1:5">
      <c r="A225" s="21">
        <f t="shared" si="2"/>
        <v>224</v>
      </c>
      <c r="B225" s="85" t="str">
        <f ca="1">IFERROR(__xludf.DUMMYFUNCTION("GOOGLETRANSLATE(B1688:B1703,""RU"",""UK"")"),"Різець токарний підрізний прямий ВК8 d-20х90/d-16х50лев/d-16х60лев")</f>
        <v>Різець токарний підрізний прямий ВК8 d-20х90/d-16х50лев/d-16х60лев</v>
      </c>
      <c r="C225" s="59" t="s">
        <v>6</v>
      </c>
      <c r="D225" s="59" t="s">
        <v>2354</v>
      </c>
      <c r="E225" s="91" t="s">
        <v>2355</v>
      </c>
    </row>
    <row r="226" spans="1:5">
      <c r="A226" s="21">
        <f t="shared" ref="A226:A288" si="3">A225+1</f>
        <v>225</v>
      </c>
      <c r="B226" s="85" t="str">
        <f ca="1">IFERROR(__xludf.DUMMYFUNCTION("GOOGLETRANSLATE(B1689:B1704,""RU"",""UK"")"),"Різець токарний підрізний відігнутий ВК8 10х12х90")</f>
        <v>Різець токарний підрізний відігнутий ВК8 10х12х90</v>
      </c>
      <c r="C226" s="59" t="s">
        <v>6</v>
      </c>
      <c r="D226" s="59">
        <v>11</v>
      </c>
      <c r="E226" s="91" t="s">
        <v>2357</v>
      </c>
    </row>
    <row r="227" spans="1:5">
      <c r="A227" s="21">
        <f t="shared" si="3"/>
        <v>226</v>
      </c>
      <c r="B227" s="85" t="str">
        <f ca="1">IFERROR(__xludf.DUMMYFUNCTION("GOOGLETRANSLATE(B1690:B1705,""RU"",""UK"")"),"Різець токарний підрізний відігнутий ВК8 16х10х100 ")</f>
        <v xml:space="preserve">Різець токарний підрізний відігнутий ВК8 16х10х100 </v>
      </c>
      <c r="C227" s="59" t="s">
        <v>6</v>
      </c>
      <c r="D227" s="160">
        <v>6</v>
      </c>
      <c r="E227" s="91">
        <v>69</v>
      </c>
    </row>
    <row r="228" spans="1:5">
      <c r="A228" s="21">
        <f t="shared" si="3"/>
        <v>227</v>
      </c>
      <c r="B228" s="85" t="str">
        <f ca="1">IFERROR(__xludf.DUMMYFUNCTION("GOOGLETRANSLATE(B1690:B1705,""RU"",""UK"")"),"Різець токарний підрізний відігнутий ВК8 16х12х100")</f>
        <v>Різець токарний підрізний відігнутий ВК8 16х12х100</v>
      </c>
      <c r="C228" s="59" t="s">
        <v>6</v>
      </c>
      <c r="D228" s="160">
        <v>47</v>
      </c>
      <c r="E228" s="91">
        <v>69</v>
      </c>
    </row>
    <row r="229" spans="1:5">
      <c r="A229" s="21">
        <f t="shared" si="3"/>
        <v>228</v>
      </c>
      <c r="B229" s="85" t="str">
        <f ca="1">IFERROR(__xludf.DUMMYFUNCTION("GOOGLETRANSLATE(B1691:B1706,""RU"",""UK"")"),"Різець токарний підрізний відігнутий ВК8 16х16х85/16х16х100 лев")</f>
        <v>Різець токарний підрізний відігнутий ВК8 16х16х85/16х16х100 лев</v>
      </c>
      <c r="C229" s="59" t="s">
        <v>6</v>
      </c>
      <c r="D229" s="59" t="s">
        <v>2361</v>
      </c>
      <c r="E229" s="91">
        <v>72</v>
      </c>
    </row>
    <row r="230" spans="1:5">
      <c r="A230" s="21">
        <f t="shared" si="3"/>
        <v>229</v>
      </c>
      <c r="B230" s="85" t="str">
        <f ca="1">IFERROR(__xludf.DUMMYFUNCTION("GOOGLETRANSLATE(B1692:B1707,""RU"",""UK"")"),"Різець токарний підрізний відігнутий ВК8 16х16х160 пр/лев")</f>
        <v>Різець токарний підрізний відігнутий ВК8 16х16х160 пр/лев</v>
      </c>
      <c r="C230" s="59" t="s">
        <v>6</v>
      </c>
      <c r="D230" s="59">
        <v>10</v>
      </c>
      <c r="E230" s="91" t="s">
        <v>257</v>
      </c>
    </row>
    <row r="231" spans="1:5">
      <c r="A231" s="21">
        <f t="shared" si="3"/>
        <v>230</v>
      </c>
      <c r="B231" s="85" t="str">
        <f ca="1">IFERROR(__xludf.DUMMYFUNCTION("GOOGLETRANSLATE(B1693:B1708,""RU"",""UK"")"),"Різець токарний підрізний відігнутий ВК8 20х12х120")</f>
        <v>Різець токарний підрізний відігнутий ВК8 20х12х120</v>
      </c>
      <c r="C231" s="59" t="s">
        <v>6</v>
      </c>
      <c r="D231" s="59">
        <v>21</v>
      </c>
      <c r="E231" s="91" t="s">
        <v>104</v>
      </c>
    </row>
    <row r="232" spans="1:5">
      <c r="A232" s="21">
        <f t="shared" si="3"/>
        <v>231</v>
      </c>
      <c r="B232" s="85" t="str">
        <f ca="1">IFERROR(__xludf.DUMMYFUNCTION("GOOGLETRANSLATE(B1694:B1709,""RU"",""UK"")"),"Різець токарний підрізний відігнутий ВК8 20х16х120")</f>
        <v>Різець токарний підрізний відігнутий ВК8 20х16х120</v>
      </c>
      <c r="C232" s="59" t="s">
        <v>6</v>
      </c>
      <c r="D232" s="59">
        <v>88</v>
      </c>
      <c r="E232" s="91" t="s">
        <v>338</v>
      </c>
    </row>
    <row r="233" spans="1:5">
      <c r="A233" s="21">
        <f t="shared" si="3"/>
        <v>232</v>
      </c>
      <c r="B233" s="85" t="str">
        <f ca="1">IFERROR(__xludf.DUMMYFUNCTION("GOOGLETRANSLATE(B1695:B1710,""RU"",""UK"")"),"Різець токарний підрізний відігнутий ВК8 25х16х140/25х16х140 лев")</f>
        <v>Різець токарний підрізний відігнутий ВК8 25х16х140/25х16х140 лев</v>
      </c>
      <c r="C233" s="59" t="s">
        <v>6</v>
      </c>
      <c r="D233" s="59" t="s">
        <v>6434</v>
      </c>
      <c r="E233" s="91" t="s">
        <v>136</v>
      </c>
    </row>
    <row r="234" spans="1:5">
      <c r="A234" s="21">
        <f>A233+1</f>
        <v>233</v>
      </c>
      <c r="B234" s="85" t="str">
        <f ca="1">IFERROR(__xludf.DUMMYFUNCTION("GOOGLETRANSLATE(B1696:B1711,""RU"",""UK"")"),"Різець токарний підрізний відігнутий двосторін. ВК8 25х16х140")</f>
        <v>Різець токарний підрізний відігнутий двосторін. ВК8 25х16х140</v>
      </c>
      <c r="C234" s="59" t="s">
        <v>6</v>
      </c>
      <c r="D234" s="59">
        <v>13</v>
      </c>
      <c r="E234" s="91" t="s">
        <v>557</v>
      </c>
    </row>
    <row r="235" spans="1:5">
      <c r="A235" s="21">
        <f t="shared" si="3"/>
        <v>234</v>
      </c>
      <c r="B235" s="85" t="str">
        <f ca="1">IFERROR(__xludf.DUMMYFUNCTION("GOOGLETRANSLATE(B1697:B1712,""RU"",""UK"")"),"Різець токарний підрізний відігнутий ВК8 25х20х140")</f>
        <v>Різець токарний підрізний відігнутий ВК8 25х20х140</v>
      </c>
      <c r="C235" s="59" t="s">
        <v>6</v>
      </c>
      <c r="D235" s="59">
        <v>217</v>
      </c>
      <c r="E235" s="91" t="s">
        <v>344</v>
      </c>
    </row>
    <row r="236" spans="1:5">
      <c r="A236" s="21">
        <f t="shared" si="3"/>
        <v>235</v>
      </c>
      <c r="B236" s="85" t="str">
        <f ca="1">IFERROR(__xludf.DUMMYFUNCTION("GOOGLETRANSLATE(B1698:B1713,""RU"",""UK"")"),"Різець токарний підрізний відігнутий ВК8 25х20х160")</f>
        <v>Різець токарний підрізний відігнутий ВК8 25х20х160</v>
      </c>
      <c r="C236" s="59" t="s">
        <v>6</v>
      </c>
      <c r="D236" s="59">
        <v>75</v>
      </c>
      <c r="E236" s="91" t="s">
        <v>557</v>
      </c>
    </row>
    <row r="237" spans="1:5">
      <c r="A237" s="21">
        <f t="shared" si="3"/>
        <v>236</v>
      </c>
      <c r="B237" s="85" t="str">
        <f ca="1">IFERROR(__xludf.DUMMYFUNCTION("GOOGLETRANSLATE(B1699:B1714,""RU"",""UK"")"),"Різець токарний підрізний відігнутий ВК8 32х20х170/32х20х170 лев.")</f>
        <v>Різець токарний підрізний відігнутий ВК8 32х20х170/32х20х170 лев.</v>
      </c>
      <c r="C237" s="59" t="s">
        <v>6</v>
      </c>
      <c r="D237" s="59" t="s">
        <v>2371</v>
      </c>
      <c r="E237" s="91" t="s">
        <v>317</v>
      </c>
    </row>
    <row r="238" spans="1:5">
      <c r="A238" s="21">
        <f t="shared" si="3"/>
        <v>237</v>
      </c>
      <c r="B238" s="85" t="str">
        <f ca="1">IFERROR(__xludf.DUMMYFUNCTION("GOOGLETRANSLATE(B1701:B1716,""RU"",""UK"")"),"Різець токарний підрізний відігнутий ВК8 32х25х220 лев.")</f>
        <v>Різець токарний підрізний відігнутий ВК8 32х25х220 лев.</v>
      </c>
      <c r="C238" s="59" t="s">
        <v>6</v>
      </c>
      <c r="D238" s="59">
        <v>3</v>
      </c>
      <c r="E238" s="91" t="s">
        <v>319</v>
      </c>
    </row>
    <row r="239" spans="1:5">
      <c r="A239" s="21">
        <f t="shared" si="3"/>
        <v>238</v>
      </c>
      <c r="B239" s="85" t="str">
        <f ca="1">IFERROR(__xludf.DUMMYFUNCTION("GOOGLETRANSLATE(B1702:B1717,""RU"",""UK"")"),"Різець токарний підрізний відігнутий ВК8 32х20х110 лев.")</f>
        <v>Різець токарний підрізний відігнутий ВК8 32х20х110 лев.</v>
      </c>
      <c r="C239" s="59" t="s">
        <v>6</v>
      </c>
      <c r="D239" s="59">
        <v>26</v>
      </c>
      <c r="E239" s="91" t="s">
        <v>319</v>
      </c>
    </row>
    <row r="240" spans="1:5">
      <c r="A240" s="21">
        <f t="shared" si="3"/>
        <v>239</v>
      </c>
      <c r="B240" s="85" t="str">
        <f ca="1">IFERROR(__xludf.DUMMYFUNCTION("GOOGLETRANSLATE(B1703:B1718,""RU"",""UK"")"),"Різець токарний підрізний радіусний ВК8 32х25х170")</f>
        <v>Різець токарний підрізний радіусний ВК8 32х25х170</v>
      </c>
      <c r="C240" s="59" t="s">
        <v>6</v>
      </c>
      <c r="D240" s="59">
        <v>10</v>
      </c>
      <c r="E240" s="91" t="s">
        <v>348</v>
      </c>
    </row>
    <row r="241" spans="1:5">
      <c r="A241" s="21">
        <f t="shared" si="3"/>
        <v>240</v>
      </c>
      <c r="B241" s="85" t="str">
        <f ca="1">IFERROR(__xludf.DUMMYFUNCTION("GOOGLETRANSLATE(B1704:B1719,""RU"",""UK"")"),"Різець токарний підрізний відігнутий ВК8 40х25х200")</f>
        <v>Різець токарний підрізний відігнутий ВК8 40х25х200</v>
      </c>
      <c r="C241" s="59" t="s">
        <v>6</v>
      </c>
      <c r="D241" s="59">
        <v>18</v>
      </c>
      <c r="E241" s="91" t="s">
        <v>140</v>
      </c>
    </row>
    <row r="242" spans="1:5">
      <c r="A242" s="21">
        <f t="shared" si="3"/>
        <v>241</v>
      </c>
      <c r="B242" s="85" t="str">
        <f ca="1">IFERROR(__xludf.DUMMYFUNCTION("GOOGLETRANSLATE(B1705:B1720,""RU"",""UK"")"),"Різець токарний підрізний відігнутий ВК8 40х30х230")</f>
        <v>Різець токарний підрізний відігнутий ВК8 40х30х230</v>
      </c>
      <c r="C242" s="59" t="s">
        <v>6</v>
      </c>
      <c r="D242" s="59">
        <v>5</v>
      </c>
      <c r="E242" s="91" t="s">
        <v>20</v>
      </c>
    </row>
    <row r="243" spans="1:5">
      <c r="A243" s="21">
        <f t="shared" si="3"/>
        <v>242</v>
      </c>
      <c r="B243" s="85" t="str">
        <f ca="1">IFERROR(__xludf.DUMMYFUNCTION("GOOGLETRANSLATE(B1706:B1721,""RU"",""UK"")"),"Різець токарний підрізний Р6М5 25х20х140/Р18 40х25х190")</f>
        <v>Різець токарний підрізний Р6М5 25х20х140/Р18 40х25х190</v>
      </c>
      <c r="C243" s="59" t="s">
        <v>6</v>
      </c>
      <c r="D243" s="59" t="s">
        <v>899</v>
      </c>
      <c r="E243" s="91" t="s">
        <v>226</v>
      </c>
    </row>
    <row r="244" spans="1:5">
      <c r="A244" s="21">
        <f t="shared" si="3"/>
        <v>243</v>
      </c>
      <c r="B244" s="85" t="str">
        <f ca="1">IFERROR(__xludf.DUMMYFUNCTION("GOOGLETRANSLATE(B1707:B1722,""RU"",""UK"")"),"Різець токарний різьбовий Т15К6 20х12х120")</f>
        <v>Різець токарний різьбовий Т15К6 20х12х120</v>
      </c>
      <c r="C244" s="59" t="s">
        <v>6</v>
      </c>
      <c r="D244" s="59">
        <v>150</v>
      </c>
      <c r="E244" s="91" t="s">
        <v>564</v>
      </c>
    </row>
    <row r="245" spans="1:5">
      <c r="A245" s="21">
        <f t="shared" si="3"/>
        <v>244</v>
      </c>
      <c r="B245" s="85" t="str">
        <f ca="1">IFERROR(__xludf.DUMMYFUNCTION("GOOGLETRANSLATE(B1708:B1723,""RU"",""UK"")"),"Різець токарний різьбовий Т15К6 25х16х140")</f>
        <v>Різець токарний різьбовий Т15К6 25х16х140</v>
      </c>
      <c r="C245" s="59" t="s">
        <v>6</v>
      </c>
      <c r="D245" s="59">
        <v>10</v>
      </c>
      <c r="E245" s="91">
        <v>129</v>
      </c>
    </row>
    <row r="246" spans="1:5">
      <c r="A246" s="21">
        <f t="shared" si="3"/>
        <v>245</v>
      </c>
      <c r="B246" s="85" t="str">
        <f ca="1">IFERROR(__xludf.DUMMYFUNCTION("GOOGLETRANSLATE(B1709:B1724,""RU"",""UK"")"),"Різець токарний різьбовий Т15К6 32х20х170")</f>
        <v>Різець токарний різьбовий Т15К6 32х20х170</v>
      </c>
      <c r="C246" s="59" t="s">
        <v>6</v>
      </c>
      <c r="D246" s="59">
        <v>87</v>
      </c>
      <c r="E246" s="91" t="s">
        <v>319</v>
      </c>
    </row>
    <row r="247" spans="1:5">
      <c r="A247" s="21">
        <f t="shared" si="3"/>
        <v>246</v>
      </c>
      <c r="B247" s="85" t="str">
        <f ca="1">IFERROR(__xludf.DUMMYFUNCTION("GOOGLETRANSLATE(B1710:B1725,""RU"",""UK"")"),"Різець токарний різьбовий Т15К6 внутр. 12х12х110")</f>
        <v>Різець токарний різьбовий Т15К6 внутр. 12х12х110</v>
      </c>
      <c r="C247" s="59" t="s">
        <v>6</v>
      </c>
      <c r="D247" s="59">
        <v>1</v>
      </c>
      <c r="E247" s="91" t="s">
        <v>371</v>
      </c>
    </row>
    <row r="248" spans="1:5">
      <c r="A248" s="21">
        <f t="shared" si="3"/>
        <v>247</v>
      </c>
      <c r="B248" s="85" t="str">
        <f ca="1">IFERROR(__xludf.DUMMYFUNCTION("GOOGLETRANSLATE(B1711:B1726,""RU"",""UK"")"),"Різець токарний різьбовий Т15К6 внутр. 16х16х170")</f>
        <v>Різець токарний різьбовий Т15К6 внутр. 16х16х170</v>
      </c>
      <c r="C248" s="59" t="s">
        <v>6</v>
      </c>
      <c r="D248" s="59">
        <v>28</v>
      </c>
      <c r="E248" s="91">
        <v>132</v>
      </c>
    </row>
    <row r="249" spans="1:5">
      <c r="A249" s="21">
        <f t="shared" si="3"/>
        <v>248</v>
      </c>
      <c r="B249" s="85" t="str">
        <f ca="1">IFERROR(__xludf.DUMMYFUNCTION("GOOGLETRANSLATE(B1712:B1727,""RU"",""UK"")"),"Різець токарний різьбовий Т15К6 внутр. 25х16х140")</f>
        <v>Різець токарний різьбовий Т15К6 внутр. 25х16х140</v>
      </c>
      <c r="C249" s="59" t="s">
        <v>6</v>
      </c>
      <c r="D249" s="59">
        <v>2</v>
      </c>
      <c r="E249" s="91">
        <v>138</v>
      </c>
    </row>
    <row r="250" spans="1:5">
      <c r="A250" s="21">
        <f t="shared" si="3"/>
        <v>249</v>
      </c>
      <c r="B250" s="85" t="str">
        <f ca="1">IFERROR(__xludf.DUMMYFUNCTION("GOOGLETRANSLATE(B1713:B1728,""RU"",""UK"")"),"Різець токарний різьбовий Т15К6 внутр. 20х20х170/25х16х170")</f>
        <v>Різець токарний різьбовий Т15К6 внутр. 20х20х170/25х16х170</v>
      </c>
      <c r="C250" s="59" t="s">
        <v>6</v>
      </c>
      <c r="D250" s="170" t="s">
        <v>6364</v>
      </c>
      <c r="E250" s="91">
        <v>142</v>
      </c>
    </row>
    <row r="251" spans="1:5">
      <c r="A251" s="21">
        <f t="shared" si="3"/>
        <v>250</v>
      </c>
      <c r="B251" s="85" t="str">
        <f ca="1">IFERROR(__xludf.DUMMYFUNCTION("GOOGLETRANSLATE(B1714:B1729,""RU"",""UK"")"),"Різець токарний різьбовий Т15К6 внутр. 20х20х200")</f>
        <v>Різець токарний різьбовий Т15К6 внутр. 20х20х200</v>
      </c>
      <c r="C251" s="59" t="s">
        <v>6</v>
      </c>
      <c r="D251" s="59">
        <v>20</v>
      </c>
      <c r="E251" s="91">
        <v>145</v>
      </c>
    </row>
    <row r="252" spans="1:5">
      <c r="A252" s="21">
        <f t="shared" si="3"/>
        <v>251</v>
      </c>
      <c r="B252" s="85" t="str">
        <f ca="1">IFERROR(__xludf.DUMMYFUNCTION("GOOGLETRANSLATE(B1715:B1730,""RU"",""UK"")"),"Різець токарний різьбовий Т15К6 внутр. 25х25х240")</f>
        <v>Різець токарний різьбовий Т15К6 внутр. 25х25х240</v>
      </c>
      <c r="C252" s="59" t="s">
        <v>6</v>
      </c>
      <c r="D252" s="59">
        <v>2</v>
      </c>
      <c r="E252" s="91" t="s">
        <v>319</v>
      </c>
    </row>
    <row r="253" spans="1:5">
      <c r="A253" s="21">
        <f t="shared" si="3"/>
        <v>252</v>
      </c>
      <c r="B253" s="85" t="str">
        <f ca="1">IFERROR(__xludf.DUMMYFUNCTION("GOOGLETRANSLATE(B1716:B1731,""RU"",""UK"")"),"Різець токарний різьбовий ВК8 d16х90/16х10х100")</f>
        <v>Різець токарний різьбовий ВК8 d16х90/16х10х100</v>
      </c>
      <c r="C253" s="59" t="s">
        <v>6</v>
      </c>
      <c r="D253" s="59" t="s">
        <v>686</v>
      </c>
      <c r="E253" s="91" t="s">
        <v>253</v>
      </c>
    </row>
    <row r="254" spans="1:5">
      <c r="A254" s="21">
        <f t="shared" si="3"/>
        <v>253</v>
      </c>
      <c r="B254" s="85" t="str">
        <f ca="1">IFERROR(__xludf.DUMMYFUNCTION("GOOGLETRANSLATE(B1717:B1732,""RU"",""UK"")"),"Різець токарний різьбовий ВК8 20х12х120")</f>
        <v>Різець токарний різьбовий ВК8 20х12х120</v>
      </c>
      <c r="C254" s="59" t="s">
        <v>6</v>
      </c>
      <c r="D254" s="59">
        <v>23</v>
      </c>
      <c r="E254" s="91" t="s">
        <v>564</v>
      </c>
    </row>
    <row r="255" spans="1:5">
      <c r="A255" s="21">
        <f t="shared" si="3"/>
        <v>254</v>
      </c>
      <c r="B255" s="85" t="str">
        <f ca="1">IFERROR(__xludf.DUMMYFUNCTION("GOOGLETRANSLATE(B1718:B1733,""RU"",""UK"")"),"Різець токарний різьбовий ВК8 25х16х140")</f>
        <v>Різець токарний різьбовий ВК8 25х16х140</v>
      </c>
      <c r="C255" s="59" t="s">
        <v>6</v>
      </c>
      <c r="D255" s="59">
        <v>410</v>
      </c>
      <c r="E255" s="91" t="s">
        <v>344</v>
      </c>
    </row>
    <row r="256" spans="1:5">
      <c r="A256" s="21">
        <f t="shared" si="3"/>
        <v>255</v>
      </c>
      <c r="B256" s="85" t="str">
        <f ca="1">IFERROR(__xludf.DUMMYFUNCTION("GOOGLETRANSLATE(B1719:B1734,""RU"",""UK"")"),"Різець токарний різьбовий ВК8 25х20х140")</f>
        <v>Різець токарний різьбовий ВК8 25х20х140</v>
      </c>
      <c r="C256" s="59" t="s">
        <v>6</v>
      </c>
      <c r="D256" s="59">
        <v>11</v>
      </c>
      <c r="E256" s="91" t="s">
        <v>344</v>
      </c>
    </row>
    <row r="257" spans="1:5">
      <c r="A257" s="21">
        <f t="shared" si="3"/>
        <v>256</v>
      </c>
      <c r="B257" s="85" t="str">
        <f ca="1">IFERROR(__xludf.DUMMYFUNCTION("GOOGLETRANSLATE(B1720:B1735,""RU"",""UK"")"),"Різець токарний різьбовий ВК8 25х25х140")</f>
        <v>Різець токарний різьбовий ВК8 25х25х140</v>
      </c>
      <c r="C257" s="59" t="s">
        <v>6</v>
      </c>
      <c r="D257" s="59">
        <v>2</v>
      </c>
      <c r="E257" s="91" t="s">
        <v>557</v>
      </c>
    </row>
    <row r="258" spans="1:5">
      <c r="A258" s="21">
        <f t="shared" si="3"/>
        <v>257</v>
      </c>
      <c r="B258" s="85" t="str">
        <f ca="1">IFERROR(__xludf.DUMMYFUNCTION("GOOGLETRANSLATE(B1721:B1736,""RU"",""UK"")"),"Різець токарний різьбовий ВК8 25х20х170")</f>
        <v>Різець токарний різьбовий ВК8 25х20х170</v>
      </c>
      <c r="C258" s="59" t="s">
        <v>6</v>
      </c>
      <c r="D258" s="59">
        <v>34</v>
      </c>
      <c r="E258" s="91" t="s">
        <v>317</v>
      </c>
    </row>
    <row r="259" spans="1:5">
      <c r="A259" s="21">
        <f t="shared" si="3"/>
        <v>258</v>
      </c>
      <c r="B259" s="85" t="str">
        <f ca="1">IFERROR(__xludf.DUMMYFUNCTION("GOOGLETRANSLATE(B1722:B1737,""RU"",""UK"")"),"Різець токарний різьбовий ВК8 32х20х170")</f>
        <v>Різець токарний різьбовий ВК8 32х20х170</v>
      </c>
      <c r="C259" s="59" t="s">
        <v>6</v>
      </c>
      <c r="D259" s="59">
        <v>126</v>
      </c>
      <c r="E259" s="91" t="s">
        <v>319</v>
      </c>
    </row>
    <row r="260" spans="1:5">
      <c r="A260" s="21">
        <f t="shared" si="3"/>
        <v>259</v>
      </c>
      <c r="B260" s="164" t="str">
        <f ca="1">IFERROR(__xludf.DUMMYFUNCTION("GOOGLETRANSLATE(B1723:B1738,""RU"",""UK"")"),"Різець токарний різьбовий ВК8 внутр. 12х12х120")</f>
        <v>Різець токарний різьбовий ВК8 внутр. 12х12х120</v>
      </c>
      <c r="C260" s="59" t="s">
        <v>6</v>
      </c>
      <c r="D260" s="59">
        <v>0</v>
      </c>
      <c r="E260" s="91" t="s">
        <v>371</v>
      </c>
    </row>
    <row r="261" spans="1:5">
      <c r="A261" s="21">
        <f t="shared" si="3"/>
        <v>260</v>
      </c>
      <c r="B261" s="85" t="str">
        <f ca="1">IFERROR(__xludf.DUMMYFUNCTION("GOOGLETRANSLATE(B1724:B1739,""RU"",""UK"")"),"Різець токарний різьбовий ВК8 внутр. 16х16х170")</f>
        <v>Різець токарний різьбовий ВК8 внутр. 16х16х170</v>
      </c>
      <c r="C261" s="59" t="s">
        <v>6</v>
      </c>
      <c r="D261" s="59">
        <v>184</v>
      </c>
      <c r="E261" s="91" t="s">
        <v>194</v>
      </c>
    </row>
    <row r="262" spans="1:5">
      <c r="A262" s="21">
        <f t="shared" si="3"/>
        <v>261</v>
      </c>
      <c r="B262" s="85" t="str">
        <f ca="1">IFERROR(__xludf.DUMMYFUNCTION("GOOGLETRANSLATE(B1725:B1740,""RU"",""UK"")"),"Різець токарний різьбовий ВК8 внутр. d25х90мм ")</f>
        <v xml:space="preserve">Різець токарний різьбовий ВК8 внутр. d25х90мм </v>
      </c>
      <c r="C262" s="59" t="s">
        <v>6</v>
      </c>
      <c r="D262" s="59">
        <v>10</v>
      </c>
      <c r="E262" s="91" t="s">
        <v>348</v>
      </c>
    </row>
    <row r="263" spans="1:5">
      <c r="A263" s="21">
        <f t="shared" si="3"/>
        <v>262</v>
      </c>
      <c r="B263" s="85" t="str">
        <f ca="1">IFERROR(__xludf.DUMMYFUNCTION("GOOGLETRANSLATE(B1727:B1742,""RU"",""UK"")"),"Різець токарний різьбовий ВК8 внутр. 20х20х200")</f>
        <v>Різець токарний різьбовий ВК8 внутр. 20х20х200</v>
      </c>
      <c r="C263" s="59" t="s">
        <v>6</v>
      </c>
      <c r="D263" s="160">
        <v>33</v>
      </c>
      <c r="E263" s="91" t="s">
        <v>2404</v>
      </c>
    </row>
    <row r="264" spans="1:5">
      <c r="A264" s="21">
        <f t="shared" si="3"/>
        <v>263</v>
      </c>
      <c r="B264" s="85" t="str">
        <f ca="1">IFERROR(__xludf.DUMMYFUNCTION("GOOGLETRANSLATE(B1728:B1743,""RU"",""UK"")"),"Різець токарний різьбовий ВК8 внутр. 25х25х230")</f>
        <v>Різець токарний різьбовий ВК8 внутр. 25х25х230</v>
      </c>
      <c r="C264" s="59" t="s">
        <v>6</v>
      </c>
      <c r="D264" s="59">
        <v>20</v>
      </c>
      <c r="E264" s="91" t="s">
        <v>539</v>
      </c>
    </row>
    <row r="265" spans="1:5">
      <c r="A265" s="21">
        <f t="shared" si="3"/>
        <v>264</v>
      </c>
      <c r="B265" s="85" t="str">
        <f ca="1">IFERROR(__xludf.DUMMYFUNCTION("GOOGLETRANSLATE(B1729:B1744,""RU"",""UK"")"),"Різець токарний різьбовий ВК8 внутр. 25х25х250")</f>
        <v>Різець токарний різьбовий ВК8 внутр. 25х25х250</v>
      </c>
      <c r="C265" s="59" t="s">
        <v>6</v>
      </c>
      <c r="D265" s="59">
        <v>25</v>
      </c>
      <c r="E265" s="91" t="s">
        <v>319</v>
      </c>
    </row>
    <row r="266" spans="1:5">
      <c r="A266" s="21">
        <f t="shared" si="3"/>
        <v>265</v>
      </c>
      <c r="B266" s="85" t="str">
        <f ca="1">IFERROR(__xludf.DUMMYFUNCTION("GOOGLETRANSLATE(B1729:B1744,""RU"",""UK"")"),"Різець токарний різьбовий ВК8 внутр. 25х25х250лев")</f>
        <v>Різець токарний різьбовий ВК8 внутр. 25х25х250лев</v>
      </c>
      <c r="C266" s="59" t="s">
        <v>6</v>
      </c>
      <c r="D266" s="59">
        <v>3</v>
      </c>
      <c r="E266" s="91">
        <v>159</v>
      </c>
    </row>
    <row r="267" spans="1:5">
      <c r="A267" s="21">
        <f t="shared" si="3"/>
        <v>266</v>
      </c>
      <c r="B267" s="85" t="str">
        <f ca="1">IFERROR(__xludf.DUMMYFUNCTION("GOOGLETRANSLATE(B1730:B1745,""RU"",""UK"")"),"Різець токарний різьбовий ВК8 внутр. 32х20х180")</f>
        <v>Різець токарний різьбовий ВК8 внутр. 32х20х180</v>
      </c>
      <c r="C267" s="59" t="s">
        <v>6</v>
      </c>
      <c r="D267" s="59">
        <v>1</v>
      </c>
      <c r="E267" s="91" t="s">
        <v>351</v>
      </c>
    </row>
    <row r="268" spans="1:5">
      <c r="A268" s="21">
        <f t="shared" si="3"/>
        <v>267</v>
      </c>
      <c r="B268" s="85" t="str">
        <f ca="1">IFERROR(__xludf.DUMMYFUNCTION("GOOGLETRANSLATE(B1731:B1746,""RU"",""UK"")"),"Різець токарний різьбовий Т5К10 20х12х120")</f>
        <v>Різець токарний різьбовий Т5К10 20х12х120</v>
      </c>
      <c r="C268" s="59" t="s">
        <v>6</v>
      </c>
      <c r="D268" s="59">
        <v>159</v>
      </c>
      <c r="E268" s="91" t="s">
        <v>564</v>
      </c>
    </row>
    <row r="269" spans="1:5">
      <c r="A269" s="21">
        <f t="shared" si="3"/>
        <v>268</v>
      </c>
      <c r="B269" s="85" t="str">
        <f ca="1">IFERROR(__xludf.DUMMYFUNCTION("GOOGLETRANSLATE(B1732:B1747,""RU"",""UK"")"),"Різець токарний різьбовий Т5К10 25х16х140")</f>
        <v>Різець токарний різьбовий Т5К10 25х16х140</v>
      </c>
      <c r="C269" s="59" t="s">
        <v>6</v>
      </c>
      <c r="D269" s="59">
        <v>0</v>
      </c>
      <c r="E269" s="91" t="s">
        <v>344</v>
      </c>
    </row>
    <row r="270" spans="1:5">
      <c r="A270" s="21">
        <f t="shared" si="3"/>
        <v>269</v>
      </c>
      <c r="B270" s="85" t="str">
        <f ca="1">IFERROR(__xludf.DUMMYFUNCTION("GOOGLETRANSLATE(B1733:B1748,""RU"",""UK"")"),"Різець токарний різьбовий Т5К10 32х20х170")</f>
        <v>Різець токарний різьбовий Т5К10 32х20х170</v>
      </c>
      <c r="C270" s="59" t="s">
        <v>6</v>
      </c>
      <c r="D270" s="59">
        <v>26</v>
      </c>
      <c r="E270" s="91" t="s">
        <v>319</v>
      </c>
    </row>
    <row r="271" spans="1:5">
      <c r="A271" s="21">
        <f t="shared" si="3"/>
        <v>270</v>
      </c>
      <c r="B271" s="85" t="str">
        <f ca="1">IFERROR(__xludf.DUMMYFUNCTION("GOOGLETRANSLATE(B1734:B1749,""RU"",""UK"")"),"Різець токарний різьбовий Т5К10 внутр. 16х16х170")</f>
        <v>Різець токарний різьбовий Т5К10 внутр. 16х16х170</v>
      </c>
      <c r="C271" s="59" t="s">
        <v>6</v>
      </c>
      <c r="D271" s="59">
        <v>60</v>
      </c>
      <c r="E271" s="91" t="s">
        <v>194</v>
      </c>
    </row>
    <row r="272" spans="1:5">
      <c r="A272" s="21">
        <f t="shared" si="3"/>
        <v>271</v>
      </c>
      <c r="B272" s="85" t="str">
        <f ca="1">IFERROR(__xludf.DUMMYFUNCTION("GOOGLETRANSLATE(B1736:B1751,""RU"",""UK"")"),"Різець токарний різьбовий Т5К10 внутр. 20х20х200")</f>
        <v>Різець токарний різьбовий Т5К10 внутр. 20х20х200</v>
      </c>
      <c r="C272" s="59" t="s">
        <v>6</v>
      </c>
      <c r="D272" s="59">
        <v>7</v>
      </c>
      <c r="E272" s="91" t="s">
        <v>539</v>
      </c>
    </row>
    <row r="273" spans="1:5">
      <c r="A273" s="21">
        <f t="shared" si="3"/>
        <v>272</v>
      </c>
      <c r="B273" s="85" t="str">
        <f ca="1">IFERROR(__xludf.DUMMYFUNCTION("GOOGLETRANSLATE(B1737:B1752,""RU"",""UK"")"),"Різець токарний різьбовий Т5К10 внутр. 25х16х200 / 25х25х240")</f>
        <v>Різець токарний різьбовий Т5К10 внутр. 25х16х200 / 25х25х240</v>
      </c>
      <c r="C273" s="59" t="s">
        <v>6</v>
      </c>
      <c r="D273" s="159" t="s">
        <v>6392</v>
      </c>
      <c r="E273" s="91" t="s">
        <v>319</v>
      </c>
    </row>
    <row r="274" spans="1:5">
      <c r="A274" s="21">
        <f t="shared" si="3"/>
        <v>273</v>
      </c>
      <c r="B274" s="85" t="str">
        <f ca="1">IFERROR(__xludf.DUMMYFUNCTION("GOOGLETRANSLATE(B1738:B1753,""RU"",""UK"")"),"Різець токарний різьбовий Т5К10 внутр. 40х30х200")</f>
        <v>Різець токарний різьбовий Т5К10 внутр. 40х30х200</v>
      </c>
      <c r="C274" s="59" t="s">
        <v>6</v>
      </c>
      <c r="D274" s="59">
        <v>1</v>
      </c>
      <c r="E274" s="91" t="s">
        <v>119</v>
      </c>
    </row>
    <row r="275" spans="1:5">
      <c r="A275" s="21">
        <f t="shared" si="3"/>
        <v>274</v>
      </c>
      <c r="B275" s="85" t="str">
        <f ca="1">IFERROR(__xludf.DUMMYFUNCTION("GOOGLETRANSLATE(B1739:B1754,""RU"",""UK"")"),"Різець токарний відрізний Т15К6 12х12х100")</f>
        <v>Різець токарний відрізний Т15К6 12х12х100</v>
      </c>
      <c r="C275" s="59" t="s">
        <v>6</v>
      </c>
      <c r="D275" s="59">
        <v>0</v>
      </c>
      <c r="E275" s="91">
        <v>66</v>
      </c>
    </row>
    <row r="276" spans="1:5">
      <c r="A276" s="21">
        <f t="shared" si="3"/>
        <v>275</v>
      </c>
      <c r="B276" s="85" t="str">
        <f ca="1">IFERROR(__xludf.DUMMYFUNCTION("GOOGLETRANSLATE(B1740:B1755,""RU"",""UK"")"),"Різець токарний відрізний Т15К6 16х10х100")</f>
        <v>Різець токарний відрізний Т15К6 16х10х100</v>
      </c>
      <c r="C276" s="59" t="s">
        <v>6</v>
      </c>
      <c r="D276" s="59">
        <v>6</v>
      </c>
      <c r="E276" s="91" t="s">
        <v>183</v>
      </c>
    </row>
    <row r="277" spans="1:5">
      <c r="A277" s="21">
        <f t="shared" si="3"/>
        <v>276</v>
      </c>
      <c r="B277" s="85" t="str">
        <f ca="1">IFERROR(__xludf.DUMMYFUNCTION("GOOGLETRANSLATE(B1741:B1756,""RU"",""UK"")"),"Різець токарний відрізний Т15К6 16х12х110")</f>
        <v>Різець токарний відрізний Т15К6 16х12х110</v>
      </c>
      <c r="C277" s="59" t="s">
        <v>6</v>
      </c>
      <c r="D277" s="59">
        <v>63</v>
      </c>
      <c r="E277" s="91" t="s">
        <v>371</v>
      </c>
    </row>
    <row r="278" spans="1:5">
      <c r="A278" s="21">
        <f t="shared" si="3"/>
        <v>277</v>
      </c>
      <c r="B278" s="169" t="str">
        <f ca="1">IFERROR(__xludf.DUMMYFUNCTION("GOOGLETRANSLATE(B1742:B1757,""RU"",""UK"")"),"Різець токарний відрізний Т15К6 20х12х120")</f>
        <v>Різець токарний відрізний Т15К6 20х12х120</v>
      </c>
      <c r="C278" s="59" t="s">
        <v>6</v>
      </c>
      <c r="D278" s="59">
        <v>7</v>
      </c>
      <c r="E278" s="91" t="s">
        <v>338</v>
      </c>
    </row>
    <row r="279" spans="1:5">
      <c r="A279" s="21">
        <f t="shared" si="3"/>
        <v>278</v>
      </c>
      <c r="B279" s="85" t="str">
        <f ca="1">IFERROR(__xludf.DUMMYFUNCTION("GOOGLETRANSLATE(B1743:B1758,""RU"",""UK"")"),"Різець токарний відрізний Т15К6 25х16х140")</f>
        <v>Різець токарний відрізний Т15К6 25х16х140</v>
      </c>
      <c r="C279" s="59" t="s">
        <v>6</v>
      </c>
      <c r="D279" s="59">
        <v>53</v>
      </c>
      <c r="E279" s="91">
        <v>117</v>
      </c>
    </row>
    <row r="280" spans="1:5">
      <c r="A280" s="21">
        <f t="shared" si="3"/>
        <v>279</v>
      </c>
      <c r="B280" s="85" t="str">
        <f ca="1">IFERROR(__xludf.DUMMYFUNCTION("GOOGLETRANSLATE(B1743:B1758,""RU"",""UK"")"),"Різець токарний відрізний Т15К6 25х16х140 посил. півень")</f>
        <v>Різець токарний відрізний Т15К6 25х16х140 посил. півень</v>
      </c>
      <c r="C280" s="59" t="s">
        <v>6</v>
      </c>
      <c r="D280" s="59">
        <v>18</v>
      </c>
      <c r="E280" s="91">
        <v>129</v>
      </c>
    </row>
    <row r="281" spans="1:5">
      <c r="A281" s="21">
        <f t="shared" si="3"/>
        <v>280</v>
      </c>
      <c r="B281" s="85" t="str">
        <f ca="1">IFERROR(__xludf.DUMMYFUNCTION("GOOGLETRANSLATE(B1744:B1759,""RU"",""UK"")"),"Різець токарний відрізний Т15К6 32х20х170")</f>
        <v>Різець токарний відрізний Т15К6 32х20х170</v>
      </c>
      <c r="C281" s="59" t="s">
        <v>6</v>
      </c>
      <c r="D281" s="59">
        <v>2</v>
      </c>
      <c r="E281" s="91" t="s">
        <v>317</v>
      </c>
    </row>
    <row r="282" spans="1:5">
      <c r="A282" s="21">
        <f t="shared" si="3"/>
        <v>281</v>
      </c>
      <c r="B282" s="85" t="str">
        <f ca="1">IFERROR(__xludf.DUMMYFUNCTION("GOOGLETRANSLATE(B1745:B1760,""RU"",""UK"")"),"Різець токарний відрізний Т15К6 40х25х200")</f>
        <v>Різець токарний відрізний Т15К6 40х25х200</v>
      </c>
      <c r="C282" s="59" t="s">
        <v>6</v>
      </c>
      <c r="D282" s="59">
        <v>35</v>
      </c>
      <c r="E282" s="91" t="s">
        <v>2423</v>
      </c>
    </row>
    <row r="283" spans="1:5">
      <c r="A283" s="21">
        <f t="shared" si="3"/>
        <v>282</v>
      </c>
      <c r="B283" s="164" t="str">
        <f ca="1">IFERROR(__xludf.DUMMYFUNCTION("GOOGLETRANSLATE(B1746:B1761,""RU"",""UK"")"),"Різець токарний відрізний ВК8 12х12х100")</f>
        <v>Різець токарний відрізний ВК8 12х12х100</v>
      </c>
      <c r="C283" s="59" t="s">
        <v>6</v>
      </c>
      <c r="D283" s="59">
        <v>0</v>
      </c>
      <c r="E283" s="91" t="s">
        <v>314</v>
      </c>
    </row>
    <row r="284" spans="1:5">
      <c r="A284" s="21">
        <f t="shared" si="3"/>
        <v>283</v>
      </c>
      <c r="B284" s="169" t="str">
        <f ca="1">IFERROR(__xludf.DUMMYFUNCTION("GOOGLETRANSLATE(B1747:B1762,""RU"",""UK"")"),"Різець токарний відрізний ВК8 16х10х100")</f>
        <v>Різець токарний відрізний ВК8 16х10х100</v>
      </c>
      <c r="C284" s="59" t="s">
        <v>6</v>
      </c>
      <c r="D284" s="59">
        <v>5</v>
      </c>
      <c r="E284" s="91">
        <v>85</v>
      </c>
    </row>
    <row r="285" spans="1:5">
      <c r="A285" s="21">
        <f t="shared" si="3"/>
        <v>284</v>
      </c>
      <c r="B285" s="200" t="str">
        <f ca="1">IFERROR(__xludf.DUMMYFUNCTION("GOOGLETRANSLATE(B1748:B1763,""RU"",""UK"")"),"Різець токарний відрізний ВК8 20х12х120")</f>
        <v>Різець токарний відрізний ВК8 20х12х120</v>
      </c>
      <c r="C285" s="59" t="s">
        <v>6</v>
      </c>
      <c r="D285" s="59">
        <v>0</v>
      </c>
      <c r="E285" s="91" t="s">
        <v>614</v>
      </c>
    </row>
    <row r="286" spans="1:5">
      <c r="A286" s="21">
        <f t="shared" si="3"/>
        <v>285</v>
      </c>
      <c r="B286" s="85" t="str">
        <f ca="1">IFERROR(__xludf.DUMMYFUNCTION("GOOGLETRANSLATE(B1749:B1764,""RU"",""UK"")"),"Різець токарний відрізний ВК8 25х16х140")</f>
        <v>Різець токарний відрізний ВК8 25х16х140</v>
      </c>
      <c r="C286" s="59" t="s">
        <v>6</v>
      </c>
      <c r="D286" s="59">
        <v>42</v>
      </c>
      <c r="E286" s="91">
        <v>117</v>
      </c>
    </row>
    <row r="287" spans="1:5">
      <c r="A287" s="21">
        <f t="shared" si="3"/>
        <v>286</v>
      </c>
      <c r="B287" s="85" t="str">
        <f ca="1">IFERROR(__xludf.DUMMYFUNCTION("GOOGLETRANSLATE(B1751:B1766,""RU"",""UK"")"),"Різець токарний відрізний ВК8 32х20х170")</f>
        <v>Різець токарний відрізний ВК8 32х20х170</v>
      </c>
      <c r="C287" s="59" t="s">
        <v>6</v>
      </c>
      <c r="D287" s="59">
        <v>13</v>
      </c>
      <c r="E287" s="91" t="s">
        <v>2430</v>
      </c>
    </row>
    <row r="288" spans="1:5">
      <c r="A288" s="21">
        <f t="shared" si="3"/>
        <v>287</v>
      </c>
      <c r="B288" s="85" t="str">
        <f ca="1">IFERROR(__xludf.DUMMYFUNCTION("GOOGLETRANSLATE(B1752:B1767,""RU"",""UK"")"),"Різець токарний відрізний ВК8 32х25х200")</f>
        <v>Різець токарний відрізний ВК8 32х25х200</v>
      </c>
      <c r="C288" s="59" t="s">
        <v>6</v>
      </c>
      <c r="D288" s="59">
        <v>4</v>
      </c>
      <c r="E288" s="91" t="s">
        <v>317</v>
      </c>
    </row>
    <row r="289" spans="1:5">
      <c r="A289" s="21">
        <f t="shared" ref="A289:A355" si="4">A288+1</f>
        <v>288</v>
      </c>
      <c r="B289" s="85" t="str">
        <f ca="1">IFERROR(__xludf.DUMMYFUNCTION("GOOGLETRANSLATE(B1753:B1768,""RU"",""UK"")"),"Різець токарний відрізний ВК8 40х25х200")</f>
        <v>Різець токарний відрізний ВК8 40х25х200</v>
      </c>
      <c r="C289" s="59" t="s">
        <v>6</v>
      </c>
      <c r="D289" s="59">
        <v>21</v>
      </c>
      <c r="E289" s="91" t="s">
        <v>263</v>
      </c>
    </row>
    <row r="290" spans="1:5">
      <c r="A290" s="21">
        <f t="shared" si="4"/>
        <v>289</v>
      </c>
      <c r="B290" s="85" t="str">
        <f ca="1">IFERROR(__xludf.DUMMYFUNCTION("GOOGLETRANSLATE(B1754:B1769,""RU"",""UK"")"),"Різець токарний відрізний Т5К10 12х12х100")</f>
        <v>Різець токарний відрізний Т5К10 12х12х100</v>
      </c>
      <c r="C290" s="59" t="s">
        <v>6</v>
      </c>
      <c r="D290" s="59">
        <v>3</v>
      </c>
      <c r="E290" s="91" t="s">
        <v>314</v>
      </c>
    </row>
    <row r="291" spans="1:5">
      <c r="A291" s="21">
        <f t="shared" si="4"/>
        <v>290</v>
      </c>
      <c r="B291" s="85" t="str">
        <f ca="1">IFERROR(__xludf.DUMMYFUNCTION("GOOGLETRANSLATE(B1755:B1770,""RU"",""UK"")"),"Різець токарний відрізний Т5К10 20х12х120")</f>
        <v>Різець токарний відрізний Т5К10 20х12х120</v>
      </c>
      <c r="C291" s="59" t="s">
        <v>6</v>
      </c>
      <c r="D291" s="59">
        <v>4</v>
      </c>
      <c r="E291" s="91" t="s">
        <v>614</v>
      </c>
    </row>
    <row r="292" spans="1:5">
      <c r="A292" s="21">
        <f t="shared" si="4"/>
        <v>291</v>
      </c>
      <c r="B292" s="85" t="str">
        <f ca="1">IFERROR(__xludf.DUMMYFUNCTION("GOOGLETRANSLATE(B1756:B1771,""RU"",""UK"")"),"Різець токарний відрізний Т5К10 25х16х140")</f>
        <v>Різець токарний відрізний Т5К10 25х16х140</v>
      </c>
      <c r="C292" s="59" t="s">
        <v>6</v>
      </c>
      <c r="D292" s="59">
        <v>74</v>
      </c>
      <c r="E292" s="91">
        <v>117</v>
      </c>
    </row>
    <row r="293" spans="1:5">
      <c r="A293" s="21">
        <f t="shared" si="4"/>
        <v>292</v>
      </c>
      <c r="B293" s="164" t="str">
        <f ca="1">IFERROR(__xludf.DUMMYFUNCTION("GOOGLETRANSLATE(B1758:B1773,""RU"",""UK"")"),"Різець токарний відрізний Т5К10 32х20х170")</f>
        <v>Різець токарний відрізний Т5К10 32х20х170</v>
      </c>
      <c r="C293" s="59" t="s">
        <v>6</v>
      </c>
      <c r="D293" s="59">
        <v>0</v>
      </c>
      <c r="E293" s="91">
        <v>145</v>
      </c>
    </row>
    <row r="294" spans="1:5">
      <c r="A294" s="21">
        <f t="shared" si="4"/>
        <v>293</v>
      </c>
      <c r="B294" s="85" t="str">
        <f ca="1">IFERROR(__xludf.DUMMYFUNCTION("GOOGLETRANSLATE(B1759:B1774,""RU"",""UK"")"),"Різець токарний відрізний Т5К10 40х20х200")</f>
        <v>Різець токарний відрізний Т5К10 40х20х200</v>
      </c>
      <c r="C294" s="59" t="s">
        <v>6</v>
      </c>
      <c r="D294" s="59">
        <v>2</v>
      </c>
      <c r="E294" s="91" t="s">
        <v>263</v>
      </c>
    </row>
    <row r="295" spans="1:5">
      <c r="A295" s="21">
        <f t="shared" si="4"/>
        <v>294</v>
      </c>
      <c r="B295" s="85" t="str">
        <f ca="1">IFERROR(__xludf.DUMMYFUNCTION("GOOGLETRANSLATE(B1760:B1775,""RU"",""UK"")"),"Різець токарний відрізний Р6М5 моноліт 8х8х120")</f>
        <v>Різець токарний відрізний Р6М5 моноліт 8х8х120</v>
      </c>
      <c r="C295" s="59" t="s">
        <v>6</v>
      </c>
      <c r="D295" s="59">
        <v>376</v>
      </c>
      <c r="E295" s="91" t="s">
        <v>371</v>
      </c>
    </row>
    <row r="296" spans="1:5">
      <c r="A296" s="21">
        <f t="shared" si="4"/>
        <v>295</v>
      </c>
      <c r="B296" s="85" t="str">
        <f ca="1">IFERROR(__xludf.DUMMYFUNCTION("GOOGLETRANSLATE(B1761:B1776,""RU"",""UK"")"),"Різець токарний відрізний Р6М5 моноліт 10х4х100")</f>
        <v>Різець токарний відрізний Р6М5 моноліт 10х4х100</v>
      </c>
      <c r="C296" s="59" t="s">
        <v>6</v>
      </c>
      <c r="D296" s="59">
        <v>75</v>
      </c>
      <c r="E296" s="91" t="s">
        <v>598</v>
      </c>
    </row>
    <row r="297" spans="1:5">
      <c r="A297" s="21">
        <f t="shared" si="4"/>
        <v>296</v>
      </c>
      <c r="B297" s="85" t="str">
        <f ca="1">IFERROR(__xludf.DUMMYFUNCTION("GOOGLETRANSLATE(B1762:B1777,""RU"",""UK"")"),"Різець токарний відрізний Р6М5 моноліт 10х4х120")</f>
        <v>Різець токарний відрізний Р6М5 моноліт 10х4х120</v>
      </c>
      <c r="C297" s="59" t="s">
        <v>6</v>
      </c>
      <c r="D297" s="59">
        <v>12</v>
      </c>
      <c r="E297" s="91" t="s">
        <v>257</v>
      </c>
    </row>
    <row r="298" spans="1:5">
      <c r="A298" s="21">
        <f t="shared" si="4"/>
        <v>297</v>
      </c>
      <c r="B298" s="85" t="str">
        <f ca="1">IFERROR(__xludf.DUMMYFUNCTION("GOOGLETRANSLATE(B1763:B1778,""RU"",""UK"")"),"Різець токарний відрізний Р6М5 моноліт 10х4х150")</f>
        <v>Різець токарний відрізний Р6М5 моноліт 10х4х150</v>
      </c>
      <c r="C298" s="59" t="s">
        <v>6</v>
      </c>
      <c r="D298" s="59">
        <v>0</v>
      </c>
      <c r="E298" s="91" t="s">
        <v>104</v>
      </c>
    </row>
    <row r="299" spans="1:5">
      <c r="A299" s="21">
        <f t="shared" si="4"/>
        <v>298</v>
      </c>
      <c r="B299" s="85" t="str">
        <f ca="1">IFERROR(__xludf.DUMMYFUNCTION("GOOGLETRANSLATE(B1764:B1779,""RU"",""UK"")"),"Різець токарний відрізний Р6М5 моноліт 10х10х60 SP-25")</f>
        <v>Різець токарний відрізний Р6М5 моноліт 10х10х60 SP-25</v>
      </c>
      <c r="C299" s="59" t="s">
        <v>6</v>
      </c>
      <c r="D299" s="59">
        <v>20</v>
      </c>
      <c r="E299" s="91" t="s">
        <v>201</v>
      </c>
    </row>
    <row r="300" spans="1:5">
      <c r="A300" s="21">
        <f t="shared" si="4"/>
        <v>299</v>
      </c>
      <c r="B300" s="85" t="str">
        <f ca="1">IFERROR(__xludf.DUMMYFUNCTION("GOOGLETRANSLATE(B1765:B1780,""RU"",""UK"")"),"Різець токарний відрізний Р6М5 моноліт 10х10х120")</f>
        <v>Різець токарний відрізний Р6М5 моноліт 10х10х120</v>
      </c>
      <c r="C300" s="59" t="s">
        <v>6</v>
      </c>
      <c r="D300" s="26">
        <v>98</v>
      </c>
      <c r="E300" s="91" t="s">
        <v>136</v>
      </c>
    </row>
    <row r="301" spans="1:5">
      <c r="A301" s="21">
        <f t="shared" si="4"/>
        <v>300</v>
      </c>
      <c r="B301" s="85" t="str">
        <f ca="1">IFERROR(__xludf.DUMMYFUNCTION("GOOGLETRANSLATE(B1766:B1781,""RU"",""UK"")"),"Різець токарний відрізний Р6М5 моноліт 12х3х125 ласт. хв.")</f>
        <v>Різець токарний відрізний Р6М5 моноліт 12х3х125 ласт. хв.</v>
      </c>
      <c r="C301" s="59" t="s">
        <v>6</v>
      </c>
      <c r="D301" s="37">
        <v>1</v>
      </c>
      <c r="E301" s="91" t="s">
        <v>181</v>
      </c>
    </row>
    <row r="302" spans="1:5">
      <c r="A302" s="21">
        <f t="shared" si="4"/>
        <v>301</v>
      </c>
      <c r="B302" s="85" t="str">
        <f ca="1">IFERROR(__xludf.DUMMYFUNCTION("GOOGLETRANSLATE(B1767:B1782,""RU"",""UK"")"),"Різець токарний відрізний Р6М5 моноліт 12х12х100")</f>
        <v>Різець токарний відрізний Р6М5 моноліт 12х12х100</v>
      </c>
      <c r="C302" s="59" t="s">
        <v>6</v>
      </c>
      <c r="D302" s="37">
        <v>2</v>
      </c>
      <c r="E302" s="91" t="s">
        <v>136</v>
      </c>
    </row>
    <row r="303" spans="1:5">
      <c r="A303" s="21">
        <f t="shared" si="4"/>
        <v>302</v>
      </c>
      <c r="B303" s="85" t="str">
        <f ca="1">IFERROR(__xludf.DUMMYFUNCTION("GOOGLETRANSLATE(B1768:B1783,""RU"",""UK"")"),"Різець токарний відрізний Р6М5 моноліт 14х4х120")</f>
        <v>Різець токарний відрізний Р6М5 моноліт 14х4х120</v>
      </c>
      <c r="C303" s="59" t="s">
        <v>6</v>
      </c>
      <c r="D303" s="59">
        <v>76</v>
      </c>
      <c r="E303" s="91" t="s">
        <v>136</v>
      </c>
    </row>
    <row r="304" spans="1:5">
      <c r="A304" s="21">
        <f t="shared" si="4"/>
        <v>303</v>
      </c>
      <c r="B304" s="85" t="str">
        <f ca="1">IFERROR(__xludf.DUMMYFUNCTION("GOOGLETRANSLATE(B1769:B1784,""RU"",""UK"")"),"Різець токарний відрізний Р6М5 моноліт 14х6х120")</f>
        <v>Різець токарний відрізний Р6М5 моноліт 14х6х120</v>
      </c>
      <c r="C304" s="59" t="s">
        <v>6</v>
      </c>
      <c r="D304" s="59">
        <v>88</v>
      </c>
      <c r="E304" s="91" t="s">
        <v>136</v>
      </c>
    </row>
    <row r="305" spans="1:5">
      <c r="A305" s="21">
        <f t="shared" si="4"/>
        <v>304</v>
      </c>
      <c r="B305" s="85" t="str">
        <f ca="1">IFERROR(__xludf.DUMMYFUNCTION("GOOGLETRANSLATE(B1770:B1785,""RU"",""UK"")"),"Різець токарний відрізний Р6М5 моноліт 14х6х160/14х14х70")</f>
        <v>Різець токарний відрізний Р6М5 моноліт 14х6х160/14х14х70</v>
      </c>
      <c r="C305" s="59" t="s">
        <v>6</v>
      </c>
      <c r="D305" s="59" t="s">
        <v>700</v>
      </c>
      <c r="E305" s="91" t="s">
        <v>344</v>
      </c>
    </row>
    <row r="306" spans="1:5">
      <c r="A306" s="21">
        <f t="shared" si="4"/>
        <v>305</v>
      </c>
      <c r="B306" s="85" t="str">
        <f ca="1">IFERROR(__xludf.DUMMYFUNCTION("GOOGLETRANSLATE(B1771:B1786,""RU"",""UK"")"),"Різець токарний відрізний Р6М5 моноліт 16х16х140")</f>
        <v>Різець токарний відрізний Р6М5 моноліт 16х16х140</v>
      </c>
      <c r="C306" s="59" t="s">
        <v>6</v>
      </c>
      <c r="D306" s="59">
        <v>2</v>
      </c>
      <c r="E306" s="91" t="s">
        <v>327</v>
      </c>
    </row>
    <row r="307" spans="1:5">
      <c r="A307" s="21">
        <f t="shared" si="4"/>
        <v>306</v>
      </c>
      <c r="B307" s="85" t="str">
        <f ca="1">IFERROR(__xludf.DUMMYFUNCTION("GOOGLETRANSLATE(B1772:B1787,""RU"",""UK"")"),"Різець токарний відрізний Р6М5 моноліт 18х4х120прям.")</f>
        <v>Різець токарний відрізний Р6М5 моноліт 18х4х120прям.</v>
      </c>
      <c r="C307" s="59" t="s">
        <v>6</v>
      </c>
      <c r="D307" s="59">
        <v>2</v>
      </c>
      <c r="E307" s="91">
        <v>160</v>
      </c>
    </row>
    <row r="308" spans="1:5">
      <c r="A308" s="21">
        <f t="shared" si="4"/>
        <v>307</v>
      </c>
      <c r="B308" s="85" t="str">
        <f ca="1">IFERROR(__xludf.DUMMYFUNCTION("GOOGLETRANSLATE(B1772:B1787,""RU"",""UK"")"),"Різець токарний відрізний Р6М5 моноліт 18х4х120мм ласт. хвіст")</f>
        <v>Різець токарний відрізний Р6М5 моноліт 18х4х120мм ласт. хвіст</v>
      </c>
      <c r="C308" s="59" t="s">
        <v>6</v>
      </c>
      <c r="D308" s="59">
        <v>25</v>
      </c>
      <c r="E308" s="91">
        <v>160</v>
      </c>
    </row>
    <row r="309" spans="1:5">
      <c r="A309" s="21">
        <f t="shared" si="4"/>
        <v>308</v>
      </c>
      <c r="B309" s="85" t="str">
        <f ca="1">IFERROR(__xludf.DUMMYFUNCTION("GOOGLETRANSLATE(B1773:B1788,""RU"",""UK"")"),"Різець токарний відрізний Р6М5 моноліт 20х6х100/20х6х115")</f>
        <v>Різець токарний відрізний Р6М5 моноліт 20х6х100/20х6х115</v>
      </c>
      <c r="C309" s="59" t="s">
        <v>6</v>
      </c>
      <c r="D309" s="59" t="s">
        <v>6122</v>
      </c>
      <c r="E309" s="91" t="s">
        <v>119</v>
      </c>
    </row>
    <row r="310" spans="1:5">
      <c r="A310" s="21">
        <f t="shared" si="4"/>
        <v>309</v>
      </c>
      <c r="B310" s="85" t="str">
        <f ca="1">IFERROR(__xludf.DUMMYFUNCTION("GOOGLETRANSLATE(B1774:B1789,""RU"",""UK"")"),"Різець токарний відрізний Р6М5 моноліт 20х12х140")</f>
        <v>Різець токарний відрізний Р6М5 моноліт 20х12х140</v>
      </c>
      <c r="C310" s="59" t="s">
        <v>6</v>
      </c>
      <c r="D310" s="59">
        <v>1</v>
      </c>
      <c r="E310" s="91" t="s">
        <v>140</v>
      </c>
    </row>
    <row r="311" spans="1:5">
      <c r="A311" s="21">
        <f t="shared" si="4"/>
        <v>310</v>
      </c>
      <c r="B311" s="85" t="str">
        <f ca="1">IFERROR(__xludf.DUMMYFUNCTION("GOOGLETRANSLATE(B1775:B1790,""RU"",""UK"")"),"Різець токарний відрізний Р6М5 моноліт 25х20х160")</f>
        <v>Різець токарний відрізний Р6М5 моноліт 25х20х160</v>
      </c>
      <c r="C311" s="59" t="s">
        <v>6</v>
      </c>
      <c r="D311" s="59">
        <v>2</v>
      </c>
      <c r="E311" s="91" t="s">
        <v>22</v>
      </c>
    </row>
    <row r="312" spans="1:5">
      <c r="A312" s="21">
        <f t="shared" si="4"/>
        <v>311</v>
      </c>
      <c r="B312" s="85" t="str">
        <f ca="1">IFERROR(__xludf.DUMMYFUNCTION("GOOGLETRANSLATE(B1776:B1791,""RU"",""UK"")"),"Різець токарний відрізний Р6М5 (не моноліт) 20х12х110")</f>
        <v>Різець токарний відрізний Р6М5 (не моноліт) 20х12х110</v>
      </c>
      <c r="C312" s="59" t="s">
        <v>6</v>
      </c>
      <c r="D312" s="59">
        <v>3</v>
      </c>
      <c r="E312" s="91" t="s">
        <v>253</v>
      </c>
    </row>
    <row r="313" spans="1:5">
      <c r="A313" s="21">
        <f t="shared" si="4"/>
        <v>312</v>
      </c>
      <c r="B313" s="85" t="str">
        <f ca="1">IFERROR(__xludf.DUMMYFUNCTION("GOOGLETRANSLATE(B1777:B1792,""RU"",""UK"")"),"Різець токарний відрізний Р6М5 (не моноліт) 20х20х140/25х16х140")</f>
        <v>Різець токарний відрізний Р6М5 (не моноліт) 20х20х140/25х16х140</v>
      </c>
      <c r="C313" s="59" t="s">
        <v>6</v>
      </c>
      <c r="D313" s="59" t="s">
        <v>1005</v>
      </c>
      <c r="E313" s="91" t="s">
        <v>314</v>
      </c>
    </row>
    <row r="314" spans="1:5">
      <c r="A314" s="21">
        <f t="shared" si="4"/>
        <v>313</v>
      </c>
      <c r="B314" s="85" t="str">
        <f ca="1">IFERROR(__xludf.DUMMYFUNCTION("GOOGLETRANSLATE(B1778:B1793,""RU"",""UK"")"),"Різець токарний відрізний Р6М5 моноліт 25х5х140")</f>
        <v>Різець токарний відрізний Р6М5 моноліт 25х5х140</v>
      </c>
      <c r="C314" s="59" t="s">
        <v>6</v>
      </c>
      <c r="D314" s="59">
        <v>18</v>
      </c>
      <c r="E314" s="91" t="s">
        <v>119</v>
      </c>
    </row>
    <row r="315" spans="1:5">
      <c r="A315" s="21">
        <f t="shared" si="4"/>
        <v>314</v>
      </c>
      <c r="B315" s="85" t="str">
        <f ca="1">IFERROR(__xludf.DUMMYFUNCTION("GOOGLETRANSLATE(B1778:B1793,""RU"",""UK"")"),"Різець токарний відрізний Р6М5 моноліт 25х5х150")</f>
        <v>Різець токарний відрізний Р6М5 моноліт 25х5х150</v>
      </c>
      <c r="C315" s="59" t="s">
        <v>6</v>
      </c>
      <c r="D315" s="59">
        <v>10</v>
      </c>
      <c r="E315" s="91" t="s">
        <v>119</v>
      </c>
    </row>
    <row r="316" spans="1:5">
      <c r="A316" s="21">
        <f t="shared" si="4"/>
        <v>315</v>
      </c>
      <c r="B316" s="85" t="str">
        <f ca="1">IFERROR(__xludf.DUMMYFUNCTION("GOOGLETRANSLATE(B1778:B1793,""RU"",""UK"")"),"Різець токарний відрізний Р6М5 моноліт 26х6х130")</f>
        <v>Різець токарний відрізний Р6М5 моноліт 26х6х130</v>
      </c>
      <c r="C316" s="59" t="s">
        <v>6</v>
      </c>
      <c r="D316" s="59">
        <v>4</v>
      </c>
      <c r="E316" s="91" t="s">
        <v>119</v>
      </c>
    </row>
    <row r="317" spans="1:5">
      <c r="A317" s="21">
        <f t="shared" si="4"/>
        <v>316</v>
      </c>
      <c r="B317" s="85" t="str">
        <f ca="1">IFERROR(__xludf.DUMMYFUNCTION("GOOGLETRANSLATE(B1779:B1794,""RU"",""UK"")"),"Різець токарний відрізний Р6М5 моноліт 25х16х170")</f>
        <v>Різець токарний відрізний Р6М5 моноліт 25х16х170</v>
      </c>
      <c r="C317" s="59" t="s">
        <v>6</v>
      </c>
      <c r="D317" s="59">
        <v>60</v>
      </c>
      <c r="E317" s="91">
        <v>360</v>
      </c>
    </row>
    <row r="318" spans="1:5">
      <c r="A318" s="21">
        <f t="shared" si="4"/>
        <v>317</v>
      </c>
      <c r="B318" s="85" t="str">
        <f ca="1">IFERROR(__xludf.DUMMYFUNCTION("GOOGLETRANSLATE(B1779:B1794,""RU"",""UK"")"),"Різець токарний відрізний Р6М5 моноліт 25х20х170")</f>
        <v>Різець токарний відрізний Р6М5 моноліт 25х20х170</v>
      </c>
      <c r="C318" s="59" t="s">
        <v>6</v>
      </c>
      <c r="D318" s="59">
        <v>1</v>
      </c>
      <c r="E318" s="91">
        <v>390</v>
      </c>
    </row>
    <row r="319" spans="1:5">
      <c r="A319" s="21">
        <f t="shared" si="4"/>
        <v>318</v>
      </c>
      <c r="B319" s="85" t="str">
        <f ca="1">IFERROR(__xludf.DUMMYFUNCTION("GOOGLETRANSLATE(B1780:B1795,""RU"",""UK"")"),"Різець токарний відрізний Р6М5 25х16х170 ""півень""")</f>
        <v>Різець токарний відрізний Р6М5 25х16х170 "півень"</v>
      </c>
      <c r="C319" s="59" t="s">
        <v>6</v>
      </c>
      <c r="D319" s="59">
        <v>3</v>
      </c>
      <c r="E319" s="91" t="s">
        <v>319</v>
      </c>
    </row>
    <row r="320" spans="1:5">
      <c r="A320" s="21">
        <f t="shared" si="4"/>
        <v>319</v>
      </c>
      <c r="B320" s="85" t="str">
        <f ca="1">IFERROR(__xludf.DUMMYFUNCTION("GOOGLETRANSLATE(B1781:B1796,""RU"",""UK"")"),"Різець токарний відрізний Р6М5 35х8х200/35х9х170/18х18х160")</f>
        <v>Різець токарний відрізний Р6М5 35х8х200/35х9х170/18х18х160</v>
      </c>
      <c r="C320" s="59" t="s">
        <v>6</v>
      </c>
      <c r="D320" s="59" t="s">
        <v>2464</v>
      </c>
      <c r="E320" s="91" t="s">
        <v>344</v>
      </c>
    </row>
    <row r="321" spans="1:5">
      <c r="A321" s="21">
        <f t="shared" si="4"/>
        <v>320</v>
      </c>
      <c r="B321" s="85" t="str">
        <f ca="1">IFERROR(__xludf.DUMMYFUNCTION("GOOGLETRANSLATE(B1782:B1797,""RU"",""UK"")"),"Різець токарний розточувальний скріз. отвір. Т15К6 16х12х180/16х16х120")</f>
        <v>Різець токарний розточувальний скріз. отвір. Т15К6 16х12х180/16х16х120</v>
      </c>
      <c r="C321" s="59" t="s">
        <v>6</v>
      </c>
      <c r="D321" s="59" t="s">
        <v>2466</v>
      </c>
      <c r="E321" s="91" t="s">
        <v>614</v>
      </c>
    </row>
    <row r="322" spans="1:5">
      <c r="A322" s="21">
        <f t="shared" si="4"/>
        <v>321</v>
      </c>
      <c r="B322" s="85" t="str">
        <f ca="1">IFERROR(__xludf.DUMMYFUNCTION("GOOGLETRANSLATE(B1783:B1798,""RU"",""UK"")"),"Різець токарний розточувальний скріз. отвір. Т15К6 16х16х140")</f>
        <v>Різець токарний розточувальний скріз. отвір. Т15К6 16х16х140</v>
      </c>
      <c r="C322" s="59" t="s">
        <v>6</v>
      </c>
      <c r="D322" s="59">
        <v>44</v>
      </c>
      <c r="E322" s="91" t="s">
        <v>185</v>
      </c>
    </row>
    <row r="323" spans="1:5">
      <c r="A323" s="21">
        <f t="shared" si="4"/>
        <v>322</v>
      </c>
      <c r="B323" s="85" t="str">
        <f ca="1">IFERROR(__xludf.DUMMYFUNCTION("GOOGLETRANSLATE(B1784:B1799,""RU"",""UK"")"),"Різець токарний розточувальний скріз. отвір. Т15К6 16х16х170/20х20х140")</f>
        <v>Різець токарний розточувальний скріз. отвір. Т15К6 16х16х170/20х20х140</v>
      </c>
      <c r="C323" s="59" t="s">
        <v>6</v>
      </c>
      <c r="D323" s="59" t="s">
        <v>6090</v>
      </c>
      <c r="E323" s="91" t="s">
        <v>136</v>
      </c>
    </row>
    <row r="324" spans="1:5">
      <c r="A324" s="21">
        <f t="shared" si="4"/>
        <v>323</v>
      </c>
      <c r="B324" s="85" t="str">
        <f ca="1">IFERROR(__xludf.DUMMYFUNCTION("GOOGLETRANSLATE(B1785:B1800,""RU"",""UK"")"),"Різець токарний розточувальний скріз. отвір. Т15К6 20х16х200")</f>
        <v>Різець токарний розточувальний скріз. отвір. Т15К6 20х16х200</v>
      </c>
      <c r="C324" s="59" t="s">
        <v>6</v>
      </c>
      <c r="D324" s="59">
        <v>31</v>
      </c>
      <c r="E324" s="91" t="s">
        <v>346</v>
      </c>
    </row>
    <row r="325" spans="1:5">
      <c r="A325" s="21">
        <f t="shared" si="4"/>
        <v>324</v>
      </c>
      <c r="B325" s="85" t="str">
        <f ca="1">IFERROR(__xludf.DUMMYFUNCTION("GOOGLETRANSLATE(B1786:B1801,""RU"",""UK"")"),"Різець токарний розточувальнийскріз. отвір. Т15К6 20х20х170")</f>
        <v>Різець токарний розточувальнийскріз. отвір. Т15К6 20х20х170</v>
      </c>
      <c r="C325" s="59" t="s">
        <v>6</v>
      </c>
      <c r="D325" s="59">
        <v>170</v>
      </c>
      <c r="E325" s="91" t="s">
        <v>317</v>
      </c>
    </row>
    <row r="326" spans="1:5">
      <c r="A326" s="21">
        <f t="shared" si="4"/>
        <v>325</v>
      </c>
      <c r="B326" s="85" t="str">
        <f ca="1">IFERROR(__xludf.DUMMYFUNCTION("GOOGLETRANSLATE(B1787:B1802,""RU"",""UK"")"),"Різець токарний розточувальний скріз. отвір. Т15К6 20х20х200")</f>
        <v>Різець токарний розточувальний скріз. отвір. Т15К6 20х20х200</v>
      </c>
      <c r="C326" s="59" t="s">
        <v>6</v>
      </c>
      <c r="D326" s="160">
        <v>10</v>
      </c>
      <c r="E326" s="91" t="s">
        <v>319</v>
      </c>
    </row>
    <row r="327" spans="1:5">
      <c r="A327" s="21">
        <f t="shared" si="4"/>
        <v>326</v>
      </c>
      <c r="B327" s="85" t="str">
        <f ca="1">IFERROR(__xludf.DUMMYFUNCTION("GOOGLETRANSLATE(B1788:B1803,""RU"",""UK"")"),"Різець токарний розточувальний скріз. отвір. Т15К6 20х20х300")</f>
        <v>Різець токарний розточувальний скріз. отвір. Т15К6 20х20х300</v>
      </c>
      <c r="C327" s="59" t="s">
        <v>6</v>
      </c>
      <c r="D327" s="59">
        <v>1</v>
      </c>
      <c r="E327" s="91" t="s">
        <v>567</v>
      </c>
    </row>
    <row r="328" spans="1:5">
      <c r="A328" s="21">
        <f t="shared" si="4"/>
        <v>327</v>
      </c>
      <c r="B328" s="85" t="str">
        <f ca="1">IFERROR(__xludf.DUMMYFUNCTION("GOOGLETRANSLATE(B1789:B1804,""RU"",""UK"")"),"Різець токарний розточувальний скріз. отвір.. Т15К6 25х20х140/25х16х200")</f>
        <v>Різець токарний розточувальний скріз. отвір.. Т15К6 25х20х140/25х16х200</v>
      </c>
      <c r="C328" s="59" t="s">
        <v>6</v>
      </c>
      <c r="D328" s="59" t="s">
        <v>2476</v>
      </c>
      <c r="E328" s="91" t="s">
        <v>2430</v>
      </c>
    </row>
    <row r="329" spans="1:5">
      <c r="A329" s="21">
        <f t="shared" si="4"/>
        <v>328</v>
      </c>
      <c r="B329" s="85" t="str">
        <f ca="1">IFERROR(__xludf.DUMMYFUNCTION("GOOGLETRANSLATE(B1790:B1805,""RU"",""UK"")"),"Різець токарний розточувальний скріз. отвір. Т15К6 20х20х240лев / 25х25х190лев")</f>
        <v>Різець токарний розточувальний скріз. отвір. Т15К6 20х20х240лев / 25х25х190лев</v>
      </c>
      <c r="C329" s="59" t="s">
        <v>6</v>
      </c>
      <c r="D329" s="59" t="s">
        <v>749</v>
      </c>
      <c r="E329" s="91" t="s">
        <v>317</v>
      </c>
    </row>
    <row r="330" spans="1:5">
      <c r="A330" s="21">
        <f t="shared" si="4"/>
        <v>329</v>
      </c>
      <c r="B330" s="85" t="str">
        <f ca="1">IFERROR(__xludf.DUMMYFUNCTION("GOOGLETRANSLATE(B1791:B1806,""RU"",""UK"")"),"Різець токарний розточувальнийскріз. отвір. Т15К6 25х25х200")</f>
        <v>Різець токарний розточувальнийскріз. отвір. Т15К6 25х25х200</v>
      </c>
      <c r="C330" s="59" t="s">
        <v>6</v>
      </c>
      <c r="D330" s="59">
        <v>24</v>
      </c>
      <c r="E330" s="91" t="s">
        <v>218</v>
      </c>
    </row>
    <row r="331" spans="1:5">
      <c r="A331" s="21">
        <f t="shared" si="4"/>
        <v>330</v>
      </c>
      <c r="B331" s="85" t="str">
        <f ca="1">IFERROR(__xludf.DUMMYFUNCTION("GOOGLETRANSLATE(B1792:B1807,""RU"",""UK"")"),"Різець токарний розточувальний скріз. отвір. Т15К6 25х20х240/25х25х240")</f>
        <v>Різець токарний розточувальний скріз. отвір. Т15К6 25х20х240/25х25х240</v>
      </c>
      <c r="C331" s="59" t="s">
        <v>6</v>
      </c>
      <c r="D331" s="59" t="s">
        <v>6433</v>
      </c>
      <c r="E331" s="91" t="s">
        <v>119</v>
      </c>
    </row>
    <row r="332" spans="1:5">
      <c r="A332" s="21">
        <f t="shared" si="4"/>
        <v>331</v>
      </c>
      <c r="B332" s="85" t="str">
        <f ca="1">IFERROR(__xludf.DUMMYFUNCTION("GOOGLETRANSLATE(B1793:B1808,""RU"",""UK"")"),"Різець токарний розточувальний скріз. отвір. Т15К6 30х30х220")</f>
        <v>Різець токарний розточувальний скріз. отвір. Т15К6 30х30х220</v>
      </c>
      <c r="C332" s="59" t="s">
        <v>6</v>
      </c>
      <c r="D332" s="59">
        <v>1</v>
      </c>
      <c r="E332" s="91" t="s">
        <v>327</v>
      </c>
    </row>
    <row r="333" spans="1:5">
      <c r="A333" s="21">
        <f t="shared" si="4"/>
        <v>332</v>
      </c>
      <c r="B333" s="85" t="str">
        <f ca="1">IFERROR(__xludf.DUMMYFUNCTION("GOOGLETRANSLATE(B1794:B1809,""RU"",""UK"")"),"Різець токарний розточувальний скріз. отвір. Т15К6 25х25х260/25х25х280")</f>
        <v>Різець токарний розточувальний скріз. отвір. Т15К6 25х25х260/25х25х280</v>
      </c>
      <c r="C333" s="59" t="s">
        <v>6</v>
      </c>
      <c r="D333" s="159">
        <v>45684</v>
      </c>
      <c r="E333" s="91" t="s">
        <v>140</v>
      </c>
    </row>
    <row r="334" spans="1:5">
      <c r="A334" s="21">
        <f t="shared" si="4"/>
        <v>333</v>
      </c>
      <c r="B334" s="85" t="str">
        <f ca="1">IFERROR(__xludf.DUMMYFUNCTION("GOOGLETRANSLATE(B1795:B1810,""RU"",""UK"")"),"Різець токарний розточувальний скріз. отвір.. Т15К6 32х30х220/35х20х230")</f>
        <v>Різець токарний розточувальний скріз. отвір.. Т15К6 32х30х220/35х20х230</v>
      </c>
      <c r="C334" s="59" t="s">
        <v>6</v>
      </c>
      <c r="D334" s="59" t="s">
        <v>749</v>
      </c>
      <c r="E334" s="91" t="s">
        <v>1713</v>
      </c>
    </row>
    <row r="335" spans="1:5">
      <c r="A335" s="21">
        <f t="shared" si="4"/>
        <v>334</v>
      </c>
      <c r="B335" s="85" t="str">
        <f ca="1">IFERROR(__xludf.DUMMYFUNCTION("GOOGLETRANSLATE(B1796:B1811,""RU"",""UK"")"),"Різець токарний розточувальний скріз. отвір. Т15К6 32х25х270/30х30х250")</f>
        <v>Різець токарний розточувальний скріз. отвір. Т15К6 32х25х270/30х30х250</v>
      </c>
      <c r="C335" s="59" t="s">
        <v>6</v>
      </c>
      <c r="D335" s="59" t="s">
        <v>774</v>
      </c>
      <c r="E335" s="91" t="s">
        <v>20</v>
      </c>
    </row>
    <row r="336" spans="1:5">
      <c r="A336" s="21">
        <f t="shared" si="4"/>
        <v>335</v>
      </c>
      <c r="B336" s="85" t="str">
        <f ca="1">IFERROR(__xludf.DUMMYFUNCTION("GOOGLETRANSLATE(B1797:B1812,""RU"",""UK"")"),"Різець токарний розточувальний скріз. отвір. Т15К6 30х30х320")</f>
        <v>Різець токарний розточувальний скріз. отвір. Т15К6 30х30х320</v>
      </c>
      <c r="C336" s="59" t="s">
        <v>6</v>
      </c>
      <c r="D336" s="59">
        <v>10</v>
      </c>
      <c r="E336" s="91" t="s">
        <v>24</v>
      </c>
    </row>
    <row r="337" spans="1:5">
      <c r="A337" s="21">
        <f t="shared" si="4"/>
        <v>336</v>
      </c>
      <c r="B337" s="85" t="str">
        <f ca="1">IFERROR(__xludf.DUMMYFUNCTION("GOOGLETRANSLATE(B1798:B1813,""RU"",""UK"")"),"Різець токарний розточний глухий.отвір Т15К6 d18х16х150")</f>
        <v>Різець токарний розточний глухий.отвір Т15К6 d18х16х150</v>
      </c>
      <c r="C337" s="59" t="s">
        <v>6</v>
      </c>
      <c r="D337" s="59">
        <v>4</v>
      </c>
      <c r="E337" s="91" t="s">
        <v>2487</v>
      </c>
    </row>
    <row r="338" spans="1:5">
      <c r="A338" s="21">
        <f t="shared" si="4"/>
        <v>337</v>
      </c>
      <c r="B338" s="85" t="str">
        <f ca="1">IFERROR(__xludf.DUMMYFUNCTION("GOOGLETRANSLATE(B1799:B1814,""RU"",""UK"")"),"Різець токарний розточний глухий. отвір Т15К6 d18х140")</f>
        <v>Різець токарний розточний глухий. отвір Т15К6 d18х140</v>
      </c>
      <c r="C338" s="59" t="s">
        <v>6</v>
      </c>
      <c r="D338" s="59">
        <v>3</v>
      </c>
      <c r="E338" s="91" t="s">
        <v>226</v>
      </c>
    </row>
    <row r="339" spans="1:5">
      <c r="A339" s="21">
        <f t="shared" si="4"/>
        <v>338</v>
      </c>
      <c r="B339" s="85" t="str">
        <f ca="1">IFERROR(__xludf.DUMMYFUNCTION("GOOGLETRANSLATE(B1800:B1815,""RU"",""UK"")"),"Різець токарний розточний глухий. отвір Т15К6 16х16х120/20х20х100")</f>
        <v>Різець токарний розточний глухий. отвір Т15К6 16х16х120/20х20х100</v>
      </c>
      <c r="C339" s="59" t="s">
        <v>6</v>
      </c>
      <c r="D339" s="59" t="s">
        <v>2490</v>
      </c>
      <c r="E339" s="91" t="s">
        <v>185</v>
      </c>
    </row>
    <row r="340" spans="1:5">
      <c r="A340" s="21">
        <f t="shared" si="4"/>
        <v>339</v>
      </c>
      <c r="B340" s="85" t="str">
        <f ca="1">IFERROR(__xludf.DUMMYFUNCTION("GOOGLETRANSLATE(B1801:B1816,""RU"",""UK"")"),"Різець токарний розточний глухий.отвірТ15К6 16х16х140")</f>
        <v>Різець токарний розточний глухий.отвірТ15К6 16х16х140</v>
      </c>
      <c r="C340" s="59" t="s">
        <v>6</v>
      </c>
      <c r="D340" s="59">
        <v>83</v>
      </c>
      <c r="E340" s="91" t="s">
        <v>2277</v>
      </c>
    </row>
    <row r="341" spans="1:5">
      <c r="A341" s="21">
        <f t="shared" si="4"/>
        <v>340</v>
      </c>
      <c r="B341" s="85" t="str">
        <f ca="1">IFERROR(__xludf.DUMMYFUNCTION("GOOGLETRANSLATE(B1802:B1817,""RU"",""UK"")"),"Різець токарний розточний глухий. отвір Т15К6 16х16х170")</f>
        <v>Різець токарний розточний глухий. отвір Т15К6 16х16х170</v>
      </c>
      <c r="C341" s="59" t="s">
        <v>6</v>
      </c>
      <c r="D341" s="59">
        <v>92</v>
      </c>
      <c r="E341" s="91">
        <v>129</v>
      </c>
    </row>
    <row r="342" spans="1:5">
      <c r="A342" s="21">
        <f t="shared" si="4"/>
        <v>341</v>
      </c>
      <c r="B342" s="85" t="str">
        <f ca="1">IFERROR(__xludf.DUMMYFUNCTION("GOOGLETRANSLATE(B1803:B1818,""RU"",""UK"")"),"Різець токарний розточний глухий. отвір Т15К6 20х20х140/20х20х170")</f>
        <v>Різець токарний розточний глухий. отвір Т15К6 20х20х140/20х20х170</v>
      </c>
      <c r="C342" s="59" t="s">
        <v>6</v>
      </c>
      <c r="D342" s="59" t="s">
        <v>2494</v>
      </c>
      <c r="E342" s="91">
        <v>138</v>
      </c>
    </row>
    <row r="343" spans="1:5">
      <c r="A343" s="21">
        <f t="shared" si="4"/>
        <v>342</v>
      </c>
      <c r="B343" s="85" t="str">
        <f ca="1">IFERROR(__xludf.DUMMYFUNCTION("GOOGLETRANSLATE(B1804:B1819,""RU"",""UK"")"),"Різець токарний розточний глухий. отвір Т15К6 20х20х200")</f>
        <v>Різець токарний розточний глухий. отвір Т15К6 20х20х200</v>
      </c>
      <c r="C343" s="59" t="s">
        <v>6</v>
      </c>
      <c r="D343" s="59">
        <v>88</v>
      </c>
      <c r="E343" s="91">
        <v>148</v>
      </c>
    </row>
    <row r="344" spans="1:5">
      <c r="A344" s="21">
        <f t="shared" si="4"/>
        <v>343</v>
      </c>
      <c r="B344" s="85" t="str">
        <f ca="1">IFERROR(__xludf.DUMMYFUNCTION("GOOGLETRANSLATE(B1805:B1820,""RU"",""UK"")"),"Різець токарний розточний глухий. отвір Т15К6 25х20х170лев")</f>
        <v>Різець токарний розточний глухий. отвір Т15К6 25х20х170лев</v>
      </c>
      <c r="C344" s="59" t="s">
        <v>6</v>
      </c>
      <c r="D344" s="59">
        <v>1</v>
      </c>
      <c r="E344" s="91" t="s">
        <v>1570</v>
      </c>
    </row>
    <row r="345" spans="1:5">
      <c r="A345" s="21">
        <f t="shared" si="4"/>
        <v>344</v>
      </c>
      <c r="B345" s="85" t="str">
        <f ca="1">IFERROR(__xludf.DUMMYFUNCTION("GOOGLETRANSLATE(B1806:B1821,""RU"",""UK"")"),"Різець токарний розточний глухий. отвір Т15К6 22х32х160")</f>
        <v>Різець токарний розточний глухий. отвір Т15К6 22х32х160</v>
      </c>
      <c r="C345" s="59" t="s">
        <v>6</v>
      </c>
      <c r="D345" s="59">
        <v>8</v>
      </c>
      <c r="E345" s="91" t="s">
        <v>1570</v>
      </c>
    </row>
    <row r="346" spans="1:5">
      <c r="A346" s="21">
        <f t="shared" si="4"/>
        <v>345</v>
      </c>
      <c r="B346" s="85" t="str">
        <f ca="1">IFERROR(__xludf.DUMMYFUNCTION("GOOGLETRANSLATE(B1807:B1822,""RU"",""UK"")"),"Різець токарний розточний глухий. отвір Т15К6 25х25х240")</f>
        <v>Різець токарний розточний глухий. отвір Т15К6 25х25х240</v>
      </c>
      <c r="C346" s="59" t="s">
        <v>6</v>
      </c>
      <c r="D346" s="59">
        <v>0</v>
      </c>
      <c r="E346" s="91" t="s">
        <v>1570</v>
      </c>
    </row>
    <row r="347" spans="1:5">
      <c r="A347" s="21">
        <f t="shared" si="4"/>
        <v>346</v>
      </c>
      <c r="B347" s="85" t="str">
        <f ca="1">IFERROR(__xludf.DUMMYFUNCTION("GOOGLETRANSLATE(B1808:B1823,""RU"",""UK"")"),"Різець токарний розточний глухий. отвір Т15К6 32х20х180 лев")</f>
        <v>Різець токарний розточний глухий. отвір Т15К6 32х20х180 лев</v>
      </c>
      <c r="C347" s="59" t="s">
        <v>6</v>
      </c>
      <c r="D347" s="59">
        <v>4</v>
      </c>
      <c r="E347" s="91" t="s">
        <v>327</v>
      </c>
    </row>
    <row r="348" spans="1:5">
      <c r="A348" s="21">
        <f t="shared" si="4"/>
        <v>347</v>
      </c>
      <c r="B348" s="85" t="str">
        <f ca="1">IFERROR(__xludf.DUMMYFUNCTION("GOOGLETRANSLATE(B1809:B1824,""RU"",""UK"")"),"Різець токарний розточний глухий. отвір Т15К6 32х25х280")</f>
        <v>Різець токарний розточний глухий. отвір Т15К6 32х25х280</v>
      </c>
      <c r="C348" s="59" t="s">
        <v>6</v>
      </c>
      <c r="D348" s="59">
        <v>2</v>
      </c>
      <c r="E348" s="91" t="s">
        <v>140</v>
      </c>
    </row>
    <row r="349" spans="1:5">
      <c r="A349" s="21">
        <f t="shared" si="4"/>
        <v>348</v>
      </c>
      <c r="B349" s="85" t="str">
        <f ca="1">IFERROR(__xludf.DUMMYFUNCTION("GOOGLETRANSLATE(B1809:B1824,""RU"",""UK"")"),"Різець токарний розточний глухий. отвір Т15К6 32х32х280")</f>
        <v>Різець токарний розточний глухий. отвір Т15К6 32х32х280</v>
      </c>
      <c r="C349" s="59" t="s">
        <v>6</v>
      </c>
      <c r="D349" s="59">
        <v>4</v>
      </c>
      <c r="E349" s="91">
        <v>270</v>
      </c>
    </row>
    <row r="350" spans="1:5">
      <c r="A350" s="21">
        <f t="shared" si="4"/>
        <v>349</v>
      </c>
      <c r="B350" s="85" t="str">
        <f ca="1">IFERROR(__xludf.DUMMYFUNCTION("GOOGLETRANSLATE(B1811:B1826,""RU"",""UK"")"),"Різець токарний розточний глухий. отвір Т5К10 16х16х120")</f>
        <v>Різець токарний розточний глухий. отвір Т5К10 16х16х120</v>
      </c>
      <c r="C350" s="59" t="s">
        <v>6</v>
      </c>
      <c r="D350" s="59">
        <v>16</v>
      </c>
      <c r="E350" s="91" t="s">
        <v>185</v>
      </c>
    </row>
    <row r="351" spans="1:5">
      <c r="A351" s="21">
        <f t="shared" si="4"/>
        <v>350</v>
      </c>
      <c r="B351" s="85" t="str">
        <f ca="1">IFERROR(__xludf.DUMMYFUNCTION("GOOGLETRANSLATE(B1812:B1827,""RU"",""UK"")"),"Різець токарний розточний глухий. отвір Т5К10 16х16х140")</f>
        <v>Різець токарний розточний глухий. отвір Т5К10 16х16х140</v>
      </c>
      <c r="C351" s="59" t="s">
        <v>6</v>
      </c>
      <c r="D351" s="59">
        <v>81</v>
      </c>
      <c r="E351" s="91" t="s">
        <v>187</v>
      </c>
    </row>
    <row r="352" spans="1:5">
      <c r="A352" s="21">
        <f t="shared" si="4"/>
        <v>351</v>
      </c>
      <c r="B352" s="85" t="str">
        <f ca="1">IFERROR(__xludf.DUMMYFUNCTION("GOOGLETRANSLATE(B1813:B1828,""RU"",""UK"")"),"Різець токарний розточний глухий. отвір Т5К10 16х16х170")</f>
        <v>Різець токарний розточний глухий. отвір Т5К10 16х16х170</v>
      </c>
      <c r="C352" s="59" t="s">
        <v>6</v>
      </c>
      <c r="D352" s="59">
        <v>75</v>
      </c>
      <c r="E352" s="91" t="s">
        <v>194</v>
      </c>
    </row>
    <row r="353" spans="1:5">
      <c r="A353" s="21">
        <f t="shared" si="4"/>
        <v>352</v>
      </c>
      <c r="B353" s="85" t="str">
        <f ca="1">IFERROR(__xludf.DUMMYFUNCTION("GOOGLETRANSLATE(B1814:B1829,""RU"",""UK"")"),"Різець токарний розточний глухий. отвір Т5К10 20х20х140")</f>
        <v>Різець токарний розточний глухий. отвір Т5К10 20х20х140</v>
      </c>
      <c r="C353" s="59" t="s">
        <v>6</v>
      </c>
      <c r="D353" s="59">
        <v>6</v>
      </c>
      <c r="E353" s="91" t="s">
        <v>348</v>
      </c>
    </row>
    <row r="354" spans="1:5">
      <c r="A354" s="21">
        <f t="shared" si="4"/>
        <v>353</v>
      </c>
      <c r="B354" s="85" t="str">
        <f ca="1">IFERROR(__xludf.DUMMYFUNCTION("GOOGLETRANSLATE(B1815:B1830,""RU"",""UK"")"),"Різець токарний розточний глухий. отвір Т5К10 20х20х170-180")</f>
        <v>Різець токарний розточний глухий. отвір Т5К10 20х20х170-180</v>
      </c>
      <c r="C354" s="59" t="s">
        <v>6</v>
      </c>
      <c r="D354" s="59">
        <v>16</v>
      </c>
      <c r="E354" s="91" t="s">
        <v>218</v>
      </c>
    </row>
    <row r="355" spans="1:5">
      <c r="A355" s="21">
        <f t="shared" si="4"/>
        <v>354</v>
      </c>
      <c r="B355" s="85" t="str">
        <f ca="1">IFERROR(__xludf.DUMMYFUNCTION("GOOGLETRANSLATE(B1816:B1831,""RU"",""UK"")"),"Різець токарний розточний глухий.отвір Т5К10 20х25х170")</f>
        <v>Різець токарний розточний глухий.отвір Т5К10 20х25х170</v>
      </c>
      <c r="C355" s="59" t="s">
        <v>6</v>
      </c>
      <c r="D355" s="59">
        <v>2</v>
      </c>
      <c r="E355" s="91" t="s">
        <v>567</v>
      </c>
    </row>
    <row r="356" spans="1:5">
      <c r="A356" s="21">
        <f t="shared" ref="A356:A430" si="5">A355+1</f>
        <v>355</v>
      </c>
      <c r="B356" s="85" t="str">
        <f ca="1">IFERROR(__xludf.DUMMYFUNCTION("GOOGLETRANSLATE(B1817:B1832,""RU"",""UK"")"),"Різець токарний розточний глухий. отвір Т5К10 20х20х200")</f>
        <v>Різець токарний розточний глухий. отвір Т5К10 20х20х200</v>
      </c>
      <c r="C356" s="59" t="s">
        <v>6</v>
      </c>
      <c r="D356" s="59">
        <v>0</v>
      </c>
      <c r="E356" s="91" t="s">
        <v>263</v>
      </c>
    </row>
    <row r="357" spans="1:5">
      <c r="A357" s="21">
        <f t="shared" si="5"/>
        <v>356</v>
      </c>
      <c r="B357" s="85" t="str">
        <f ca="1">IFERROR(__xludf.DUMMYFUNCTION("GOOGLETRANSLATE(B1818:B1833,""RU"",""UK"")"),"Різець токарний розточний глухий. Отвір. Т5К10 25х25х220")</f>
        <v>Різець токарний розточний глухий. Отвір. Т5К10 25х25х220</v>
      </c>
      <c r="C357" s="59" t="s">
        <v>6</v>
      </c>
      <c r="D357" s="59">
        <v>7</v>
      </c>
      <c r="E357" s="91" t="s">
        <v>1559</v>
      </c>
    </row>
    <row r="358" spans="1:5">
      <c r="A358" s="21">
        <f t="shared" si="5"/>
        <v>357</v>
      </c>
      <c r="B358" s="85" t="str">
        <f ca="1">IFERROR(__xludf.DUMMYFUNCTION("GOOGLETRANSLATE(B1819:B1834,""RU"",""UK"")"),"Різець токарний розточний глухий. отвір Т5К10 25х25х240-260")</f>
        <v>Різець токарний розточний глухий. отвір Т5К10 25х25х240-260</v>
      </c>
      <c r="C358" s="59" t="s">
        <v>6</v>
      </c>
      <c r="D358" s="59">
        <v>29</v>
      </c>
      <c r="E358" s="91" t="s">
        <v>327</v>
      </c>
    </row>
    <row r="359" spans="1:5">
      <c r="A359" s="21">
        <f t="shared" si="5"/>
        <v>358</v>
      </c>
      <c r="B359" s="85" t="str">
        <f ca="1">IFERROR(__xludf.DUMMYFUNCTION("GOOGLETRANSLATE(B1820:B1835,""RU"",""UK"")"),"Різець токарний розточний глухий отвір Т5К10 32х25х280")</f>
        <v>Різець токарний розточний глухий отвір Т5К10 32х25х280</v>
      </c>
      <c r="C359" s="59" t="s">
        <v>6</v>
      </c>
      <c r="D359" s="160">
        <v>10</v>
      </c>
      <c r="E359" s="91" t="s">
        <v>140</v>
      </c>
    </row>
    <row r="360" spans="1:5">
      <c r="A360" s="21">
        <f t="shared" si="5"/>
        <v>359</v>
      </c>
      <c r="B360" s="85" t="str">
        <f ca="1">IFERROR(__xludf.DUMMYFUNCTION("GOOGLETRANSLATE(B1820:B1835,""RU"",""UK"")"),"Різець токарний розточний глухий отвір Т5К10 32х25х300")</f>
        <v>Різець токарний розточний глухий отвір Т5К10 32х25х300</v>
      </c>
      <c r="C360" s="59" t="s">
        <v>6</v>
      </c>
      <c r="D360" s="160">
        <v>2</v>
      </c>
      <c r="E360" s="91" t="s">
        <v>140</v>
      </c>
    </row>
    <row r="361" spans="1:5">
      <c r="A361" s="21">
        <f t="shared" si="5"/>
        <v>360</v>
      </c>
      <c r="B361" s="85" t="str">
        <f ca="1">IFERROR(__xludf.DUMMYFUNCTION("GOOGLETRANSLATE(B1821:B1836,""RU"",""UK"")"),"Різець токарний розточний глухий. отвір Т5К10 40х25х280")</f>
        <v>Різець токарний розточний глухий. отвір Т5К10 40х25х280</v>
      </c>
      <c r="C361" s="59" t="s">
        <v>6</v>
      </c>
      <c r="D361" s="59">
        <v>3</v>
      </c>
      <c r="E361" s="91">
        <v>300</v>
      </c>
    </row>
    <row r="362" spans="1:5">
      <c r="A362" s="21">
        <f t="shared" si="5"/>
        <v>361</v>
      </c>
      <c r="B362" s="85" t="str">
        <f ca="1">IFERROR(__xludf.DUMMYFUNCTION("GOOGLETRANSLATE(B1821:B1836,""RU"",""UK"")"),"Різець токарний розточний глухий. отвір Т5К10 40х32х300")</f>
        <v>Різець токарний розточний глухий. отвір Т5К10 40х32х300</v>
      </c>
      <c r="C362" s="59" t="s">
        <v>6</v>
      </c>
      <c r="D362" s="59">
        <v>11</v>
      </c>
      <c r="E362" s="91">
        <v>360</v>
      </c>
    </row>
    <row r="363" spans="1:5">
      <c r="A363" s="21">
        <f t="shared" si="5"/>
        <v>362</v>
      </c>
      <c r="B363" s="85" t="str">
        <f ca="1">IFERROR(__xludf.DUMMYFUNCTION("GOOGLETRANSLATE(B1822:B1837,""RU"",""UK"")"),"Різець токарний розточувальний скріз. отвір Т5К10 14х14х150/16х16х120")</f>
        <v>Різець токарний розточувальний скріз. отвір Т5К10 14х14х150/16х16х120</v>
      </c>
      <c r="C363" s="59" t="s">
        <v>6</v>
      </c>
      <c r="D363" s="59" t="s">
        <v>2515</v>
      </c>
      <c r="E363" s="91" t="s">
        <v>564</v>
      </c>
    </row>
    <row r="364" spans="1:5">
      <c r="A364" s="21">
        <f t="shared" si="5"/>
        <v>363</v>
      </c>
      <c r="B364" s="85" t="str">
        <f ca="1">IFERROR(__xludf.DUMMYFUNCTION("GOOGLETRANSLATE(B1823:B1838,""RU"",""UK"")"),"Різець токарний розточувальний скріз. отвір Т5К10 16х16х140")</f>
        <v>Різець токарний розточувальний скріз. отвір Т5К10 16х16х140</v>
      </c>
      <c r="C364" s="59" t="s">
        <v>6</v>
      </c>
      <c r="D364" s="160">
        <v>2</v>
      </c>
      <c r="E364" s="91" t="s">
        <v>185</v>
      </c>
    </row>
    <row r="365" spans="1:5">
      <c r="A365" s="21"/>
      <c r="B365" s="85" t="str">
        <f ca="1">IFERROR(__xludf.DUMMYFUNCTION("GOOGLETRANSLATE(B1823:B1838,""RU"",""UK"")"),"Різець токарний розточувальний скріз. отвір Т5К10 16х12х170")</f>
        <v>Різець токарний розточувальний скріз. отвір Т5К10 16х12х170</v>
      </c>
      <c r="C365" s="59" t="s">
        <v>6</v>
      </c>
      <c r="D365" s="160">
        <v>18</v>
      </c>
      <c r="E365" s="91" t="s">
        <v>185</v>
      </c>
    </row>
    <row r="366" spans="1:5">
      <c r="A366" s="21">
        <f>A364+1</f>
        <v>364</v>
      </c>
      <c r="B366" s="85" t="str">
        <f ca="1">IFERROR(__xludf.DUMMYFUNCTION("GOOGLETRANSLATE(B1824:B1839,""RU"",""UK"")"),"Різець токарний розточувальний скріз. отвір. Т5К10 16х16х170")</f>
        <v>Різець токарний розточувальний скріз. отвір. Т5К10 16х16х170</v>
      </c>
      <c r="C366" s="59" t="s">
        <v>6</v>
      </c>
      <c r="D366" s="59">
        <v>80</v>
      </c>
      <c r="E366" s="91" t="s">
        <v>1194</v>
      </c>
    </row>
    <row r="367" spans="1:5">
      <c r="A367" s="21">
        <f t="shared" si="5"/>
        <v>365</v>
      </c>
      <c r="B367" s="85" t="str">
        <f ca="1">IFERROR(__xludf.DUMMYFUNCTION("GOOGLETRANSLATE(B1825:B1840,""RU"",""UK"")"),"Різець токарний розточувальний скріз. отвір Т5К10 18х18х200")</f>
        <v>Різець токарний розточувальний скріз. отвір Т5К10 18х18х200</v>
      </c>
      <c r="C367" s="59" t="s">
        <v>6</v>
      </c>
      <c r="D367" s="59">
        <v>30</v>
      </c>
      <c r="E367" s="91" t="s">
        <v>344</v>
      </c>
    </row>
    <row r="368" spans="1:5">
      <c r="A368" s="21">
        <f t="shared" si="5"/>
        <v>366</v>
      </c>
      <c r="B368" s="85" t="str">
        <f ca="1">IFERROR(__xludf.DUMMYFUNCTION("GOOGLETRANSLATE(B1826:B1841,""RU"",""UK"")"),"Різець токарний розточувальний скріз. отвір Т5К10 20х20х160")</f>
        <v>Різець токарний розточувальний скріз. отвір Т5К10 20х20х160</v>
      </c>
      <c r="C368" s="59" t="s">
        <v>6</v>
      </c>
      <c r="D368" s="59">
        <v>12</v>
      </c>
      <c r="E368" s="91" t="s">
        <v>344</v>
      </c>
    </row>
    <row r="369" spans="1:5">
      <c r="A369" s="21">
        <f t="shared" si="5"/>
        <v>367</v>
      </c>
      <c r="B369" s="85" t="str">
        <f ca="1">IFERROR(__xludf.DUMMYFUNCTION("GOOGLETRANSLATE(B1827:B1842,""RU"",""UK"")"),"Різець токарний розточувальний скріз. отвір Т5К10 20х20х170")</f>
        <v>Різець токарний розточувальний скріз. отвір Т5К10 20х20х170</v>
      </c>
      <c r="C369" s="59" t="s">
        <v>6</v>
      </c>
      <c r="D369" s="59">
        <v>46</v>
      </c>
      <c r="E369" s="91" t="s">
        <v>317</v>
      </c>
    </row>
    <row r="370" spans="1:5">
      <c r="A370" s="21">
        <f t="shared" si="5"/>
        <v>368</v>
      </c>
      <c r="B370" s="85" t="str">
        <f ca="1">IFERROR(__xludf.DUMMYFUNCTION("GOOGLETRANSLATE(B1828:B1843,""RU"",""UK"")"),"Різець токарний розточувальний скріз. отвір Т5К10 25х16х200")</f>
        <v>Різець токарний розточувальний скріз. отвір Т5К10 25х16х200</v>
      </c>
      <c r="C370" s="59" t="s">
        <v>6</v>
      </c>
      <c r="D370" s="59">
        <v>3</v>
      </c>
      <c r="E370" s="91" t="s">
        <v>2404</v>
      </c>
    </row>
    <row r="371" spans="1:5">
      <c r="A371" s="21">
        <f t="shared" si="5"/>
        <v>369</v>
      </c>
      <c r="B371" s="85" t="str">
        <f ca="1">IFERROR(__xludf.DUMMYFUNCTION("GOOGLETRANSLATE(B1829:B1844,""RU"",""UK"")"),"Різець токарний розточувальний скріз. отвір Т5К10 25х25х200")</f>
        <v>Різець токарний розточувальний скріз. отвір Т5К10 25х25х200</v>
      </c>
      <c r="C371" s="59" t="s">
        <v>6</v>
      </c>
      <c r="D371" s="59">
        <v>16</v>
      </c>
      <c r="E371" s="91" t="s">
        <v>319</v>
      </c>
    </row>
    <row r="372" spans="1:5">
      <c r="A372" s="21">
        <f t="shared" si="5"/>
        <v>370</v>
      </c>
      <c r="B372" s="85" t="str">
        <f ca="1">IFERROR(__xludf.DUMMYFUNCTION("GOOGLETRANSLATE(B1830:B1845,""RU"",""UK"")"),"Різець токарний розточувальнийскріз. отвір Т5К10 25х20х240")</f>
        <v>Різець токарний розточувальнийскріз. отвір Т5К10 25х20х240</v>
      </c>
      <c r="C372" s="59" t="s">
        <v>6</v>
      </c>
      <c r="D372" s="59">
        <v>20</v>
      </c>
      <c r="E372" s="91" t="s">
        <v>263</v>
      </c>
    </row>
    <row r="373" spans="1:5">
      <c r="A373" s="21">
        <f t="shared" si="5"/>
        <v>371</v>
      </c>
      <c r="B373" s="85" t="str">
        <f ca="1">IFERROR(__xludf.DUMMYFUNCTION("GOOGLETRANSLATE(B1831:B1846,""RU"",""UK"")"),"Різець токарний розточувальнийскріз. отвірТ5К10 25х25х200")</f>
        <v>Різець токарний розточувальнийскріз. отвірТ5К10 25х25х200</v>
      </c>
      <c r="C373" s="59" t="s">
        <v>6</v>
      </c>
      <c r="D373" s="59">
        <v>26</v>
      </c>
      <c r="E373" s="91" t="s">
        <v>263</v>
      </c>
    </row>
    <row r="374" spans="1:5">
      <c r="A374" s="21">
        <f t="shared" si="5"/>
        <v>372</v>
      </c>
      <c r="B374" s="85" t="str">
        <f ca="1">IFERROR(__xludf.DUMMYFUNCTION("GOOGLETRANSLATE(B1832:B1847,""RU"",""UK"")"),"Різець токарний розточувальний скріз. отвірТ5К10 25х25х230-240")</f>
        <v>Різець токарний розточувальний скріз. отвірТ5К10 25х25х230-240</v>
      </c>
      <c r="C374" s="59" t="s">
        <v>6</v>
      </c>
      <c r="D374" s="59">
        <v>220</v>
      </c>
      <c r="E374" s="91">
        <v>180</v>
      </c>
    </row>
    <row r="375" spans="1:5">
      <c r="A375" s="21">
        <f t="shared" si="5"/>
        <v>373</v>
      </c>
      <c r="B375" s="85" t="str">
        <f ca="1">IFERROR(__xludf.DUMMYFUNCTION("GOOGLETRANSLATE(B1832:B1847,""RU"",""UK"")"),"Різець токарний розточувальний скріз. отвірТ5К10 25х25х240 лівий")</f>
        <v>Різець токарний розточувальний скріз. отвірТ5К10 25х25х240 лівий</v>
      </c>
      <c r="C375" s="59" t="s">
        <v>6</v>
      </c>
      <c r="D375" s="59">
        <v>7</v>
      </c>
      <c r="E375" s="91">
        <v>180</v>
      </c>
    </row>
    <row r="376" spans="1:5">
      <c r="A376" s="21">
        <f t="shared" si="5"/>
        <v>374</v>
      </c>
      <c r="B376" s="85" t="str">
        <f ca="1">IFERROR(__xludf.DUMMYFUNCTION("GOOGLETRANSLATE(B1833:B1848,""RU"",""UK"")"),"Різець токарний розточувальний скріз. отвір Т5К10 32х25х240/30х20х270")</f>
        <v>Різець токарний розточувальний скріз. отвір Т5К10 32х25х240/30х20х270</v>
      </c>
      <c r="C376" s="59" t="s">
        <v>6</v>
      </c>
      <c r="D376" s="59" t="s">
        <v>2527</v>
      </c>
      <c r="E376" s="91">
        <v>240</v>
      </c>
    </row>
    <row r="377" spans="1:5">
      <c r="A377" s="21">
        <f t="shared" si="5"/>
        <v>375</v>
      </c>
      <c r="B377" s="85" t="str">
        <f ca="1">IFERROR(__xludf.DUMMYFUNCTION("GOOGLETRANSLATE(B1834:B1849,""RU"",""UK"")"),"Різець токарний розточувальний скріз. отвір Т5К10 25х25х280")</f>
        <v>Різець токарний розточувальний скріз. отвір Т5К10 25х25х280</v>
      </c>
      <c r="C377" s="59" t="s">
        <v>6</v>
      </c>
      <c r="D377" s="160">
        <v>2</v>
      </c>
      <c r="E377" s="91">
        <v>240</v>
      </c>
    </row>
    <row r="378" spans="1:5">
      <c r="A378" s="21">
        <f t="shared" si="5"/>
        <v>376</v>
      </c>
      <c r="B378" s="85" t="str">
        <f ca="1">IFERROR(__xludf.DUMMYFUNCTION("GOOGLETRANSLATE(B1834:B1849,""RU"",""UK"")"),"Різець токарний розточувальний скріз. отвір Т5К10 32х25х290")</f>
        <v>Різець токарний розточувальний скріз. отвір Т5К10 32х25х290</v>
      </c>
      <c r="C378" s="59" t="s">
        <v>6</v>
      </c>
      <c r="D378" s="160">
        <v>11</v>
      </c>
      <c r="E378" s="91">
        <v>270</v>
      </c>
    </row>
    <row r="379" spans="1:5">
      <c r="A379" s="21">
        <f t="shared" si="5"/>
        <v>377</v>
      </c>
      <c r="B379" s="85" t="str">
        <f ca="1">IFERROR(__xludf.DUMMYFUNCTION("GOOGLETRANSLATE(B1835:B1850,""RU"",""UK"")"),"Різець токарний розточувальний скріз. отвірТ5К10 40х30х280/40х30х300")</f>
        <v>Різець токарний розточувальний скріз. отвірТ5К10 40х30х280/40х30х300</v>
      </c>
      <c r="C379" s="59" t="s">
        <v>6</v>
      </c>
      <c r="D379" s="59" t="s">
        <v>1970</v>
      </c>
      <c r="E379" s="91">
        <v>300</v>
      </c>
    </row>
    <row r="380" spans="1:5">
      <c r="A380" s="21">
        <f t="shared" si="5"/>
        <v>378</v>
      </c>
      <c r="B380" s="85" t="str">
        <f ca="1">IFERROR(__xludf.DUMMYFUNCTION("GOOGLETRANSLATE(B1836:B1851,""RU"",""UK"")"),"Різець токарний розточний глухий. отвір Т30К4 25х25х200")</f>
        <v>Різець токарний розточний глухий. отвір Т30К4 25х25х200</v>
      </c>
      <c r="C380" s="59" t="s">
        <v>6</v>
      </c>
      <c r="D380" s="59">
        <v>12</v>
      </c>
      <c r="E380" s="91" t="s">
        <v>319</v>
      </c>
    </row>
    <row r="381" spans="1:5">
      <c r="A381" s="21">
        <f t="shared" si="5"/>
        <v>379</v>
      </c>
      <c r="B381" s="85" t="str">
        <f ca="1">IFERROR(__xludf.DUMMYFUNCTION("GOOGLETRANSLATE(B1837:B1852,""RU"",""UK"")"),"Різець токарний розточний глухий. отвір Т30К4 40х30х250")</f>
        <v>Різець токарний розточний глухий. отвір Т30К4 40х30х250</v>
      </c>
      <c r="C381" s="59" t="s">
        <v>6</v>
      </c>
      <c r="D381" s="59">
        <v>2</v>
      </c>
      <c r="E381" s="91" t="s">
        <v>140</v>
      </c>
    </row>
    <row r="382" spans="1:5">
      <c r="A382" s="21">
        <f t="shared" si="5"/>
        <v>380</v>
      </c>
      <c r="B382" s="85" t="str">
        <f ca="1">IFERROR(__xludf.DUMMYFUNCTION("GOOGLETRANSLATE(B1838:B1853,""RU"",""UK"")"),"Різець токарний розточний глух. d3ммВК6М моноліт")</f>
        <v>Різець токарний розточний глух. d3ммВК6М моноліт</v>
      </c>
      <c r="C382" s="59" t="s">
        <v>6</v>
      </c>
      <c r="D382" s="59">
        <v>45</v>
      </c>
      <c r="E382" s="91" t="s">
        <v>314</v>
      </c>
    </row>
    <row r="383" spans="1:5">
      <c r="A383" s="21">
        <f t="shared" si="5"/>
        <v>381</v>
      </c>
      <c r="B383" s="85" t="str">
        <f ca="1">IFERROR(__xludf.DUMMYFUNCTION("GOOGLETRANSLATE(B1839:B1854,""RU"",""UK"")"),"Різець токарний розточний глух. d4ммВК6М моноліт")</f>
        <v>Різець токарний розточний глух. d4ммВК6М моноліт</v>
      </c>
      <c r="C383" s="59" t="s">
        <v>6</v>
      </c>
      <c r="D383" s="59">
        <v>6</v>
      </c>
      <c r="E383" s="91">
        <v>66</v>
      </c>
    </row>
    <row r="384" spans="1:5">
      <c r="A384" s="21">
        <f t="shared" si="5"/>
        <v>382</v>
      </c>
      <c r="B384" s="85" t="str">
        <f ca="1">IFERROR(__xludf.DUMMYFUNCTION("GOOGLETRANSLATE(B1840:B1855,""RU"",""UK"")"),"Різець токарний розточний глух. d5ммВК6М моноліт")</f>
        <v>Різець токарний розточний глух. d5ммВК6М моноліт</v>
      </c>
      <c r="C384" s="59" t="s">
        <v>6</v>
      </c>
      <c r="D384" s="59">
        <v>21</v>
      </c>
      <c r="E384" s="91">
        <v>81</v>
      </c>
    </row>
    <row r="385" spans="1:5">
      <c r="A385" s="21">
        <f t="shared" si="5"/>
        <v>383</v>
      </c>
      <c r="B385" s="85" t="str">
        <f ca="1">IFERROR(__xludf.DUMMYFUNCTION("GOOGLETRANSLATE(B1841:B1856,""RU"",""UK"")"),"Різець токарний розточний глух. d6мм ВК6М моноліт d10L70 роб. част.6мм")</f>
        <v>Різець токарний розточний глух. d6мм ВК6М моноліт d10L70 роб. част.6мм</v>
      </c>
      <c r="C385" s="59" t="s">
        <v>6</v>
      </c>
      <c r="D385" s="59">
        <v>45</v>
      </c>
      <c r="E385" s="91">
        <v>90</v>
      </c>
    </row>
    <row r="386" spans="1:5">
      <c r="A386" s="21">
        <f t="shared" si="5"/>
        <v>384</v>
      </c>
      <c r="B386" s="85" t="str">
        <f ca="1">IFERROR(__xludf.DUMMYFUNCTION("GOOGLETRANSLATE(B1842:B1857,""RU"",""UK"")"),"Різець токарний розточний глух. d7ммВК6М моноліт")</f>
        <v>Різець токарний розточний глух. d7ммВК6М моноліт</v>
      </c>
      <c r="C386" s="59" t="s">
        <v>6</v>
      </c>
      <c r="D386" s="59">
        <v>7</v>
      </c>
      <c r="E386" s="91">
        <v>99</v>
      </c>
    </row>
    <row r="387" spans="1:5">
      <c r="A387" s="21">
        <f t="shared" si="5"/>
        <v>385</v>
      </c>
      <c r="B387" s="169" t="str">
        <f ca="1">IFERROR(__xludf.DUMMYFUNCTION("GOOGLETRANSLATE(B1843:B1858,""RU"",""UK"")"),"Різець токарний розточний глух. d8ммВК6М моноліт")</f>
        <v>Різець токарний розточний глух. d8ммВК6М моноліт</v>
      </c>
      <c r="C387" s="59" t="s">
        <v>6</v>
      </c>
      <c r="D387" s="59">
        <v>71</v>
      </c>
      <c r="E387" s="91">
        <v>105</v>
      </c>
    </row>
    <row r="388" spans="1:5">
      <c r="A388" s="21">
        <f t="shared" si="5"/>
        <v>386</v>
      </c>
      <c r="B388" s="85" t="str">
        <f ca="1">IFERROR(__xludf.DUMMYFUNCTION("GOOGLETRANSLATE(B1843:B1858,""RU"",""UK"")"),"Різець токарний розточний глух. d8ммВК6М моноліт D12L70mm")</f>
        <v>Різець токарний розточний глух. d8ммВК6М моноліт D12L70mm</v>
      </c>
      <c r="C388" s="59" t="s">
        <v>6</v>
      </c>
      <c r="D388" s="59">
        <v>1</v>
      </c>
      <c r="E388" s="91">
        <v>120</v>
      </c>
    </row>
    <row r="389" spans="1:5">
      <c r="A389" s="21">
        <f t="shared" si="5"/>
        <v>387</v>
      </c>
      <c r="B389" s="85" t="str">
        <f ca="1">IFERROR(__xludf.DUMMYFUNCTION("GOOGLETRANSLATE(B1844:B1859,""RU"",""UK"")"),"Різець токарний розточний глух. d10х70ммВК8 / d12х45ммВК8лев")</f>
        <v>Різець токарний розточний глух. d10х70ммВК8 / d12х45ммВК8лев</v>
      </c>
      <c r="C389" s="59" t="s">
        <v>6</v>
      </c>
      <c r="D389" s="59" t="s">
        <v>749</v>
      </c>
      <c r="E389" s="91">
        <v>60</v>
      </c>
    </row>
    <row r="390" spans="1:5">
      <c r="A390" s="21">
        <f t="shared" si="5"/>
        <v>388</v>
      </c>
      <c r="B390" s="85" t="s">
        <v>6352</v>
      </c>
      <c r="C390" s="59" t="s">
        <v>6</v>
      </c>
      <c r="D390" s="59">
        <v>1</v>
      </c>
      <c r="E390" s="91">
        <v>90</v>
      </c>
    </row>
    <row r="391" spans="1:5">
      <c r="A391" s="21">
        <f t="shared" si="5"/>
        <v>389</v>
      </c>
      <c r="B391" s="85" t="str">
        <f ca="1">IFERROR(__xludf.DUMMYFUNCTION("GOOGLETRANSLATE(B1845:B1860,""RU"",""UK"")"),"Різець токарний розточний глух. D12х60ммВК8")</f>
        <v>Різець токарний розточний глух. D12х60ммВК8</v>
      </c>
      <c r="C391" s="59" t="s">
        <v>6</v>
      </c>
      <c r="D391" s="59">
        <v>18</v>
      </c>
      <c r="E391" s="91">
        <v>80</v>
      </c>
    </row>
    <row r="392" spans="1:5">
      <c r="A392" s="21">
        <f t="shared" si="5"/>
        <v>390</v>
      </c>
      <c r="B392" s="85" t="s">
        <v>6267</v>
      </c>
      <c r="C392" s="59" t="s">
        <v>6</v>
      </c>
      <c r="D392" s="59">
        <v>2</v>
      </c>
      <c r="E392" s="91">
        <v>55</v>
      </c>
    </row>
    <row r="393" spans="1:5">
      <c r="A393" s="21">
        <f t="shared" si="5"/>
        <v>391</v>
      </c>
      <c r="B393" s="85" t="s">
        <v>6353</v>
      </c>
      <c r="C393" s="59" t="s">
        <v>6</v>
      </c>
      <c r="D393" s="59">
        <v>1</v>
      </c>
      <c r="E393" s="91">
        <v>90</v>
      </c>
    </row>
    <row r="394" spans="1:5">
      <c r="A394" s="21">
        <f t="shared" si="5"/>
        <v>392</v>
      </c>
      <c r="B394" s="164" t="str">
        <f ca="1">IFERROR(__xludf.DUMMYFUNCTION("GOOGLETRANSLATE(B1846:B1861,""RU"",""UK"")"),"Різець токарний розточний глух. D12х80мм Т15К6")</f>
        <v>Різець токарний розточний глух. D12х80мм Т15К6</v>
      </c>
      <c r="C394" s="59" t="s">
        <v>6</v>
      </c>
      <c r="D394" s="59">
        <v>0</v>
      </c>
      <c r="E394" s="91">
        <v>80</v>
      </c>
    </row>
    <row r="395" spans="1:5">
      <c r="A395" s="21">
        <f t="shared" si="5"/>
        <v>393</v>
      </c>
      <c r="B395" s="85" t="str">
        <f ca="1">IFERROR(__xludf.DUMMYFUNCTION("GOOGLETRANSLATE(B1847:B1862,""RU"",""UK"")"),"Різець токарний розточний глух. D12х120-160ммВК8")</f>
        <v>Різець токарний розточний глух. D12х120-160ммВК8</v>
      </c>
      <c r="C395" s="59" t="s">
        <v>6</v>
      </c>
      <c r="D395" s="59">
        <v>3</v>
      </c>
      <c r="E395" s="91">
        <v>87</v>
      </c>
    </row>
    <row r="396" spans="1:5">
      <c r="A396" s="21">
        <f t="shared" si="5"/>
        <v>394</v>
      </c>
      <c r="B396" s="85" t="str">
        <f ca="1">IFERROR(__xludf.DUMMYFUNCTION("GOOGLETRANSLATE(B1848:B1863,""RU"",""UK"")"),"Різець токарний розточний глух. D15х40мм т/с")</f>
        <v>Різець токарний розточний глух. D15х40мм т/с</v>
      </c>
      <c r="C396" s="59" t="s">
        <v>6</v>
      </c>
      <c r="D396" s="59">
        <v>2</v>
      </c>
      <c r="E396" s="91">
        <v>60</v>
      </c>
    </row>
    <row r="397" spans="1:5">
      <c r="A397" s="21">
        <f t="shared" si="5"/>
        <v>395</v>
      </c>
      <c r="B397" s="85" t="str">
        <f ca="1">IFERROR(__xludf.DUMMYFUNCTION("GOOGLETRANSLATE(B1849:B1864,""RU"",""UK"")"),"Різець токарний розточний глух. d15х110ммВК8")</f>
        <v>Різець токарний розточний глух. d15х110ммВК8</v>
      </c>
      <c r="C397" s="59" t="s">
        <v>6</v>
      </c>
      <c r="D397" s="59">
        <v>19</v>
      </c>
      <c r="E397" s="91">
        <v>81</v>
      </c>
    </row>
    <row r="398" spans="1:5">
      <c r="A398" s="21">
        <f t="shared" si="5"/>
        <v>396</v>
      </c>
      <c r="B398" s="85" t="str">
        <f ca="1">IFERROR(__xludf.DUMMYFUNCTION("GOOGLETRANSLATE(B1850:B1865,""RU"",""UK"")"),"Різець токарний розточний глух. d16х130ммВК8")</f>
        <v>Різець токарний розточний глух. d16х130ммВК8</v>
      </c>
      <c r="C398" s="59" t="s">
        <v>6</v>
      </c>
      <c r="D398" s="59">
        <v>1</v>
      </c>
      <c r="E398" s="91">
        <v>84</v>
      </c>
    </row>
    <row r="399" spans="1:5">
      <c r="A399" s="21">
        <f t="shared" si="5"/>
        <v>397</v>
      </c>
      <c r="B399" s="85" t="str">
        <f ca="1">IFERROR(__xludf.DUMMYFUNCTION("GOOGLETRANSLATE(B1852:B1867,""RU"",""UK"")"),"Різець токарний розточний глух. d18х100ммВК8")</f>
        <v>Різець токарний розточний глух. d18х100ммВК8</v>
      </c>
      <c r="C399" s="59" t="s">
        <v>6</v>
      </c>
      <c r="D399" s="59">
        <v>9</v>
      </c>
      <c r="E399" s="91">
        <v>84</v>
      </c>
    </row>
    <row r="400" spans="1:5">
      <c r="A400" s="21">
        <f t="shared" si="5"/>
        <v>398</v>
      </c>
      <c r="B400" s="85" t="str">
        <f ca="1">IFERROR(__xludf.DUMMYFUNCTION("GOOGLETRANSLATE(B1853:B1868,""RU"",""UK"")"),"Різець токарний розточний глух. d18х120ммВК8 лів")</f>
        <v>Різець токарний розточний глух. d18х120ммВК8 лів</v>
      </c>
      <c r="C400" s="59" t="s">
        <v>6</v>
      </c>
      <c r="D400" s="59">
        <v>4</v>
      </c>
      <c r="E400" s="91">
        <v>90</v>
      </c>
    </row>
    <row r="401" spans="1:5">
      <c r="A401" s="21">
        <f t="shared" si="5"/>
        <v>399</v>
      </c>
      <c r="B401" s="85" t="str">
        <f ca="1">IFERROR(__xludf.DUMMYFUNCTION("GOOGLETRANSLATE(B1854:B1869,""RU"",""UK"")"),"Різець токарний розточний глух. D19х80мм ВК8лев.")</f>
        <v>Різець токарний розточний глух. D19х80мм ВК8лев.</v>
      </c>
      <c r="C401" s="59" t="s">
        <v>6</v>
      </c>
      <c r="D401" s="59">
        <v>4</v>
      </c>
      <c r="E401" s="91" t="s">
        <v>338</v>
      </c>
    </row>
    <row r="402" spans="1:5">
      <c r="A402" s="21">
        <f t="shared" si="5"/>
        <v>400</v>
      </c>
      <c r="B402" s="85" t="str">
        <f ca="1">IFERROR(__xludf.DUMMYFUNCTION("GOOGLETRANSLATE(B1855:B1870,""RU"",""UK"")"),"Різець токарний розточний глух. D20х60мм т/с/d20х80ммВК8")</f>
        <v>Різець токарний розточний глух. D20х60мм т/с/d20х80ммВК8</v>
      </c>
      <c r="C402" s="59" t="s">
        <v>6</v>
      </c>
      <c r="D402" s="59" t="s">
        <v>1318</v>
      </c>
      <c r="E402" s="91">
        <v>90</v>
      </c>
    </row>
    <row r="403" spans="1:5">
      <c r="A403" s="21">
        <f t="shared" si="5"/>
        <v>401</v>
      </c>
      <c r="B403" s="85" t="s">
        <v>6268</v>
      </c>
      <c r="C403" s="59" t="s">
        <v>6</v>
      </c>
      <c r="D403" s="59">
        <v>5</v>
      </c>
      <c r="E403" s="91">
        <v>75</v>
      </c>
    </row>
    <row r="404" spans="1:5">
      <c r="A404" s="21">
        <f t="shared" si="5"/>
        <v>402</v>
      </c>
      <c r="B404" s="85" t="s">
        <v>6269</v>
      </c>
      <c r="C404" s="59" t="s">
        <v>6</v>
      </c>
      <c r="D404" s="59">
        <v>3</v>
      </c>
      <c r="E404" s="91">
        <v>75</v>
      </c>
    </row>
    <row r="405" spans="1:5">
      <c r="A405" s="21">
        <f t="shared" si="5"/>
        <v>403</v>
      </c>
      <c r="B405" s="85" t="str">
        <f ca="1">IFERROR(__xludf.DUMMYFUNCTION("GOOGLETRANSLATE(B1856:B1871,""RU"",""UK"")"),"Різець токарний розточний глух. D20х120мм т/с / d20х120мм т/с лев")</f>
        <v>Різець токарний розточний глух. D20х120мм т/с / d20х120мм т/с лев</v>
      </c>
      <c r="C405" s="59" t="s">
        <v>6</v>
      </c>
      <c r="D405" s="159">
        <v>45689</v>
      </c>
      <c r="E405" s="91">
        <v>96</v>
      </c>
    </row>
    <row r="406" spans="1:5">
      <c r="A406" s="21">
        <f t="shared" si="5"/>
        <v>404</v>
      </c>
      <c r="B406" s="85" t="str">
        <f ca="1">IFERROR(__xludf.DUMMYFUNCTION("GOOGLETRANSLATE(B1857:B1872,""RU"",""UK"")"),"Різець токарний розточний глух. d22х120ммВК8/d24х150ммВК8")</f>
        <v>Різець токарний розточний глух. d22х120ммВК8/d24х150ммВК8</v>
      </c>
      <c r="C406" s="59" t="s">
        <v>6</v>
      </c>
      <c r="D406" s="59" t="s">
        <v>2555</v>
      </c>
      <c r="E406" s="91">
        <v>105</v>
      </c>
    </row>
    <row r="407" spans="1:5">
      <c r="A407" s="21">
        <f t="shared" si="5"/>
        <v>405</v>
      </c>
      <c r="B407" s="85" t="str">
        <f ca="1">IFERROR(__xludf.DUMMYFUNCTION("GOOGLETRANSLATE(B1858:B1873,""RU"",""UK"")"),"Різець токарний розточний глух. d25х100ммВК8/d25х110ммВК8")</f>
        <v>Різець токарний розточний глух. d25х100ммВК8/d25х110ммВК8</v>
      </c>
      <c r="C407" s="59" t="s">
        <v>6</v>
      </c>
      <c r="D407" s="59" t="s">
        <v>2557</v>
      </c>
      <c r="E407" s="91">
        <v>120</v>
      </c>
    </row>
    <row r="408" spans="1:5">
      <c r="A408" s="21">
        <f t="shared" si="5"/>
        <v>406</v>
      </c>
      <c r="B408" s="85" t="str">
        <f ca="1">IFERROR(__xludf.DUMMYFUNCTION("GOOGLETRANSLATE(B1859:B1874,""RU"",""UK"")"),"Різець токарний розточний глух. d25х140ммВК8/d25х180ммВК8")</f>
        <v>Різець токарний розточний глух. d25х140ммВК8/d25х180ммВК8</v>
      </c>
      <c r="C408" s="59" t="s">
        <v>6</v>
      </c>
      <c r="D408" s="59" t="s">
        <v>749</v>
      </c>
      <c r="E408" s="91">
        <v>123</v>
      </c>
    </row>
    <row r="409" spans="1:5">
      <c r="A409" s="21">
        <f t="shared" si="5"/>
        <v>407</v>
      </c>
      <c r="B409" s="85" t="str">
        <f ca="1">IFERROR(__xludf.DUMMYFUNCTION("GOOGLETRANSLATE(B1860:B1875,""RU"",""UK"")"),"Різець токарний розточний глух. d25х240ммВК8лев/d26х240ммлев т/с")</f>
        <v>Різець токарний розточний глух. d25х240ммВК8лев/d26х240ммлев т/с</v>
      </c>
      <c r="C409" s="59" t="s">
        <v>6</v>
      </c>
      <c r="D409" s="59" t="s">
        <v>774</v>
      </c>
      <c r="E409" s="91" t="s">
        <v>344</v>
      </c>
    </row>
    <row r="410" spans="1:5">
      <c r="A410" s="21">
        <f t="shared" si="5"/>
        <v>408</v>
      </c>
      <c r="B410" s="85" t="str">
        <f ca="1">IFERROR(__xludf.DUMMYFUNCTION("GOOGLETRANSLATE(B1861:B1876,""RU"",""UK"")"),"Різець токарний розточний глух. D30х60мм т/с/d30х100ммВК8")</f>
        <v>Різець токарний розточний глух. D30х60мм т/с/d30х100ммВК8</v>
      </c>
      <c r="C410" s="59" t="s">
        <v>6</v>
      </c>
      <c r="D410" s="59" t="s">
        <v>2561</v>
      </c>
      <c r="E410" s="91">
        <v>105</v>
      </c>
    </row>
    <row r="411" spans="1:5">
      <c r="A411" s="21">
        <f t="shared" si="5"/>
        <v>409</v>
      </c>
      <c r="B411" s="85" t="str">
        <f ca="1">IFERROR(__xludf.DUMMYFUNCTION("GOOGLETRANSLATE(B1862:B1877,""RU"",""UK"")"),"Різець токарний розточний глух. ВК8 16х16х140")</f>
        <v>Різець токарний розточний глух. ВК8 16х16х140</v>
      </c>
      <c r="C411" s="59" t="s">
        <v>6</v>
      </c>
      <c r="D411" s="59">
        <v>19</v>
      </c>
      <c r="E411" s="91" t="s">
        <v>185</v>
      </c>
    </row>
    <row r="412" spans="1:5">
      <c r="A412" s="21">
        <f t="shared" si="5"/>
        <v>410</v>
      </c>
      <c r="B412" s="85" t="str">
        <f ca="1">IFERROR(__xludf.DUMMYFUNCTION("GOOGLETRANSLATE(B1863:B1878,""RU"",""UK"")"),"Різець токарний розточний глух. ВК8 16х16х160/16х16х170")</f>
        <v>Різець токарний розточний глух. ВК8 16х16х160/16х16х170</v>
      </c>
      <c r="C412" s="59" t="s">
        <v>6</v>
      </c>
      <c r="D412" s="159">
        <v>45869</v>
      </c>
      <c r="E412" s="91" t="s">
        <v>1194</v>
      </c>
    </row>
    <row r="413" spans="1:5">
      <c r="A413" s="21">
        <f t="shared" si="5"/>
        <v>411</v>
      </c>
      <c r="B413" s="85" t="str">
        <f ca="1">IFERROR(__xludf.DUMMYFUNCTION("GOOGLETRANSLATE(B1864:B1879,""RU"",""UK"")"),"Різець токарний розточний глух. ВК8 20х20х140/20х16х160/25х25х140")</f>
        <v>Різець токарний розточний глух. ВК8 20х20х140/20х16х160/25х25х140</v>
      </c>
      <c r="C413" s="59" t="s">
        <v>6</v>
      </c>
      <c r="D413" s="59" t="s">
        <v>6130</v>
      </c>
      <c r="E413" s="91" t="s">
        <v>344</v>
      </c>
    </row>
    <row r="414" spans="1:5">
      <c r="A414" s="21">
        <f t="shared" si="5"/>
        <v>412</v>
      </c>
      <c r="B414" s="85" t="str">
        <f ca="1">IFERROR(__xludf.DUMMYFUNCTION("GOOGLETRANSLATE(B1865:B1880,""RU"",""UK"")"),"Різець токарний розточний глух. ВК8 20х16х200")</f>
        <v>Різець токарний розточний глух. ВК8 20х16х200</v>
      </c>
      <c r="C414" s="59" t="s">
        <v>6</v>
      </c>
      <c r="D414" s="59">
        <v>129</v>
      </c>
      <c r="E414" s="91">
        <v>142</v>
      </c>
    </row>
    <row r="415" spans="1:5">
      <c r="A415" s="21">
        <f t="shared" si="5"/>
        <v>413</v>
      </c>
      <c r="B415" s="85" t="str">
        <f ca="1">IFERROR(__xludf.DUMMYFUNCTION("GOOGLETRANSLATE(B1866:B1881,""RU"",""UK"")"),"Різець токарний розточний глух. ВК8 20х18х200")</f>
        <v>Різець токарний розточний глух. ВК8 20х18х200</v>
      </c>
      <c r="C415" s="59" t="s">
        <v>6</v>
      </c>
      <c r="D415" s="59">
        <v>15</v>
      </c>
      <c r="E415" s="91" t="s">
        <v>317</v>
      </c>
    </row>
    <row r="416" spans="1:5">
      <c r="A416" s="21">
        <f t="shared" si="5"/>
        <v>414</v>
      </c>
      <c r="B416" s="85" t="str">
        <f ca="1">IFERROR(__xludf.DUMMYFUNCTION("GOOGLETRANSLATE(B1867:B1882,""RU"",""UK"")"),"Різець токарний розточний глух. ВК8 20х20х200")</f>
        <v>Різець токарний розточний глух. ВК8 20х20х200</v>
      </c>
      <c r="C416" s="59" t="s">
        <v>6</v>
      </c>
      <c r="D416" s="59">
        <v>260</v>
      </c>
      <c r="E416" s="91" t="s">
        <v>2404</v>
      </c>
    </row>
    <row r="417" spans="1:5">
      <c r="A417" s="21">
        <f t="shared" si="5"/>
        <v>415</v>
      </c>
      <c r="B417" s="85" t="str">
        <f ca="1">IFERROR(__xludf.DUMMYFUNCTION("GOOGLETRANSLATE(B1868:B1883,""RU"",""UK"")"),"Різець токарний розточний глух. ВК8 25х16х200/25х25х170")</f>
        <v>Різець токарний розточний глух. ВК8 25х16х200/25х25х170</v>
      </c>
      <c r="C417" s="59" t="s">
        <v>6</v>
      </c>
      <c r="D417" s="59" t="s">
        <v>6257</v>
      </c>
      <c r="E417" s="91">
        <v>153</v>
      </c>
    </row>
    <row r="418" spans="1:5">
      <c r="A418" s="21">
        <f t="shared" si="5"/>
        <v>416</v>
      </c>
      <c r="B418" s="85" t="str">
        <f ca="1">IFERROR(__xludf.DUMMYFUNCTION("GOOGLETRANSLATE(B1869:B1884,""RU"",""UK"")"),"Різець токарний розточний глух. ВК8 25х20х240 / 25х25х180лев")</f>
        <v>Різець токарний розточний глух. ВК8 25х20х240 / 25х25х180лев</v>
      </c>
      <c r="C418" s="59" t="s">
        <v>6</v>
      </c>
      <c r="D418" s="59" t="s">
        <v>6347</v>
      </c>
      <c r="E418" s="91">
        <v>156</v>
      </c>
    </row>
    <row r="419" spans="1:5">
      <c r="A419" s="21">
        <f t="shared" si="5"/>
        <v>417</v>
      </c>
      <c r="B419" s="85" t="str">
        <f ca="1">IFERROR(__xludf.DUMMYFUNCTION("GOOGLETRANSLATE(B1870:B1885,""RU"",""UK"")"),"Різець токарний розточний глух. ВК8 25х25х240/30х25х200")</f>
        <v>Різець токарний розточний глух. ВК8 25х25х240/30х25х200</v>
      </c>
      <c r="C419" s="59" t="s">
        <v>6</v>
      </c>
      <c r="D419" s="59" t="s">
        <v>6093</v>
      </c>
      <c r="E419" s="91" t="s">
        <v>265</v>
      </c>
    </row>
    <row r="420" spans="1:5">
      <c r="A420" s="21">
        <f t="shared" si="5"/>
        <v>418</v>
      </c>
      <c r="B420" s="85" t="str">
        <f ca="1">IFERROR(__xludf.DUMMYFUNCTION("GOOGLETRANSLATE(B1871:B1886,""RU"",""UK"")"),"Різець токарний розточний глух. ВК8 30х25х240")</f>
        <v>Різець токарний розточний глух. ВК8 30х25х240</v>
      </c>
      <c r="C420" s="59" t="s">
        <v>6</v>
      </c>
      <c r="D420" s="59">
        <v>2</v>
      </c>
      <c r="E420" s="91" t="s">
        <v>119</v>
      </c>
    </row>
    <row r="421" spans="1:5">
      <c r="A421" s="21">
        <f t="shared" si="5"/>
        <v>419</v>
      </c>
      <c r="B421" s="85" t="str">
        <f ca="1">IFERROR(__xludf.DUMMYFUNCTION("GOOGLETRANSLATE(B1872:B1887,""RU"",""UK"")"),"Різець токарний розточний глух. ВК8 32х25х270")</f>
        <v>Різець токарний розточний глух. ВК8 32х25х270</v>
      </c>
      <c r="C421" s="59" t="s">
        <v>6</v>
      </c>
      <c r="D421" s="59">
        <v>13</v>
      </c>
      <c r="E421" s="91" t="s">
        <v>327</v>
      </c>
    </row>
    <row r="422" spans="1:5">
      <c r="A422" s="21">
        <f t="shared" si="5"/>
        <v>420</v>
      </c>
      <c r="B422" s="85" t="str">
        <f ca="1">IFERROR(__xludf.DUMMYFUNCTION("GOOGLETRANSLATE(B1873:B1888,""RU"",""UK"")"),"Різець токарний розточний глух. ВК8 32х25х175")</f>
        <v>Різець токарний розточний глух. ВК8 32х25х175</v>
      </c>
      <c r="C422" s="59" t="s">
        <v>6</v>
      </c>
      <c r="D422" s="59">
        <v>101</v>
      </c>
      <c r="E422" s="91" t="s">
        <v>119</v>
      </c>
    </row>
    <row r="423" spans="1:5">
      <c r="A423" s="21">
        <f t="shared" si="5"/>
        <v>421</v>
      </c>
      <c r="B423" s="85" t="str">
        <f ca="1">IFERROR(__xludf.DUMMYFUNCTION("GOOGLETRANSLATE(B1873:B1888,""RU"",""UK"")"),"Різець токарний розточний глух. ВК8 32х25х280")</f>
        <v>Різець токарний розточний глух. ВК8 32х25х280</v>
      </c>
      <c r="C423" s="59" t="s">
        <v>6</v>
      </c>
      <c r="D423" s="59">
        <v>0</v>
      </c>
      <c r="E423" s="91">
        <v>240</v>
      </c>
    </row>
    <row r="424" spans="1:5">
      <c r="A424" s="21">
        <f t="shared" si="5"/>
        <v>422</v>
      </c>
      <c r="B424" s="85" t="str">
        <f ca="1">IFERROR(__xludf.DUMMYFUNCTION("GOOGLETRANSLATE(B1874:B1889,""RU"",""UK"")"),"Різець токарний розточний глух. ВК8 30х25х400/32х30х300")</f>
        <v>Різець токарний розточний глух. ВК8 30х25х400/32х30х300</v>
      </c>
      <c r="C424" s="59" t="s">
        <v>6</v>
      </c>
      <c r="D424" s="59" t="s">
        <v>2037</v>
      </c>
      <c r="E424" s="91">
        <v>270</v>
      </c>
    </row>
    <row r="425" spans="1:5">
      <c r="A425" s="21">
        <f t="shared" si="5"/>
        <v>423</v>
      </c>
      <c r="B425" s="85" t="str">
        <f ca="1">IFERROR(__xludf.DUMMYFUNCTION("GOOGLETRANSLATE(B1875:B1890,""RU"",""UK"")"),"Різець токарний розточний глух. ВК8 20х20х170лев")</f>
        <v>Різець токарний розточний глух. ВК8 20х20х170лев</v>
      </c>
      <c r="C425" s="59" t="s">
        <v>6</v>
      </c>
      <c r="D425" s="59">
        <v>1</v>
      </c>
      <c r="E425" s="91" t="s">
        <v>344</v>
      </c>
    </row>
    <row r="426" spans="1:5">
      <c r="A426" s="21">
        <f t="shared" si="5"/>
        <v>424</v>
      </c>
      <c r="B426" s="85" t="str">
        <f ca="1">IFERROR(__xludf.DUMMYFUNCTION("GOOGLETRANSLATE(B1876:B1891,""RU"",""UK"")"),"Різець токарний розточний глух. ВК8 25х25х200лев / 25х25х240лев")</f>
        <v>Різець токарний розточний глух. ВК8 25х25х200лев / 25х25х240лев</v>
      </c>
      <c r="C426" s="59" t="s">
        <v>6</v>
      </c>
      <c r="D426" s="159">
        <v>45748</v>
      </c>
      <c r="E426" s="91" t="s">
        <v>319</v>
      </c>
    </row>
    <row r="427" spans="1:5">
      <c r="A427" s="21">
        <f t="shared" si="5"/>
        <v>425</v>
      </c>
      <c r="B427" s="85" t="str">
        <f ca="1">IFERROR(__xludf.DUMMYFUNCTION("GOOGLETRANSLATE(B1877:B1892,""RU"",""UK"")"),"Різець токарний розточний глух. т/с 32х25х200лев")</f>
        <v>Різець токарний розточний глух. т/с 32х25х200лев</v>
      </c>
      <c r="C427" s="59" t="s">
        <v>6</v>
      </c>
      <c r="D427" s="59">
        <v>2</v>
      </c>
      <c r="E427" s="91" t="s">
        <v>319</v>
      </c>
    </row>
    <row r="428" spans="1:5">
      <c r="A428" s="21">
        <f t="shared" si="5"/>
        <v>426</v>
      </c>
      <c r="B428" s="85" t="str">
        <f ca="1">IFERROR(__xludf.DUMMYFUNCTION("GOOGLETRANSLATE(B1878:B1893,""RU"",""UK"")"),"Різець токарний розточний скв.відв т/с d16х55лев / d16х120лев")</f>
        <v>Різець токарний розточний скв.відв т/с d16х55лев / d16х120лев</v>
      </c>
      <c r="C428" s="59" t="s">
        <v>6</v>
      </c>
      <c r="D428" s="59" t="s">
        <v>2584</v>
      </c>
      <c r="E428" s="91" t="s">
        <v>181</v>
      </c>
    </row>
    <row r="429" spans="1:5">
      <c r="A429" s="21">
        <f t="shared" si="5"/>
        <v>427</v>
      </c>
      <c r="B429" s="85" t="str">
        <f ca="1">IFERROR(__xludf.DUMMYFUNCTION("GOOGLETRANSLATE(B1879:B1894,""RU"",""UK"")"),"Різець токарний розточний скв.відв ВК8 d18х85/d18х90/d19х80лев")</f>
        <v>Різець токарний розточний скв.відв ВК8 d18х85/d18х90/d19х80лев</v>
      </c>
      <c r="C429" s="59" t="s">
        <v>6</v>
      </c>
      <c r="D429" s="59" t="s">
        <v>2586</v>
      </c>
      <c r="E429" s="91" t="s">
        <v>226</v>
      </c>
    </row>
    <row r="430" spans="1:5">
      <c r="A430" s="21">
        <f t="shared" si="5"/>
        <v>428</v>
      </c>
      <c r="B430" s="85" t="str">
        <f ca="1">IFERROR(__xludf.DUMMYFUNCTION("GOOGLETRANSLATE(B1880:B1895,""RU"",""UK"")"),"Різець токарний розточний скв.відв ВК8 d25х120")</f>
        <v>Різець токарний розточний скв.відв ВК8 d25х120</v>
      </c>
      <c r="C430" s="59" t="s">
        <v>6</v>
      </c>
      <c r="D430" s="59">
        <v>5</v>
      </c>
      <c r="E430" s="91" t="s">
        <v>185</v>
      </c>
    </row>
    <row r="431" spans="1:5">
      <c r="A431" s="21">
        <f t="shared" ref="A431:A497" si="6">A430+1</f>
        <v>429</v>
      </c>
      <c r="B431" s="85" t="str">
        <f ca="1">IFERROR(__xludf.DUMMYFUNCTION("GOOGLETRANSLATE(B1881:B1896,""RU"",""UK"")"),"Різець токарний розточний скв.відв ВК8 d25х160лев / d25х230лев")</f>
        <v>Різець токарний розточний скв.відв ВК8 d25х160лев / d25х230лев</v>
      </c>
      <c r="C431" s="59" t="s">
        <v>6</v>
      </c>
      <c r="D431" s="59" t="s">
        <v>2589</v>
      </c>
      <c r="E431" s="91" t="s">
        <v>136</v>
      </c>
    </row>
    <row r="432" spans="1:5">
      <c r="A432" s="21">
        <f t="shared" si="6"/>
        <v>430</v>
      </c>
      <c r="B432" s="85" t="str">
        <f ca="1">IFERROR(__xludf.DUMMYFUNCTION("GOOGLETRANSLATE(B1882:B1897,""RU"",""UK"")"),"Різець токарний розточний скв.відв т/с d26х200лев / d25х230лев")</f>
        <v>Різець токарний розточний скв.відв т/с d26х200лев / d25х230лев</v>
      </c>
      <c r="C432" s="59" t="s">
        <v>6</v>
      </c>
      <c r="D432" s="59" t="s">
        <v>2589</v>
      </c>
      <c r="E432" s="91" t="s">
        <v>136</v>
      </c>
    </row>
    <row r="433" spans="1:5">
      <c r="A433" s="21">
        <f t="shared" si="6"/>
        <v>431</v>
      </c>
      <c r="B433" s="85" t="str">
        <f ca="1">IFERROR(__xludf.DUMMYFUNCTION("GOOGLETRANSLATE(B1883:B1898,""RU"",""UK"")"),"Різець токарний розточний скв.відв ВК8 16х12х170/16х16х140")</f>
        <v>Різець токарний розточний скв.відв ВК8 16х12х170/16х16х140</v>
      </c>
      <c r="C433" s="59" t="s">
        <v>6</v>
      </c>
      <c r="D433" s="59" t="s">
        <v>2592</v>
      </c>
      <c r="E433" s="91">
        <v>105</v>
      </c>
    </row>
    <row r="434" spans="1:5">
      <c r="A434" s="21">
        <f t="shared" si="6"/>
        <v>432</v>
      </c>
      <c r="B434" s="85" t="str">
        <f ca="1">IFERROR(__xludf.DUMMYFUNCTION("GOOGLETRANSLATE(B1884:B1899,""RU"",""UK"")"),"Різець токарний розточний скв.відв ВК8 16х16х150")</f>
        <v>Різець токарний розточний скв.відв ВК8 16х16х150</v>
      </c>
      <c r="C434" s="59" t="s">
        <v>6</v>
      </c>
      <c r="D434" s="59">
        <v>38</v>
      </c>
      <c r="E434" s="91" t="s">
        <v>185</v>
      </c>
    </row>
    <row r="435" spans="1:5">
      <c r="A435" s="21">
        <f t="shared" si="6"/>
        <v>433</v>
      </c>
      <c r="B435" s="85" t="str">
        <f ca="1">IFERROR(__xludf.DUMMYFUNCTION("GOOGLETRANSLATE(B1885:B1900,""RU"",""UK"")"),"Різець токарний розточний скв.відв ВК8 16х16х170/18х18х140")</f>
        <v>Різець токарний розточний скв.відв ВК8 16х16х170/18х18х140</v>
      </c>
      <c r="C435" s="59" t="s">
        <v>6</v>
      </c>
      <c r="D435" s="59" t="s">
        <v>6410</v>
      </c>
      <c r="E435" s="91" t="s">
        <v>1990</v>
      </c>
    </row>
    <row r="436" spans="1:5">
      <c r="A436" s="21">
        <f t="shared" si="6"/>
        <v>434</v>
      </c>
      <c r="B436" s="85" t="str">
        <f ca="1">IFERROR(__xludf.DUMMYFUNCTION("GOOGLETRANSLATE(B1886:B1901,""RU"",""UK"")"),"Різець токарний розточний скв.відв ВК8 20х20х170/20х16х210")</f>
        <v>Різець токарний розточний скв.відв ВК8 20х20х170/20х16х210</v>
      </c>
      <c r="C436" s="59" t="s">
        <v>6</v>
      </c>
      <c r="D436" s="59" t="s">
        <v>2597</v>
      </c>
      <c r="E436" s="91" t="s">
        <v>194</v>
      </c>
    </row>
    <row r="437" spans="1:5">
      <c r="A437" s="21">
        <f t="shared" si="6"/>
        <v>435</v>
      </c>
      <c r="B437" s="85" t="str">
        <f ca="1">IFERROR(__xludf.DUMMYFUNCTION("GOOGLETRANSLATE(B1887:B1902,""RU"",""UK"")"),"Різець токарний розточний скв.відв ВК8 20х20х200/25х16х200")</f>
        <v>Різець токарний розточний скв.відв ВК8 20х20х200/25х16х200</v>
      </c>
      <c r="C437" s="59" t="s">
        <v>6</v>
      </c>
      <c r="D437" s="59" t="s">
        <v>6258</v>
      </c>
      <c r="E437" s="91">
        <v>148</v>
      </c>
    </row>
    <row r="438" spans="1:5">
      <c r="A438" s="21">
        <f t="shared" si="6"/>
        <v>436</v>
      </c>
      <c r="B438" s="85" t="str">
        <f ca="1">IFERROR(__xludf.DUMMYFUNCTION("GOOGLETRANSLATE(B1888:B1903,""RU"",""UK"")"),"Різець токарний розточний скв.відв ВК8 20х20х160лев")</f>
        <v>Різець токарний розточний скв.відв ВК8 20х20х160лев</v>
      </c>
      <c r="C438" s="59" t="s">
        <v>6</v>
      </c>
      <c r="D438" s="59">
        <v>4</v>
      </c>
      <c r="E438" s="91" t="s">
        <v>319</v>
      </c>
    </row>
    <row r="439" spans="1:5">
      <c r="A439" s="21">
        <f t="shared" si="6"/>
        <v>437</v>
      </c>
      <c r="B439" s="85" t="str">
        <f ca="1">IFERROR(__xludf.DUMMYFUNCTION("GOOGLETRANSLATE(B1889:B1904,""RU"",""UK"")"),"Різець токарний розточний скв.відв ВК8 25х25х160лев")</f>
        <v>Різець токарний розточний скв.відв ВК8 25х25х160лев</v>
      </c>
      <c r="C439" s="59" t="s">
        <v>6</v>
      </c>
      <c r="D439" s="59">
        <v>22</v>
      </c>
      <c r="E439" s="91" t="s">
        <v>1570</v>
      </c>
    </row>
    <row r="440" spans="1:5">
      <c r="A440" s="21">
        <f t="shared" si="6"/>
        <v>438</v>
      </c>
      <c r="B440" s="85" t="str">
        <f ca="1">IFERROR(__xludf.DUMMYFUNCTION("GOOGLETRANSLATE(B1890:B1905,""RU"",""UK"")"),"Різець токарний розточний скв.відв ВК8 25х25х280лев")</f>
        <v>Різець токарний розточний скв.відв ВК8 25х25х280лев</v>
      </c>
      <c r="C440" s="59" t="s">
        <v>6</v>
      </c>
      <c r="D440" s="59">
        <v>4</v>
      </c>
      <c r="E440" s="91" t="s">
        <v>265</v>
      </c>
    </row>
    <row r="441" spans="1:5">
      <c r="A441" s="21">
        <f t="shared" si="6"/>
        <v>439</v>
      </c>
      <c r="B441" s="85" t="str">
        <f ca="1">IFERROR(__xludf.DUMMYFUNCTION("GOOGLETRANSLATE(B1891:B1906,""RU"",""UK"")"),"Різець токарний розточний скв.відв ВК8 25х25х200/28х30х200")</f>
        <v>Різець токарний розточний скв.відв ВК8 25х25х200/28х30х200</v>
      </c>
      <c r="C441" s="59" t="s">
        <v>6</v>
      </c>
      <c r="D441" s="59" t="s">
        <v>6092</v>
      </c>
      <c r="E441" s="91" t="s">
        <v>567</v>
      </c>
    </row>
    <row r="442" spans="1:5">
      <c r="A442" s="21">
        <f t="shared" si="6"/>
        <v>440</v>
      </c>
      <c r="B442" s="85" t="str">
        <f ca="1">IFERROR(__xludf.DUMMYFUNCTION("GOOGLETRANSLATE(B1892:B1907,""RU"",""UK"")"),"Різець токарний розточний скв.відп. ВК8 25х20х240/25х25х230")</f>
        <v>Різець токарний розточний скв.відп. ВК8 25х20х240/25х25х230</v>
      </c>
      <c r="C442" s="59" t="s">
        <v>6</v>
      </c>
      <c r="D442" s="59" t="s">
        <v>2606</v>
      </c>
      <c r="E442" s="91" t="s">
        <v>1320</v>
      </c>
    </row>
    <row r="443" spans="1:5">
      <c r="A443" s="21">
        <f t="shared" si="6"/>
        <v>441</v>
      </c>
      <c r="B443" s="85" t="str">
        <f ca="1">IFERROR(__xludf.DUMMYFUNCTION("GOOGLETRANSLATE(B1893:B1908,""RU"",""UK"")"),"Різець токарний розточний скв.відп. ВК8 25х25х260")</f>
        <v>Різець токарний розточний скв.відп. ВК8 25х25х260</v>
      </c>
      <c r="C443" s="59"/>
      <c r="D443" s="59">
        <v>7</v>
      </c>
      <c r="E443" s="91" t="s">
        <v>119</v>
      </c>
    </row>
    <row r="444" spans="1:5">
      <c r="A444" s="21">
        <f t="shared" si="6"/>
        <v>442</v>
      </c>
      <c r="B444" s="85" t="str">
        <f ca="1">IFERROR(__xludf.DUMMYFUNCTION("GOOGLETRANSLATE(B1894:B1909,""RU"",""UK"")"),"Різець токарний розточний скв.відп. ВК8 30х16х160")</f>
        <v>Різець токарний розточний скв.відп. ВК8 30х16х160</v>
      </c>
      <c r="C444" s="59" t="s">
        <v>6</v>
      </c>
      <c r="D444" s="59">
        <v>5</v>
      </c>
      <c r="E444" s="91" t="s">
        <v>319</v>
      </c>
    </row>
    <row r="445" spans="1:5">
      <c r="A445" s="21">
        <f t="shared" si="6"/>
        <v>443</v>
      </c>
      <c r="B445" s="85" t="str">
        <f ca="1">IFERROR(__xludf.DUMMYFUNCTION("GOOGLETRANSLATE(B1895:B1910,""RU"",""UK"")"),"Різець токарний розточний скв.відп. ВК8 30х20х240")</f>
        <v>Різець токарний розточний скв.відп. ВК8 30х20х240</v>
      </c>
      <c r="C445" s="59" t="s">
        <v>6</v>
      </c>
      <c r="D445" s="59">
        <v>3</v>
      </c>
      <c r="E445" s="91" t="s">
        <v>327</v>
      </c>
    </row>
    <row r="446" spans="1:5">
      <c r="A446" s="21">
        <f t="shared" si="6"/>
        <v>444</v>
      </c>
      <c r="B446" s="85" t="str">
        <f ca="1">IFERROR(__xludf.DUMMYFUNCTION("GOOGLETRANSLATE(B1896:B1911,""RU"",""UK"")"),"Різець токарний розточний скв.відп. ВК8 32х25х270/30х25х290")</f>
        <v>Різець токарний розточний скв.відп. ВК8 32х25х270/30х25х290</v>
      </c>
      <c r="C446" s="59" t="s">
        <v>6</v>
      </c>
      <c r="D446" s="59" t="s">
        <v>6091</v>
      </c>
      <c r="E446" s="91" t="s">
        <v>140</v>
      </c>
    </row>
    <row r="447" spans="1:5">
      <c r="A447" s="21">
        <f t="shared" si="6"/>
        <v>445</v>
      </c>
      <c r="B447" s="85" t="str">
        <f ca="1">IFERROR(__xludf.DUMMYFUNCTION("GOOGLETRANSLATE(B1897:B1912,""RU"",""UK"")"),"Різець токарний розточний скв.відп. ВК8 32х25х370")</f>
        <v>Різець токарний розточний скв.відп. ВК8 32х25х370</v>
      </c>
      <c r="C447" s="59" t="s">
        <v>6</v>
      </c>
      <c r="D447" s="59">
        <v>1</v>
      </c>
      <c r="E447" s="91" t="s">
        <v>569</v>
      </c>
    </row>
    <row r="448" spans="1:5">
      <c r="A448" s="21">
        <f t="shared" si="6"/>
        <v>446</v>
      </c>
      <c r="B448" s="85" t="str">
        <f ca="1">IFERROR(__xludf.DUMMYFUNCTION("GOOGLETRANSLATE(B1898:B1913,""RU"",""UK"")"),"Різець токарний розточний скв.відп. ВК8 40х30х250")</f>
        <v>Різець токарний розточний скв.відп. ВК8 40х30х250</v>
      </c>
      <c r="C448" s="59" t="s">
        <v>6</v>
      </c>
      <c r="D448" s="59">
        <v>3</v>
      </c>
      <c r="E448" s="91" t="s">
        <v>20</v>
      </c>
    </row>
    <row r="449" spans="1:5">
      <c r="A449" s="21">
        <f t="shared" si="6"/>
        <v>447</v>
      </c>
      <c r="B449" s="85" t="str">
        <f ca="1">IFERROR(__xludf.DUMMYFUNCTION("GOOGLETRANSLATE(B1899:B1914,""RU"",""UK"")"),"Різець токарний розточний скв.відп. ВК8 40х30х300")</f>
        <v>Різець токарний розточний скв.відп. ВК8 40х30х300</v>
      </c>
      <c r="C449" s="59" t="s">
        <v>6</v>
      </c>
      <c r="D449" s="59">
        <v>4</v>
      </c>
      <c r="E449" s="91" t="s">
        <v>24</v>
      </c>
    </row>
    <row r="450" spans="1:5">
      <c r="A450" s="21">
        <f t="shared" si="6"/>
        <v>448</v>
      </c>
      <c r="B450" s="85" t="str">
        <f ca="1">IFERROR(__xludf.DUMMYFUNCTION("GOOGLETRANSLATE(B1902:B1917,""RU"",""UK"")"),"Різець токарний розточний глухий. Відп. Р6М5 d8х85")</f>
        <v>Різець токарний розточний глухий. Відп. Р6М5 d8х85</v>
      </c>
      <c r="C450" s="59" t="s">
        <v>6</v>
      </c>
      <c r="D450" s="59">
        <v>1</v>
      </c>
      <c r="E450" s="91" t="s">
        <v>253</v>
      </c>
    </row>
    <row r="451" spans="1:5">
      <c r="A451" s="21">
        <f t="shared" si="6"/>
        <v>449</v>
      </c>
      <c r="B451" s="85" t="str">
        <f ca="1">IFERROR(__xludf.DUMMYFUNCTION("GOOGLETRANSLATE(B1903:B1918,""RU"",""UK"")"),"Різець токарний розточувальний вкв. Відп. Р6М5 10х10х120")</f>
        <v>Різець токарний розточувальний вкв. Відп. Р6М5 10х10х120</v>
      </c>
      <c r="C451" s="59" t="s">
        <v>6</v>
      </c>
      <c r="D451" s="59">
        <v>1</v>
      </c>
      <c r="E451" s="91" t="s">
        <v>183</v>
      </c>
    </row>
    <row r="452" spans="1:5">
      <c r="A452" s="21">
        <f t="shared" si="6"/>
        <v>450</v>
      </c>
      <c r="B452" s="85" t="str">
        <f ca="1">IFERROR(__xludf.DUMMYFUNCTION("GOOGLETRANSLATE(B1904:B1919,""RU"",""UK"")"),"Різець токарний розточувальний вкв. Відп. Р6М5 d15х70/14х14х130")</f>
        <v>Різець токарний розточувальний вкв. Відп. Р6М5 d15х70/14х14х130</v>
      </c>
      <c r="C452" s="59" t="s">
        <v>6</v>
      </c>
      <c r="D452" s="59" t="s">
        <v>2622</v>
      </c>
      <c r="E452" s="91" t="s">
        <v>255</v>
      </c>
    </row>
    <row r="453" spans="1:5">
      <c r="A453" s="21">
        <f t="shared" si="6"/>
        <v>451</v>
      </c>
      <c r="B453" s="164" t="str">
        <f ca="1">IFERROR(__xludf.DUMMYFUNCTION("GOOGLETRANSLATE(B1905:B1920,""RU"",""UK"")"),"Різець токарний розточний глухий. Відп. Р9 d15х180")</f>
        <v>Різець токарний розточний глухий. Відп. Р9 d15х180</v>
      </c>
      <c r="C453" s="59" t="s">
        <v>6</v>
      </c>
      <c r="D453" s="59">
        <v>0</v>
      </c>
      <c r="E453" s="91" t="s">
        <v>564</v>
      </c>
    </row>
    <row r="454" spans="1:5">
      <c r="A454" s="21">
        <f t="shared" si="6"/>
        <v>452</v>
      </c>
      <c r="B454" s="85" t="str">
        <f ca="1">IFERROR(__xludf.DUMMYFUNCTION("GOOGLETRANSLATE(B1906:B1921,""RU"",""UK"")"),"Різець токарний розточувальний вкв. Відп. Р6М5 16х16х150")</f>
        <v>Різець токарний розточувальний вкв. Відп. Р6М5 16х16х150</v>
      </c>
      <c r="C454" s="59" t="s">
        <v>6</v>
      </c>
      <c r="D454" s="59">
        <v>10</v>
      </c>
      <c r="E454" s="91" t="s">
        <v>119</v>
      </c>
    </row>
    <row r="455" spans="1:5">
      <c r="A455" s="21">
        <f t="shared" si="6"/>
        <v>453</v>
      </c>
      <c r="B455" s="85" t="str">
        <f ca="1">IFERROR(__xludf.DUMMYFUNCTION("GOOGLETRANSLATE(B1907:B1922,""RU"",""UK"")"),"Різець токарний канавковий Р6М5 10х10х50/12х12х70/12х14х80")</f>
        <v>Різець токарний канавковий Р6М5 10х10х50/12х12х70/12х14х80</v>
      </c>
      <c r="C455" s="59" t="s">
        <v>6</v>
      </c>
      <c r="D455" s="59" t="s">
        <v>2626</v>
      </c>
      <c r="E455" s="91" t="s">
        <v>169</v>
      </c>
    </row>
    <row r="456" spans="1:5">
      <c r="A456" s="21">
        <f t="shared" si="6"/>
        <v>454</v>
      </c>
      <c r="B456" s="85" t="str">
        <f ca="1">IFERROR(__xludf.DUMMYFUNCTION("GOOGLETRANSLATE(B1908:B1923,""RU"",""UK"")"),"Різець токарний канавковий Р6М5 d15х70")</f>
        <v>Різець токарний канавковий Р6М5 d15х70</v>
      </c>
      <c r="C456" s="59" t="s">
        <v>6</v>
      </c>
      <c r="D456" s="59">
        <v>7</v>
      </c>
      <c r="E456" s="91" t="s">
        <v>209</v>
      </c>
    </row>
    <row r="457" spans="1:5">
      <c r="A457" s="21">
        <f t="shared" si="6"/>
        <v>455</v>
      </c>
      <c r="B457" s="85" t="str">
        <f ca="1">IFERROR(__xludf.DUMMYFUNCTION("GOOGLETRANSLATE(B1909:B1924,""RU"",""UK"")"),"Різець токарний канавковий Р6М5 d18х50")</f>
        <v>Різець токарний канавковий Р6М5 d18х50</v>
      </c>
      <c r="C457" s="59" t="s">
        <v>6</v>
      </c>
      <c r="D457" s="59">
        <v>3</v>
      </c>
      <c r="E457" s="91" t="s">
        <v>257</v>
      </c>
    </row>
    <row r="458" spans="1:5">
      <c r="A458" s="21">
        <f t="shared" si="6"/>
        <v>456</v>
      </c>
      <c r="B458" s="85" t="str">
        <f ca="1">IFERROR(__xludf.DUMMYFUNCTION("GOOGLETRANSLATE(B1910:B1925,""RU"",""UK"")"),"Різець токарний канавковий ВК8 d12х50/d15х75/d15х90")</f>
        <v>Різець токарний канавковий ВК8 d12х50/d15х75/d15х90</v>
      </c>
      <c r="C458" s="59" t="s">
        <v>6</v>
      </c>
      <c r="D458" s="59" t="s">
        <v>2630</v>
      </c>
      <c r="E458" s="91" t="s">
        <v>1239</v>
      </c>
    </row>
    <row r="459" spans="1:5">
      <c r="A459" s="21">
        <f t="shared" si="6"/>
        <v>457</v>
      </c>
      <c r="B459" s="85" t="str">
        <f ca="1">IFERROR(__xludf.DUMMYFUNCTION("GOOGLETRANSLATE(B1911:B1926,""RU"",""UK"")"),"Різець токарний канавковий Т15К6 10х10х60")</f>
        <v>Різець токарний канавковий Т15К6 10х10х60</v>
      </c>
      <c r="C459" s="59" t="s">
        <v>6</v>
      </c>
      <c r="D459" s="59">
        <v>19</v>
      </c>
      <c r="E459" s="91" t="s">
        <v>134</v>
      </c>
    </row>
    <row r="460" spans="1:5">
      <c r="A460" s="21">
        <f t="shared" si="6"/>
        <v>458</v>
      </c>
      <c r="B460" s="85" t="str">
        <f ca="1">IFERROR(__xludf.DUMMYFUNCTION("GOOGLETRANSLATE(B1912:B1927,""RU"",""UK"")"),"Різець токарний канавковий ВК8 12х12х50/12х12х60/тс 12х12х70")</f>
        <v>Різець токарний канавковий ВК8 12х12х50/12х12х60/тс 12х12х70</v>
      </c>
      <c r="C460" s="59" t="s">
        <v>6</v>
      </c>
      <c r="D460" s="59" t="s">
        <v>2633</v>
      </c>
      <c r="E460" s="91" t="s">
        <v>169</v>
      </c>
    </row>
    <row r="461" spans="1:5">
      <c r="A461" s="21">
        <f t="shared" si="6"/>
        <v>459</v>
      </c>
      <c r="B461" s="85" t="str">
        <f ca="1">IFERROR(__xludf.DUMMYFUNCTION("GOOGLETRANSLATE(B1913:B1928,""RU"",""UK"")"),"Різець токарний канавковий ВК8 15х16х50")</f>
        <v>Різець токарний канавковий ВК8 15х16х50</v>
      </c>
      <c r="C461" s="59" t="s">
        <v>6</v>
      </c>
      <c r="D461" s="59">
        <v>17</v>
      </c>
      <c r="E461" s="91" t="s">
        <v>201</v>
      </c>
    </row>
    <row r="462" spans="1:5">
      <c r="A462" s="21">
        <f t="shared" si="6"/>
        <v>460</v>
      </c>
      <c r="B462" s="85" t="str">
        <f ca="1">IFERROR(__xludf.DUMMYFUNCTION("GOOGLETRANSLATE(B1914:B1929,""RU"",""UK"")"),"Різець токарний канавковий ВК8 d16х160мм/12х12х70")</f>
        <v>Різець токарний канавковий ВК8 d16х160мм/12х12х70</v>
      </c>
      <c r="C462" s="59" t="s">
        <v>6</v>
      </c>
      <c r="D462" s="59" t="s">
        <v>2636</v>
      </c>
      <c r="E462" s="91" t="s">
        <v>304</v>
      </c>
    </row>
    <row r="463" spans="1:5">
      <c r="A463" s="21">
        <f t="shared" si="6"/>
        <v>461</v>
      </c>
      <c r="B463" s="85" t="str">
        <f ca="1">IFERROR(__xludf.DUMMYFUNCTION("GOOGLETRANSLATE(B1915:B1930,""RU"",""UK"")"),"Різець токарний канавковий ВК8 d20х120мм лев")</f>
        <v>Різець токарний канавковий ВК8 d20х120мм лев</v>
      </c>
      <c r="C463" s="59" t="s">
        <v>6</v>
      </c>
      <c r="D463" s="59">
        <v>4</v>
      </c>
      <c r="E463" s="91" t="s">
        <v>255</v>
      </c>
    </row>
    <row r="464" spans="1:5">
      <c r="A464" s="21">
        <f t="shared" si="6"/>
        <v>462</v>
      </c>
      <c r="B464" s="85" t="str">
        <f ca="1">IFERROR(__xludf.DUMMYFUNCTION("GOOGLETRANSLATE(B1916:B1931,""RU"",""UK"")"),"Різець токарний канавковий Т5К10 14х14х60")</f>
        <v>Різець токарний канавковий Т5К10 14х14х60</v>
      </c>
      <c r="C464" s="59" t="s">
        <v>6</v>
      </c>
      <c r="D464" s="59">
        <v>9</v>
      </c>
      <c r="E464" s="91" t="s">
        <v>304</v>
      </c>
    </row>
    <row r="465" spans="1:5">
      <c r="A465" s="21">
        <f t="shared" si="6"/>
        <v>463</v>
      </c>
      <c r="B465" s="85" t="str">
        <f ca="1">IFERROR(__xludf.DUMMYFUNCTION("GOOGLETRANSLATE(B1917:B1932,""RU"",""UK"")"),"Різець токарний канавковий Т5К10 20х20х300")</f>
        <v>Різець токарний канавковий Т5К10 20х20х300</v>
      </c>
      <c r="C465" s="59" t="s">
        <v>6</v>
      </c>
      <c r="D465" s="59">
        <v>1</v>
      </c>
      <c r="E465" s="91" t="s">
        <v>1194</v>
      </c>
    </row>
    <row r="466" spans="1:5">
      <c r="A466" s="21">
        <f t="shared" si="6"/>
        <v>464</v>
      </c>
      <c r="B466" s="85" t="str">
        <f ca="1">IFERROR(__xludf.DUMMYFUNCTION("GOOGLETRANSLATE(B1918:B1933,""RU"",""UK"")"),"Різець токарний канавковий ВК8 14х14х110/16х16х60/20х12х70")</f>
        <v>Різець токарний канавковий ВК8 14х14х110/16х16х60/20х12х70</v>
      </c>
      <c r="C466" s="59" t="s">
        <v>6</v>
      </c>
      <c r="D466" s="59" t="s">
        <v>6224</v>
      </c>
      <c r="E466" s="91" t="s">
        <v>314</v>
      </c>
    </row>
    <row r="467" spans="1:5">
      <c r="A467" s="21">
        <f t="shared" si="6"/>
        <v>465</v>
      </c>
      <c r="B467" s="85" t="str">
        <f ca="1">IFERROR(__xludf.DUMMYFUNCTION("GOOGLETRANSLATE(B1919:B1934,""RU"",""UK"")"),"Різець токарний канавковий ВК8 20х20х100/20х16х120")</f>
        <v>Різець токарний канавковий ВК8 20х20х100/20х16х120</v>
      </c>
      <c r="C467" s="59" t="s">
        <v>6</v>
      </c>
      <c r="D467" s="159" t="s">
        <v>6225</v>
      </c>
      <c r="E467" s="91" t="s">
        <v>338</v>
      </c>
    </row>
    <row r="468" spans="1:5">
      <c r="A468" s="21">
        <f t="shared" si="6"/>
        <v>466</v>
      </c>
      <c r="B468" s="85" t="str">
        <f ca="1">IFERROR(__xludf.DUMMYFUNCTION("GOOGLETRANSLATE(B1920:B1935,""RU"",""UK"")"),"Різець токарний канавковий ВК8 25х16х120")</f>
        <v>Різець токарний канавковий ВК8 25х16х120</v>
      </c>
      <c r="C468" s="59" t="s">
        <v>6</v>
      </c>
      <c r="D468" s="160">
        <v>16</v>
      </c>
      <c r="E468" s="91" t="s">
        <v>1194</v>
      </c>
    </row>
    <row r="469" spans="1:5">
      <c r="A469" s="21">
        <f t="shared" si="6"/>
        <v>467</v>
      </c>
      <c r="B469" s="85" t="str">
        <f ca="1">IFERROR(__xludf.DUMMYFUNCTION("GOOGLETRANSLATE(B1920:B1935,""RU"",""UK"")"),"Різець токарний канавковий Т15К6 25х16х120 канавка 10мм")</f>
        <v>Різець токарний канавковий Т15К6 25х16х120 канавка 10мм</v>
      </c>
      <c r="C469" s="59" t="s">
        <v>6</v>
      </c>
      <c r="D469" s="160">
        <v>20</v>
      </c>
      <c r="E469" s="91" t="s">
        <v>1194</v>
      </c>
    </row>
    <row r="470" spans="1:5">
      <c r="A470" s="21">
        <f t="shared" si="6"/>
        <v>468</v>
      </c>
      <c r="B470" s="85" t="str">
        <f ca="1">IFERROR(__xludf.DUMMYFUNCTION("GOOGLETRANSLATE(B1920:B1935,""RU"",""UK"")"),"Різець токарний канавковий ВК8 25х16х160")</f>
        <v>Різець токарний канавковий ВК8 25х16х160</v>
      </c>
      <c r="C470" s="59" t="s">
        <v>6</v>
      </c>
      <c r="D470" s="160">
        <v>7</v>
      </c>
      <c r="E470" s="91" t="s">
        <v>1194</v>
      </c>
    </row>
    <row r="471" spans="1:5">
      <c r="A471" s="21">
        <f t="shared" si="6"/>
        <v>469</v>
      </c>
      <c r="B471" s="85" t="str">
        <f ca="1">IFERROR(__xludf.DUMMYFUNCTION("GOOGLETRANSLATE(B1921:B1936,""RU"",""UK"")"),"Різець токарний канавковий т/с 25х20х140")</f>
        <v>Різець токарний канавковий т/с 25х20х140</v>
      </c>
      <c r="C471" s="59" t="s">
        <v>6</v>
      </c>
      <c r="D471" s="59">
        <v>9</v>
      </c>
      <c r="E471" s="91" t="s">
        <v>557</v>
      </c>
    </row>
    <row r="472" spans="1:5">
      <c r="A472" s="21">
        <f t="shared" si="6"/>
        <v>470</v>
      </c>
      <c r="B472" s="85" t="str">
        <f ca="1">IFERROR(__xludf.DUMMYFUNCTION("GOOGLETRANSLATE(B1922:B1937,""RU"",""UK"")"),"Різець токарний канавковий Т5К10 25х20х145")</f>
        <v>Різець токарний канавковий Т5К10 25х20х145</v>
      </c>
      <c r="C472" s="59" t="s">
        <v>6</v>
      </c>
      <c r="D472" s="59">
        <v>5</v>
      </c>
      <c r="E472" s="91" t="s">
        <v>557</v>
      </c>
    </row>
    <row r="473" spans="1:5">
      <c r="A473" s="21">
        <f t="shared" si="6"/>
        <v>471</v>
      </c>
      <c r="B473" s="85" t="s">
        <v>6345</v>
      </c>
      <c r="C473" s="59" t="s">
        <v>6</v>
      </c>
      <c r="D473" s="59">
        <v>3</v>
      </c>
      <c r="E473" s="91">
        <v>120</v>
      </c>
    </row>
    <row r="474" spans="1:5">
      <c r="A474" s="21">
        <f t="shared" si="6"/>
        <v>472</v>
      </c>
      <c r="B474" s="85" t="s">
        <v>6348</v>
      </c>
      <c r="C474" s="59" t="s">
        <v>6</v>
      </c>
      <c r="D474" s="59">
        <v>4</v>
      </c>
      <c r="E474" s="91">
        <v>120</v>
      </c>
    </row>
    <row r="475" spans="1:5">
      <c r="A475" s="21">
        <f t="shared" si="6"/>
        <v>473</v>
      </c>
      <c r="B475" s="85" t="str">
        <f ca="1">IFERROR(__xludf.DUMMYFUNCTION("GOOGLETRANSLATE(B1923:B1938,""RU"",""UK"")"),"Різець токарний канавковий ВК8 25х20х140")</f>
        <v>Різець токарний канавковий ВК8 25х20х140</v>
      </c>
      <c r="C475" s="59" t="s">
        <v>6</v>
      </c>
      <c r="D475" s="160">
        <v>3</v>
      </c>
      <c r="E475" s="91" t="s">
        <v>557</v>
      </c>
    </row>
    <row r="476" spans="1:5">
      <c r="A476" s="21">
        <f t="shared" si="6"/>
        <v>474</v>
      </c>
      <c r="B476" s="85" t="str">
        <f ca="1">IFERROR(__xludf.DUMMYFUNCTION("GOOGLETRANSLATE(B1924:B1939,""RU"",""UK"")"),"Різець токарний канавковий ВК8 25х20х240/25х20х220кут.")</f>
        <v>Різець токарний канавковий ВК8 25х20х240/25х20х220кут.</v>
      </c>
      <c r="C476" s="59" t="s">
        <v>6</v>
      </c>
      <c r="D476" s="59" t="s">
        <v>211</v>
      </c>
      <c r="E476" s="91" t="s">
        <v>319</v>
      </c>
    </row>
    <row r="477" spans="1:5">
      <c r="A477" s="21">
        <f t="shared" si="6"/>
        <v>475</v>
      </c>
      <c r="B477" s="85" t="str">
        <f ca="1">IFERROR(__xludf.DUMMYFUNCTION("GOOGLETRANSLATE(B1923:B1938,""RU"",""UK"")"),"Різець токарний канавковий ВК8 32х20х180")</f>
        <v>Різець токарний канавковий ВК8 32х20х180</v>
      </c>
      <c r="C477" s="59" t="s">
        <v>6</v>
      </c>
      <c r="D477" s="160">
        <v>2</v>
      </c>
      <c r="E477" s="91" t="s">
        <v>557</v>
      </c>
    </row>
    <row r="478" spans="1:5">
      <c r="A478" s="21">
        <f t="shared" si="6"/>
        <v>476</v>
      </c>
      <c r="B478" s="85" t="str">
        <f ca="1">IFERROR(__xludf.DUMMYFUNCTION("GOOGLETRANSLATE(B1925:B1940,""RU"",""UK"")"),"Різець токарний канавковий Т5К10 32х20х170")</f>
        <v>Різець токарний канавковий Т5К10 32х20х170</v>
      </c>
      <c r="C478" s="59" t="s">
        <v>6</v>
      </c>
      <c r="D478" s="59">
        <v>2</v>
      </c>
      <c r="E478" s="91" t="s">
        <v>319</v>
      </c>
    </row>
    <row r="479" spans="1:5">
      <c r="A479" s="21">
        <f t="shared" si="6"/>
        <v>477</v>
      </c>
      <c r="B479" s="85" t="str">
        <f ca="1">IFERROR(__xludf.DUMMYFUNCTION("GOOGLETRANSLATE(B1926:B1941,""RU"",""UK"")"),"Різець токарний канавковий Т15К6 32х22х140")</f>
        <v>Різець токарний канавковий Т15К6 32х22х140</v>
      </c>
      <c r="C479" s="59" t="s">
        <v>6</v>
      </c>
      <c r="D479" s="59">
        <v>4</v>
      </c>
      <c r="E479" s="91" t="s">
        <v>319</v>
      </c>
    </row>
    <row r="480" spans="1:5">
      <c r="A480" s="21">
        <f t="shared" si="6"/>
        <v>478</v>
      </c>
      <c r="B480" s="85" t="str">
        <f ca="1">IFERROR(__xludf.DUMMYFUNCTION("GOOGLETRANSLATE(B1927:B1942,""RU"",""UK"")"),"Різець токарний канавковий Р6М5 20х20х300")</f>
        <v>Різець токарний канавковий Р6М5 20х20х300</v>
      </c>
      <c r="C480" s="59" t="s">
        <v>6</v>
      </c>
      <c r="D480" s="59">
        <v>3</v>
      </c>
      <c r="E480" s="91" t="s">
        <v>319</v>
      </c>
    </row>
    <row r="481" spans="1:5">
      <c r="A481" s="21">
        <f t="shared" si="6"/>
        <v>479</v>
      </c>
      <c r="B481" s="85" t="str">
        <f ca="1">IFERROR(__xludf.DUMMYFUNCTION("GOOGLETRANSLATE(B1928:B1943,""RU"",""UK"")"),"Різець токарний канавковий Р6М5 16х16х220 Р9")</f>
        <v>Різець токарний канавковий Р6М5 16х16х220 Р9</v>
      </c>
      <c r="C481" s="59" t="s">
        <v>6</v>
      </c>
      <c r="D481" s="59">
        <v>1</v>
      </c>
      <c r="E481" s="91" t="s">
        <v>196</v>
      </c>
    </row>
    <row r="482" spans="1:5">
      <c r="A482" s="21">
        <f t="shared" si="6"/>
        <v>480</v>
      </c>
      <c r="B482" s="85" t="str">
        <f ca="1">IFERROR(__xludf.DUMMYFUNCTION("GOOGLETRANSLATE(B1929:B1944,""RU"",""UK"")"),"Різець токарний канавковий Р6М5 16х16х110 Р18")</f>
        <v>Різець токарний канавковий Р6М5 16х16х110 Р18</v>
      </c>
      <c r="C482" s="59" t="s">
        <v>6</v>
      </c>
      <c r="D482" s="59">
        <v>5</v>
      </c>
      <c r="E482" s="91" t="s">
        <v>194</v>
      </c>
    </row>
    <row r="483" spans="1:5">
      <c r="A483" s="21">
        <f t="shared" si="6"/>
        <v>481</v>
      </c>
      <c r="B483" s="85" t="str">
        <f ca="1">IFERROR(__xludf.DUMMYFUNCTION("GOOGLETRANSLATE(B1930:B1945,""RU"",""UK"")"),"Різець токарний канавковий Р6М5 10х8х70 Р6М5")</f>
        <v>Різець токарний канавковий Р6М5 10х8х70 Р6М5</v>
      </c>
      <c r="C483" s="59" t="s">
        <v>6</v>
      </c>
      <c r="D483" s="59">
        <v>4</v>
      </c>
      <c r="E483" s="91" t="s">
        <v>167</v>
      </c>
    </row>
    <row r="484" spans="1:5">
      <c r="A484" s="21">
        <f t="shared" si="6"/>
        <v>482</v>
      </c>
      <c r="B484" s="85" t="str">
        <f ca="1">IFERROR(__xludf.DUMMYFUNCTION("GOOGLETRANSLATE(B1931:B1946,""RU"",""UK"")"),"Різець токарний канавковий кутовий ВК8 20х16х120")</f>
        <v>Різець токарний канавковий кутовий ВК8 20х16х120</v>
      </c>
      <c r="C484" s="59" t="s">
        <v>6</v>
      </c>
      <c r="D484" s="59">
        <v>4</v>
      </c>
      <c r="E484" s="91" t="s">
        <v>614</v>
      </c>
    </row>
    <row r="485" spans="1:5">
      <c r="A485" s="21">
        <f t="shared" si="6"/>
        <v>483</v>
      </c>
      <c r="B485" s="85" t="str">
        <f ca="1">IFERROR(__xludf.DUMMYFUNCTION("GOOGLETRANSLATE(B1932:B1947,""RU"",""UK"")"),"Різець токарний канавковий кутовий ВК8 20х16х150")</f>
        <v>Різець токарний канавковий кутовий ВК8 20х16х150</v>
      </c>
      <c r="C485" s="59" t="s">
        <v>6</v>
      </c>
      <c r="D485" s="59">
        <v>4</v>
      </c>
      <c r="E485" s="91" t="s">
        <v>614</v>
      </c>
    </row>
    <row r="486" spans="1:5">
      <c r="A486" s="21">
        <f t="shared" si="6"/>
        <v>484</v>
      </c>
      <c r="B486" s="85" t="str">
        <f ca="1">IFERROR(__xludf.DUMMYFUNCTION("GOOGLETRANSLATE(B1933:B1948,""RU"",""UK"")"),"Різець токарний канавковий внутр. ВК8 8х8х70/8х8х80")</f>
        <v>Різець токарний канавковий внутр. ВК8 8х8х70/8х8х80</v>
      </c>
      <c r="C486" s="59" t="s">
        <v>6</v>
      </c>
      <c r="D486" s="59" t="s">
        <v>2658</v>
      </c>
      <c r="E486" s="91" t="s">
        <v>169</v>
      </c>
    </row>
    <row r="487" spans="1:5">
      <c r="A487" s="21">
        <f t="shared" si="6"/>
        <v>485</v>
      </c>
      <c r="B487" s="85" t="str">
        <f ca="1">IFERROR(__xludf.DUMMYFUNCTION("GOOGLETRANSLATE(B1934:B1949,""RU"",""UK"")"),"Різець токарний канавковий внутр. Тс d15х90/d15х90Р6М5")</f>
        <v>Різець токарний канавковий внутр. Тс d15х90/d15х90Р6М5</v>
      </c>
      <c r="C487" s="59" t="s">
        <v>6</v>
      </c>
      <c r="D487" s="59" t="s">
        <v>1166</v>
      </c>
      <c r="E487" s="91" t="s">
        <v>598</v>
      </c>
    </row>
    <row r="488" spans="1:5">
      <c r="A488" s="21">
        <f t="shared" si="6"/>
        <v>486</v>
      </c>
      <c r="B488" s="85" t="str">
        <f ca="1">IFERROR(__xludf.DUMMYFUNCTION("GOOGLETRANSLATE(B1935:B1950,""RU"",""UK"")"),"Різець токарний канавковий внутр. ВК8 d20х140/d32х160")</f>
        <v>Різець токарний канавковий внутр. ВК8 d20х140/d32х160</v>
      </c>
      <c r="C488" s="59" t="s">
        <v>6</v>
      </c>
      <c r="D488" s="59" t="s">
        <v>1005</v>
      </c>
      <c r="E488" s="91" t="s">
        <v>183</v>
      </c>
    </row>
    <row r="489" spans="1:5">
      <c r="A489" s="21">
        <f t="shared" si="6"/>
        <v>487</v>
      </c>
      <c r="B489" s="85" t="str">
        <f ca="1">IFERROR(__xludf.DUMMYFUNCTION("GOOGLETRANSLATE(B1936:B1951,""RU"",""UK"")"),"Різець токарний канавковий внутр. Т5К10 16х16х140")</f>
        <v>Різець токарний канавковий внутр. Т5К10 16х16х140</v>
      </c>
      <c r="C489" s="59" t="s">
        <v>6</v>
      </c>
      <c r="D489" s="59">
        <v>4</v>
      </c>
      <c r="E489" s="91" t="s">
        <v>212</v>
      </c>
    </row>
    <row r="490" spans="1:5">
      <c r="A490" s="21">
        <f t="shared" si="6"/>
        <v>488</v>
      </c>
      <c r="B490" s="85" t="str">
        <f ca="1">IFERROR(__xludf.DUMMYFUNCTION("GOOGLETRANSLATE(B1937:B1952,""RU"",""UK"")"),"Різець токарний канавковий внутр. ВК8 20х20х160/20х16х170")</f>
        <v>Різець токарний канавковий внутр. ВК8 20х20х160/20х16х170</v>
      </c>
      <c r="C490" s="59" t="s">
        <v>6</v>
      </c>
      <c r="D490" s="59" t="s">
        <v>6236</v>
      </c>
      <c r="E490" s="91" t="s">
        <v>212</v>
      </c>
    </row>
    <row r="491" spans="1:5">
      <c r="A491" s="21">
        <f t="shared" si="6"/>
        <v>489</v>
      </c>
      <c r="B491" s="85" t="str">
        <f ca="1">IFERROR(__xludf.DUMMYFUNCTION("GOOGLETRANSLATE(B1938:B1953,""RU"",""UK"")"),"Різець токарний канавковий внутр. ВК8 25х16х140/25х25х100")</f>
        <v>Різець токарний канавковий внутр. ВК8 25х16х140/25х25х100</v>
      </c>
      <c r="C491" s="59" t="s">
        <v>6</v>
      </c>
      <c r="D491" s="159">
        <v>45689</v>
      </c>
      <c r="E491" s="91" t="s">
        <v>344</v>
      </c>
    </row>
    <row r="492" spans="1:5">
      <c r="A492" s="21">
        <f t="shared" si="6"/>
        <v>490</v>
      </c>
      <c r="B492" s="85" t="str">
        <f ca="1">IFERROR(__xludf.DUMMYFUNCTION("GOOGLETRANSLATE(B1939:B1954,""RU"",""UK"")"),"Різець токарний канавковий внутр. Т/с 20х20х200/25х20х230")</f>
        <v>Різець токарний канавковий внутр. Т/с 20х20х200/25х20х230</v>
      </c>
      <c r="C492" s="59" t="s">
        <v>6</v>
      </c>
      <c r="D492" s="59" t="s">
        <v>749</v>
      </c>
      <c r="E492" s="91" t="s">
        <v>319</v>
      </c>
    </row>
    <row r="493" spans="1:5">
      <c r="A493" s="21">
        <f t="shared" si="6"/>
        <v>491</v>
      </c>
      <c r="B493" s="85" t="str">
        <f ca="1">IFERROR(__xludf.DUMMYFUNCTION("GOOGLETRANSLATE(B1940:B1955,""RU"",""UK"")"),"Різець токарний канавковий внутр. Т5К10 20х20х160")</f>
        <v>Різець токарний канавковий внутр. Т5К10 20х20х160</v>
      </c>
      <c r="C493" s="59" t="s">
        <v>6</v>
      </c>
      <c r="D493" s="59">
        <v>0</v>
      </c>
      <c r="E493" s="91" t="s">
        <v>319</v>
      </c>
    </row>
    <row r="494" spans="1:5">
      <c r="A494" s="21">
        <f t="shared" si="6"/>
        <v>492</v>
      </c>
      <c r="B494" s="85" t="str">
        <f ca="1">IFERROR(__xludf.DUMMYFUNCTION("GOOGLETRANSLATE(B1941:B1956,""RU"",""UK"")"),"Різець токарний канавковий внутр. Т/с 20х16х180")</f>
        <v>Різець токарний канавковий внутр. Т/с 20х16х180</v>
      </c>
      <c r="C494" s="59" t="s">
        <v>6</v>
      </c>
      <c r="D494" s="59">
        <v>2</v>
      </c>
      <c r="E494" s="91" t="s">
        <v>319</v>
      </c>
    </row>
    <row r="495" spans="1:5">
      <c r="A495" s="21">
        <f t="shared" si="6"/>
        <v>493</v>
      </c>
      <c r="B495" s="85" t="str">
        <f ca="1">IFERROR(__xludf.DUMMYFUNCTION("GOOGLETRANSLATE(B1942:B1957,""RU"",""UK"")"),"Різець токарний канавковий внутр. Т/с 20х20х160лев / 20х20х200 лев")</f>
        <v>Різець токарний канавковий внутр. Т/с 20х20х160лев / 20х20х200 лев</v>
      </c>
      <c r="C495" s="59" t="s">
        <v>6</v>
      </c>
      <c r="D495" s="59" t="s">
        <v>2361</v>
      </c>
      <c r="E495" s="91" t="s">
        <v>319</v>
      </c>
    </row>
    <row r="496" spans="1:5">
      <c r="A496" s="21">
        <f t="shared" si="6"/>
        <v>494</v>
      </c>
      <c r="B496" s="85" t="str">
        <f ca="1">IFERROR(__xludf.DUMMYFUNCTION("GOOGLETRANSLATE(B1943:B1958,""RU"",""UK"")"),"Різець токарний канавковий внутр. Т15К6 25х16х140/т/с 25х16х140")</f>
        <v>Різець токарний канавковий внутр. Т15К6 25х16х140/т/с 25х16х140</v>
      </c>
      <c r="C496" s="59" t="s">
        <v>6</v>
      </c>
      <c r="D496" s="159">
        <v>45659</v>
      </c>
      <c r="E496" s="91" t="s">
        <v>319</v>
      </c>
    </row>
    <row r="497" spans="1:5">
      <c r="A497" s="21">
        <f t="shared" si="6"/>
        <v>495</v>
      </c>
      <c r="B497" s="85" t="str">
        <f ca="1">IFERROR(__xludf.DUMMYFUNCTION("GOOGLETRANSLATE(B1944:B1959,""RU"",""UK"")"),"Різець токарний канавковий внутр. ВК8 25х20х160/25х25х150")</f>
        <v>Різець токарний канавковий внутр. ВК8 25х20х160/25х25х150</v>
      </c>
      <c r="C497" s="59" t="s">
        <v>6</v>
      </c>
      <c r="D497" s="59" t="s">
        <v>1005</v>
      </c>
      <c r="E497" s="91" t="s">
        <v>319</v>
      </c>
    </row>
    <row r="498" spans="1:5">
      <c r="A498" s="21">
        <f t="shared" ref="A498:A564" si="7">A497+1</f>
        <v>496</v>
      </c>
      <c r="B498" s="85" t="str">
        <f ca="1">IFERROR(__xludf.DUMMYFUNCTION("GOOGLETRANSLATE(B1945:B1960,""RU"",""UK"")"),"Різець токарний канавковий внутр. Р18 25х25х180")</f>
        <v>Різець токарний канавковий внутр. Р18 25х25х180</v>
      </c>
      <c r="C498" s="59" t="s">
        <v>6</v>
      </c>
      <c r="D498" s="59">
        <v>2</v>
      </c>
      <c r="E498" s="91" t="s">
        <v>218</v>
      </c>
    </row>
    <row r="499" spans="1:5">
      <c r="A499" s="21">
        <f t="shared" si="7"/>
        <v>497</v>
      </c>
      <c r="B499" s="85" t="str">
        <f ca="1">IFERROR(__xludf.DUMMYFUNCTION("GOOGLETRANSLATE(B1946:B1961,""RU"",""UK"")"),"Різець токарний канавковий внутр. Т5К10 25х25х240")</f>
        <v>Різець токарний канавковий внутр. Т5К10 25х25х240</v>
      </c>
      <c r="C499" s="59" t="s">
        <v>6</v>
      </c>
      <c r="D499" s="59">
        <v>1</v>
      </c>
      <c r="E499" s="91" t="s">
        <v>1570</v>
      </c>
    </row>
    <row r="500" spans="1:5">
      <c r="A500" s="21">
        <f t="shared" si="7"/>
        <v>498</v>
      </c>
      <c r="B500" s="85" t="str">
        <f ca="1">IFERROR(__xludf.DUMMYFUNCTION("GOOGLETRANSLATE(B1947:B1962,""RU"",""UK"")"),"Різець токарний канавковий внутр. ВК8 25х30х200/30х30х170")</f>
        <v>Різець токарний канавковий внутр. ВК8 25х30х200/30х30х170</v>
      </c>
      <c r="C500" s="59" t="s">
        <v>6</v>
      </c>
      <c r="D500" s="59" t="s">
        <v>774</v>
      </c>
      <c r="E500" s="91" t="s">
        <v>1559</v>
      </c>
    </row>
    <row r="501" spans="1:5">
      <c r="A501" s="21">
        <f t="shared" si="7"/>
        <v>499</v>
      </c>
      <c r="B501" s="85" t="str">
        <f ca="1">IFERROR(__xludf.DUMMYFUNCTION("GOOGLETRANSLATE(B1948:B1963,""RU"",""UK"")"),"Різець токарний канавковий внутр. Т/с 30х22х200")</f>
        <v>Різець токарний канавковий внутр. Т/с 30х22х200</v>
      </c>
      <c r="C501" s="59" t="s">
        <v>6</v>
      </c>
      <c r="D501" s="59">
        <v>1</v>
      </c>
      <c r="E501" s="91" t="s">
        <v>1559</v>
      </c>
    </row>
    <row r="502" spans="1:5">
      <c r="A502" s="21">
        <f t="shared" si="7"/>
        <v>500</v>
      </c>
      <c r="B502" s="85" t="str">
        <f ca="1">IFERROR(__xludf.DUMMYFUNCTION("GOOGLETRANSLATE(B1949:B1964,""RU"",""UK"")"),"Різець токарний канавковий внутр. ВК8 32х20х200")</f>
        <v>Різець токарний канавковий внутр. ВК8 32х20х200</v>
      </c>
      <c r="C502" s="59" t="s">
        <v>6</v>
      </c>
      <c r="D502" s="59">
        <v>2</v>
      </c>
      <c r="E502" s="91">
        <v>210</v>
      </c>
    </row>
    <row r="503" spans="1:5">
      <c r="A503" s="21">
        <f t="shared" si="7"/>
        <v>501</v>
      </c>
      <c r="B503" s="85" t="str">
        <f ca="1">IFERROR(__xludf.DUMMYFUNCTION("GOOGLETRANSLATE(B1949:B1964,""RU"",""UK"")"),"Різець токарний канавковий внутр. ВК8 32х20х170 лев")</f>
        <v>Різець токарний канавковий внутр. ВК8 32х20х170 лев</v>
      </c>
      <c r="C503" s="59" t="s">
        <v>6</v>
      </c>
      <c r="D503" s="59">
        <v>3</v>
      </c>
      <c r="E503" s="91">
        <v>210</v>
      </c>
    </row>
    <row r="504" spans="1:5">
      <c r="A504" s="21">
        <f t="shared" si="7"/>
        <v>502</v>
      </c>
      <c r="B504" s="85" t="str">
        <f ca="1">IFERROR(__xludf.DUMMYFUNCTION("GOOGLETRANSLATE(B1950:B1965,""RU"",""UK"")"),"Різець токарний канавковий внутр. Т5К10 40х30х250/лев")</f>
        <v>Різець токарний канавковий внутр. Т5К10 40х30х250/лев</v>
      </c>
      <c r="C504" s="59" t="s">
        <v>6</v>
      </c>
      <c r="D504" s="59" t="s">
        <v>710</v>
      </c>
      <c r="E504" s="91" t="s">
        <v>140</v>
      </c>
    </row>
    <row r="505" spans="1:5">
      <c r="A505" s="21">
        <f t="shared" si="7"/>
        <v>503</v>
      </c>
      <c r="B505" s="85" t="str">
        <f ca="1">IFERROR(__xludf.DUMMYFUNCTION("GOOGLETRANSLATE(B1951:B1966,""RU"",""UK"")"),"Різець канавковий (стругальний) мон-ний Р18 25х16х170")</f>
        <v>Різець канавковий (стругальний) мон-ний Р18 25х16х170</v>
      </c>
      <c r="C505" s="59" t="s">
        <v>6</v>
      </c>
      <c r="D505" s="59">
        <v>2</v>
      </c>
      <c r="E505" s="91">
        <v>350</v>
      </c>
    </row>
    <row r="506" spans="1:5">
      <c r="A506" s="21">
        <f t="shared" si="7"/>
        <v>504</v>
      </c>
      <c r="B506" s="85" t="str">
        <f ca="1">IFERROR(__xludf.DUMMYFUNCTION("GOOGLETRANSLATE(B1952:B1967,""RU"",""UK"")"),"Різець канавковий Р6М5 12х12х150/16х14х100/20х16х140")</f>
        <v>Різець канавковий Р6М5 12х12х150/16х14х100/20х16х140</v>
      </c>
      <c r="C506" s="59" t="s">
        <v>6</v>
      </c>
      <c r="D506" s="59" t="s">
        <v>2678</v>
      </c>
      <c r="E506" s="91" t="s">
        <v>136</v>
      </c>
    </row>
    <row r="507" spans="1:5">
      <c r="A507" s="21">
        <f t="shared" si="7"/>
        <v>505</v>
      </c>
      <c r="B507" s="85" t="str">
        <f ca="1">IFERROR(__xludf.DUMMYFUNCTION("GOOGLETRANSLATE(B1953:B1968,""RU"",""UK"")"),"Різець канавковий Р6М5 11х11х70/10х10х60")</f>
        <v>Різець канавковий Р6М5 11х11х70/10х10х60</v>
      </c>
      <c r="C507" s="59" t="s">
        <v>6</v>
      </c>
      <c r="D507" s="59" t="s">
        <v>2680</v>
      </c>
      <c r="E507" s="91" t="s">
        <v>167</v>
      </c>
    </row>
    <row r="508" spans="1:5">
      <c r="A508" s="21">
        <f t="shared" si="7"/>
        <v>506</v>
      </c>
      <c r="B508" s="85" t="str">
        <f ca="1">IFERROR(__xludf.DUMMYFUNCTION("GOOGLETRANSLATE(B1954:B1969,""RU"",""UK"")"),"Різець канавковий Р6М5 8х8х70/8х8х50")</f>
        <v>Різець канавковий Р6М5 8х8х70/8х8х50</v>
      </c>
      <c r="C508" s="59" t="s">
        <v>6</v>
      </c>
      <c r="D508" s="59" t="s">
        <v>2682</v>
      </c>
      <c r="E508" s="91" t="s">
        <v>124</v>
      </c>
    </row>
    <row r="509" spans="1:5">
      <c r="A509" s="21">
        <f t="shared" si="7"/>
        <v>507</v>
      </c>
      <c r="B509" s="85" t="str">
        <f ca="1">IFERROR(__xludf.DUMMYFUNCTION("GOOGLETRANSLATE(B1955:B1970,""RU"",""UK"")"),"Різець токарний фасонний т/с 8х8х70")</f>
        <v>Різець токарний фасонний т/с 8х8х70</v>
      </c>
      <c r="C509" s="59" t="s">
        <v>6</v>
      </c>
      <c r="D509" s="59">
        <v>16</v>
      </c>
      <c r="E509" s="91" t="s">
        <v>2345</v>
      </c>
    </row>
    <row r="510" spans="1:5">
      <c r="A510" s="21">
        <f t="shared" si="7"/>
        <v>508</v>
      </c>
      <c r="B510" s="85" t="str">
        <f ca="1">IFERROR(__xludf.DUMMYFUNCTION("GOOGLETRANSLATE(B1956:B1971,""RU"",""UK"")"),"Різець токарний фасонний т/с 25х20х140")</f>
        <v>Різець токарний фасонний т/с 25х20х140</v>
      </c>
      <c r="C510" s="59" t="s">
        <v>6</v>
      </c>
      <c r="D510" s="59">
        <v>53</v>
      </c>
      <c r="E510" s="91" t="s">
        <v>253</v>
      </c>
    </row>
    <row r="511" spans="1:5">
      <c r="A511" s="21">
        <f t="shared" si="7"/>
        <v>509</v>
      </c>
      <c r="B511" s="85" t="str">
        <f ca="1">IFERROR(__xludf.DUMMYFUNCTION("GOOGLETRANSLATE(B1957:B1972,""RU"",""UK"")"),"Різець токарний радіусний Р6М5 12х12х80/тс 12х12х70")</f>
        <v>Різець токарний радіусний Р6М5 12х12х80/тс 12х12х70</v>
      </c>
      <c r="C511" s="59" t="s">
        <v>6</v>
      </c>
      <c r="D511" s="59" t="s">
        <v>211</v>
      </c>
      <c r="E511" s="91" t="s">
        <v>169</v>
      </c>
    </row>
    <row r="512" spans="1:5">
      <c r="A512" s="21">
        <f t="shared" si="7"/>
        <v>510</v>
      </c>
      <c r="B512" s="85" t="str">
        <f ca="1">IFERROR(__xludf.DUMMYFUNCTION("GOOGLETRANSLATE(B1958:B1973,""RU"",""UK"")"),"Різець токарний радіусний Т15К6 12х12х55")</f>
        <v>Різець токарний радіусний Т15К6 12х12х55</v>
      </c>
      <c r="C512" s="59" t="s">
        <v>6</v>
      </c>
      <c r="D512" s="59">
        <v>1</v>
      </c>
      <c r="E512" s="91" t="s">
        <v>248</v>
      </c>
    </row>
    <row r="513" spans="1:5">
      <c r="A513" s="21">
        <f t="shared" si="7"/>
        <v>511</v>
      </c>
      <c r="B513" s="85" t="str">
        <f ca="1">IFERROR(__xludf.DUMMYFUNCTION("GOOGLETRANSLATE(B1959:B1974,""RU"",""UK"")"),"Різець токарний радіусний Т5К10 16х16х20")</f>
        <v>Різець токарний радіусний Т5К10 16х16х20</v>
      </c>
      <c r="C513" s="59" t="s">
        <v>6</v>
      </c>
      <c r="D513" s="59">
        <v>9</v>
      </c>
      <c r="E513" s="91" t="s">
        <v>169</v>
      </c>
    </row>
    <row r="514" spans="1:5">
      <c r="A514" s="21">
        <f t="shared" si="7"/>
        <v>512</v>
      </c>
      <c r="B514" s="85" t="str">
        <f ca="1">IFERROR(__xludf.DUMMYFUNCTION("GOOGLETRANSLATE(B1960:B1975,""RU"",""UK"")"),"Різець токарний радіусний ВК8 d20х120")</f>
        <v>Різець токарний радіусний ВК8 d20х120</v>
      </c>
      <c r="C514" s="59" t="s">
        <v>6</v>
      </c>
      <c r="D514" s="59">
        <v>2</v>
      </c>
      <c r="E514" s="91" t="s">
        <v>257</v>
      </c>
    </row>
    <row r="515" spans="1:5">
      <c r="A515" s="21">
        <f t="shared" si="7"/>
        <v>513</v>
      </c>
      <c r="B515" s="85" t="str">
        <f ca="1">IFERROR(__xludf.DUMMYFUNCTION("GOOGLETRANSLATE(B1961:B1976,""RU"",""UK"")"),"Різець токарний радіусний 25х20х160")</f>
        <v>Різець токарний радіусний 25х20х160</v>
      </c>
      <c r="C515" s="59" t="s">
        <v>6</v>
      </c>
      <c r="D515" s="59">
        <v>10</v>
      </c>
      <c r="E515" s="91" t="s">
        <v>564</v>
      </c>
    </row>
    <row r="516" spans="1:5">
      <c r="A516" s="21">
        <f t="shared" si="7"/>
        <v>514</v>
      </c>
      <c r="B516" s="85" t="str">
        <f ca="1">IFERROR(__xludf.DUMMYFUNCTION("GOOGLETRANSLATE(B1962:B1977,""RU"",""UK"")"),"Різець токарний радіусний транспортний засіб 16х16х100")</f>
        <v>Різець токарний радіусний транспортний засіб 16х16х100</v>
      </c>
      <c r="C516" s="59" t="s">
        <v>6</v>
      </c>
      <c r="D516" s="64">
        <v>1</v>
      </c>
      <c r="E516" s="104" t="s">
        <v>253</v>
      </c>
    </row>
    <row r="517" spans="1:5">
      <c r="A517" s="21">
        <f t="shared" si="7"/>
        <v>515</v>
      </c>
      <c r="B517" s="85" t="str">
        <f ca="1">IFERROR(__xludf.DUMMYFUNCTION("GOOGLETRANSLATE(B1963:B1978,""RU"",""UK"")"),"Різець токарний радіусний ВК8 16х16х120/20х20х90")</f>
        <v>Різець токарний радіусний ВК8 16х16х120/20х20х90</v>
      </c>
      <c r="C517" s="59" t="s">
        <v>6</v>
      </c>
      <c r="D517" s="64" t="s">
        <v>902</v>
      </c>
      <c r="E517" s="104">
        <v>80</v>
      </c>
    </row>
    <row r="518" spans="1:5">
      <c r="A518" s="21">
        <f t="shared" si="7"/>
        <v>516</v>
      </c>
      <c r="B518" s="85" t="str">
        <f ca="1">IFERROR(__xludf.DUMMYFUNCTION("GOOGLETRANSLATE(B1964:B1979,""RU"",""UK"")"),"Різець токарний радіусний ВК8 20х20х140/25х16х140")</f>
        <v>Різець токарний радіусний ВК8 20х20х140/25х16х140</v>
      </c>
      <c r="C518" s="59" t="s">
        <v>6</v>
      </c>
      <c r="D518" s="64" t="s">
        <v>942</v>
      </c>
      <c r="E518" s="104">
        <v>105</v>
      </c>
    </row>
    <row r="519" spans="1:5">
      <c r="A519" s="21">
        <f t="shared" si="7"/>
        <v>517</v>
      </c>
      <c r="B519" s="85" t="str">
        <f ca="1">IFERROR(__xludf.DUMMYFUNCTION("GOOGLETRANSLATE(B1964:B1979,""RU"",""UK"")"),"Різець токарний радіусний Т5К10 25х16х170")</f>
        <v>Різець токарний радіусний Т5К10 25х16х170</v>
      </c>
      <c r="C519" s="59" t="s">
        <v>6</v>
      </c>
      <c r="D519" s="64">
        <v>10</v>
      </c>
      <c r="E519" s="104">
        <v>125</v>
      </c>
    </row>
    <row r="520" spans="1:5">
      <c r="A520" s="21">
        <f t="shared" si="7"/>
        <v>518</v>
      </c>
      <c r="B520" s="85" t="str">
        <f ca="1">IFERROR(__xludf.DUMMYFUNCTION("GOOGLETRANSLATE(B1965:B1980,""RU"",""UK"")"),"Різець токарний радіусний ВК8 25х20х140/32х20х180")</f>
        <v>Різець токарний радіусний ВК8 25х20х140/32х20х180</v>
      </c>
      <c r="C520" s="59" t="s">
        <v>6</v>
      </c>
      <c r="D520" s="64" t="s">
        <v>920</v>
      </c>
      <c r="E520" s="104">
        <v>130</v>
      </c>
    </row>
    <row r="521" spans="1:5">
      <c r="A521" s="21">
        <f t="shared" si="7"/>
        <v>519</v>
      </c>
      <c r="B521" s="85" t="str">
        <f ca="1">IFERROR(__xludf.DUMMYFUNCTION("GOOGLETRANSLATE(B1966:B1981,""RU"",""UK"")"),"Різець токарний радіусний Р6М5 12х12х75")</f>
        <v>Різець токарний радіусний Р6М5 12х12х75</v>
      </c>
      <c r="C521" s="59" t="s">
        <v>6</v>
      </c>
      <c r="D521" s="64">
        <v>13</v>
      </c>
      <c r="E521" s="104" t="s">
        <v>314</v>
      </c>
    </row>
    <row r="522" spans="1:5">
      <c r="A522" s="21">
        <f t="shared" si="7"/>
        <v>520</v>
      </c>
      <c r="B522" s="85" t="str">
        <f ca="1">IFERROR(__xludf.DUMMYFUNCTION("GOOGLETRANSLATE(B1967:B1982,""RU"",""UK"")"),"Різець токарний радіусний Р6М5 16х16х80/16х16х100")</f>
        <v>Різець токарний радіусний Р6М5 16х16х80/16х16х100</v>
      </c>
      <c r="C522" s="59" t="s">
        <v>6</v>
      </c>
      <c r="D522" s="64" t="s">
        <v>737</v>
      </c>
      <c r="E522" s="104">
        <v>75</v>
      </c>
    </row>
    <row r="523" spans="1:5">
      <c r="A523" s="21">
        <f t="shared" si="7"/>
        <v>521</v>
      </c>
      <c r="B523" s="85" t="str">
        <f ca="1">IFERROR(__xludf.DUMMYFUNCTION("GOOGLETRANSLATE(B1968:B1983,""RU"",""UK"")"),"Різець токарний радіусний Р6М5 20х20х100")</f>
        <v>Різець токарний радіусний Р6М5 20х20х100</v>
      </c>
      <c r="C523" s="59" t="s">
        <v>6</v>
      </c>
      <c r="D523" s="64">
        <v>5</v>
      </c>
      <c r="E523" s="104" t="s">
        <v>338</v>
      </c>
    </row>
    <row r="524" spans="1:5">
      <c r="A524" s="21">
        <f t="shared" si="7"/>
        <v>522</v>
      </c>
      <c r="B524" s="85" t="str">
        <f ca="1">IFERROR(__xludf.DUMMYFUNCTION("GOOGLETRANSLATE(B1969:B1984,""RU"",""UK"")"),"Різець кутовий ВК8 12Х12Х70 / кут. 16х16х70")</f>
        <v>Різець кутовий ВК8 12Х12Х70 / кут. 16х16х70</v>
      </c>
      <c r="C524" s="59" t="s">
        <v>6</v>
      </c>
      <c r="D524" s="64" t="s">
        <v>2698</v>
      </c>
      <c r="E524" s="104" t="s">
        <v>600</v>
      </c>
    </row>
    <row r="525" spans="1:5">
      <c r="A525" s="21">
        <f t="shared" si="7"/>
        <v>523</v>
      </c>
      <c r="B525" s="85" t="str">
        <f ca="1">IFERROR(__xludf.DUMMYFUNCTION("GOOGLETRANSLATE(B1970:B1985,""RU"",""UK"")"),"Різець кутовий 60* ВК8 16Х16Х150лев.")</f>
        <v>Різець кутовий 60* ВК8 16Х16Х150лев.</v>
      </c>
      <c r="C525" s="59" t="s">
        <v>6</v>
      </c>
      <c r="D525" s="64">
        <v>5</v>
      </c>
      <c r="E525" s="104" t="s">
        <v>2700</v>
      </c>
    </row>
    <row r="526" spans="1:5">
      <c r="A526" s="21">
        <f t="shared" si="7"/>
        <v>524</v>
      </c>
      <c r="B526" s="85" t="str">
        <f ca="1">IFERROR(__xludf.DUMMYFUNCTION("GOOGLETRANSLATE(B1971:B1986,""RU"",""UK"")"),"Різець кутовий 45* ВК8 25х20х140/кут. 25х16х140 / кут. 25х16х100")</f>
        <v>Різець кутовий 45* ВК8 25х20х140/кут. 25х16х140 / кут. 25х16х100</v>
      </c>
      <c r="C526" s="59" t="s">
        <v>6</v>
      </c>
      <c r="D526" s="64" t="s">
        <v>2702</v>
      </c>
      <c r="E526" s="104" t="s">
        <v>209</v>
      </c>
    </row>
    <row r="527" spans="1:5">
      <c r="A527" s="21">
        <f t="shared" si="7"/>
        <v>525</v>
      </c>
      <c r="B527" s="85" t="str">
        <f ca="1">IFERROR(__xludf.DUMMYFUNCTION("GOOGLETRANSLATE(B1972:B1987,""RU"",""UK"")"),"Різець кутовий 45* ВК8 25х25х160лев.")</f>
        <v>Різець кутовий 45* ВК8 25х25х160лев.</v>
      </c>
      <c r="C527" s="59" t="s">
        <v>6</v>
      </c>
      <c r="D527" s="64">
        <v>14</v>
      </c>
      <c r="E527" s="104" t="s">
        <v>255</v>
      </c>
    </row>
    <row r="528" spans="1:5">
      <c r="A528" s="21">
        <f t="shared" si="7"/>
        <v>526</v>
      </c>
      <c r="B528" s="85" t="str">
        <f ca="1">IFERROR(__xludf.DUMMYFUNCTION("GOOGLETRANSLATE(B1973:B1988,""RU"",""UK"")"),"Різець кутовий ВК8 25х20х250лев / 25х25х220лев.")</f>
        <v>Різець кутовий ВК8 25х20х250лев / 25х25х220лев.</v>
      </c>
      <c r="C528" s="59" t="s">
        <v>6</v>
      </c>
      <c r="D528" s="64" t="s">
        <v>1198</v>
      </c>
      <c r="E528" s="104" t="s">
        <v>226</v>
      </c>
    </row>
    <row r="529" spans="1:5">
      <c r="A529" s="21">
        <f t="shared" si="7"/>
        <v>527</v>
      </c>
      <c r="B529" s="85" t="str">
        <f ca="1">IFERROR(__xludf.DUMMYFUNCTION("GOOGLETRANSLATE(B1974:B1989,""RU"",""UK"")"),"Різець кутовий 45* ВК8 25х16х200 / 25х20х250")</f>
        <v>Різець кутовий 45* ВК8 25х16х200 / 25х20х250</v>
      </c>
      <c r="C529" s="59" t="s">
        <v>6</v>
      </c>
      <c r="D529" s="64" t="s">
        <v>2361</v>
      </c>
      <c r="E529" s="104" t="s">
        <v>209</v>
      </c>
    </row>
    <row r="530" spans="1:5">
      <c r="A530" s="21">
        <f t="shared" si="7"/>
        <v>528</v>
      </c>
      <c r="B530" s="85" t="str">
        <f ca="1">IFERROR(__xludf.DUMMYFUNCTION("GOOGLETRANSLATE(B1975:B1990,""RU"",""UK"")"),"Різець кутовий 14х14х60")</f>
        <v>Різець кутовий 14х14х60</v>
      </c>
      <c r="C530" s="59" t="s">
        <v>6</v>
      </c>
      <c r="D530" s="64">
        <v>17</v>
      </c>
      <c r="E530" s="104" t="s">
        <v>169</v>
      </c>
    </row>
    <row r="531" spans="1:5">
      <c r="A531" s="21">
        <f t="shared" si="7"/>
        <v>529</v>
      </c>
      <c r="B531" s="85" t="str">
        <f ca="1">IFERROR(__xludf.DUMMYFUNCTION("GOOGLETRANSLATE(B1976:B1991,""RU"",""UK"")"),"Різець кутовий ВК8 25х16х140/32х20х170")</f>
        <v>Різець кутовий ВК8 25х16х140/32х20х170</v>
      </c>
      <c r="C531" s="59" t="s">
        <v>6</v>
      </c>
      <c r="D531" s="64" t="s">
        <v>2708</v>
      </c>
      <c r="E531" s="104" t="s">
        <v>257</v>
      </c>
    </row>
    <row r="532" spans="1:5">
      <c r="A532" s="21">
        <f t="shared" si="7"/>
        <v>530</v>
      </c>
      <c r="B532" s="85" t="str">
        <f ca="1">IFERROR(__xludf.DUMMYFUNCTION("GOOGLETRANSLATE(B1977:B1992,""RU"",""UK"")"),"Різець токарний кутовий 70"" Т5К10 32х20х140")</f>
        <v>Різець токарний кутовий 70" Т5К10 32х20х140</v>
      </c>
      <c r="C532" s="59" t="s">
        <v>6</v>
      </c>
      <c r="D532" s="64">
        <v>31</v>
      </c>
      <c r="E532" s="104" t="s">
        <v>226</v>
      </c>
    </row>
    <row r="533" spans="1:5">
      <c r="A533" s="21">
        <f t="shared" si="7"/>
        <v>531</v>
      </c>
      <c r="B533" s="85" t="str">
        <f ca="1">IFERROR(__xludf.DUMMYFUNCTION("GOOGLETRANSLATE(B1978:B1993,""RU"",""UK"")"),"Різець кутовий Р6М5 16х16х65/16х16х140")</f>
        <v>Різець кутовий Р6М5 16х16х65/16х16х140</v>
      </c>
      <c r="C533" s="59" t="s">
        <v>6</v>
      </c>
      <c r="D533" s="64" t="s">
        <v>2711</v>
      </c>
      <c r="E533" s="104" t="s">
        <v>136</v>
      </c>
    </row>
    <row r="534" spans="1:5">
      <c r="A534" s="21">
        <f t="shared" si="7"/>
        <v>532</v>
      </c>
      <c r="B534" s="85" t="str">
        <f ca="1">IFERROR(__xludf.DUMMYFUNCTION("GOOGLETRANSLATE(B1979:B1994,""RU"",""UK"")"),"Різець кутовий Р6М5 16х16х120")</f>
        <v>Різець кутовий Р6М5 16х16х120</v>
      </c>
      <c r="C534" s="59" t="s">
        <v>6</v>
      </c>
      <c r="D534" s="64">
        <v>3</v>
      </c>
      <c r="E534" s="104" t="s">
        <v>338</v>
      </c>
    </row>
    <row r="535" spans="1:5">
      <c r="A535" s="21">
        <f t="shared" si="7"/>
        <v>533</v>
      </c>
      <c r="B535" s="85" t="str">
        <f ca="1">IFERROR(__xludf.DUMMYFUNCTION("GOOGLETRANSLATE(B1980:B1995,""RU"",""UK"")"),"Різець стругальний Т15К6 20х16х200 / Т15К6 25х20х200")</f>
        <v>Різець стругальний Т15К6 20х16х200 / Т15К6 25х20х200</v>
      </c>
      <c r="C535" s="59" t="s">
        <v>6</v>
      </c>
      <c r="D535" s="64" t="s">
        <v>1885</v>
      </c>
      <c r="E535" s="104" t="s">
        <v>371</v>
      </c>
    </row>
    <row r="536" spans="1:5">
      <c r="A536" s="21">
        <f t="shared" si="7"/>
        <v>534</v>
      </c>
      <c r="B536" s="85" t="str">
        <f ca="1">IFERROR(__xludf.DUMMYFUNCTION("GOOGLETRANSLATE(B1981:B1996,""RU"",""UK"")"),"Різець стругальний ВК8 30х25х200 / стор канав. 32х25х230")</f>
        <v>Різець стругальний ВК8 30х25х200 / стор канав. 32х25х230</v>
      </c>
      <c r="C536" s="59" t="s">
        <v>6</v>
      </c>
      <c r="D536" s="64" t="s">
        <v>2715</v>
      </c>
      <c r="E536" s="104" t="s">
        <v>338</v>
      </c>
    </row>
    <row r="537" spans="1:5">
      <c r="A537" s="21">
        <f t="shared" si="7"/>
        <v>535</v>
      </c>
      <c r="B537" s="169" t="str">
        <f ca="1">IFERROR(__xludf.DUMMYFUNCTION("GOOGLETRANSLATE(B1982:B1997,""RU"",""UK"")"),"Різець для шківів профіль  А-25х16х140 Т15К6")</f>
        <v>Різець для шківів профіль  А-25х16х140 Т15К6</v>
      </c>
      <c r="C537" s="59" t="s">
        <v>6</v>
      </c>
      <c r="D537" s="64">
        <v>10</v>
      </c>
      <c r="E537" s="104">
        <v>180</v>
      </c>
    </row>
    <row r="538" spans="1:5">
      <c r="A538" s="21">
        <f t="shared" si="7"/>
        <v>536</v>
      </c>
      <c r="B538" s="169" t="s">
        <v>6346</v>
      </c>
      <c r="C538" s="59" t="s">
        <v>6</v>
      </c>
      <c r="D538" s="64">
        <v>10</v>
      </c>
      <c r="E538" s="104">
        <v>180</v>
      </c>
    </row>
    <row r="539" spans="1:5">
      <c r="A539" s="21">
        <f t="shared" si="7"/>
        <v>537</v>
      </c>
      <c r="B539" s="85" t="str">
        <f ca="1">IFERROR(__xludf.DUMMYFUNCTION("GOOGLETRANSLATE(B1982:B1997,""RU"",""UK"")"),"Різець для шківів профіль  Б-25х20х140 т/с")</f>
        <v>Різець для шківів профіль  Б-25х20х140 т/с</v>
      </c>
      <c r="C539" s="59" t="s">
        <v>6</v>
      </c>
      <c r="D539" s="64">
        <v>1</v>
      </c>
      <c r="E539" s="104" t="s">
        <v>327</v>
      </c>
    </row>
    <row r="540" spans="1:5">
      <c r="A540" s="21">
        <f t="shared" si="7"/>
        <v>538</v>
      </c>
      <c r="B540" s="85" t="str">
        <f ca="1">IFERROR(__xludf.DUMMYFUNCTION("GOOGLETRANSLATE(B1982:B1997,""RU"",""UK"")"),"Різець для шківів профіль  С-25х25х160 т/с")</f>
        <v>Різець для шківів профіль  С-25х25х160 т/с</v>
      </c>
      <c r="C540" s="59" t="s">
        <v>6</v>
      </c>
      <c r="D540" s="64">
        <v>7</v>
      </c>
      <c r="E540" s="104">
        <v>240</v>
      </c>
    </row>
    <row r="541" spans="1:5">
      <c r="A541" s="21">
        <f t="shared" si="7"/>
        <v>539</v>
      </c>
      <c r="B541" s="85" t="str">
        <f ca="1">IFERROR(__xludf.DUMMYFUNCTION("GOOGLETRANSLATE(B1982:B1997,""RU"",""UK"")"),"Різець для шківів профіль  С-40х25х180 т/с")</f>
        <v>Різець для шківів профіль  С-40х25х180 т/с</v>
      </c>
      <c r="C541" s="59" t="s">
        <v>6</v>
      </c>
      <c r="D541" s="64">
        <v>1</v>
      </c>
      <c r="E541" s="104">
        <v>270</v>
      </c>
    </row>
    <row r="542" spans="1:5">
      <c r="A542" s="21">
        <f t="shared" si="7"/>
        <v>540</v>
      </c>
      <c r="B542" s="85" t="str">
        <f ca="1">IFERROR(__xludf.DUMMYFUNCTION("GOOGLETRANSLATE(B1983:B1998,""RU"",""UK"")"),"Різець-заготівля Р6М5 8х8х150")</f>
        <v>Різець-заготівля Р6М5 8х8х150</v>
      </c>
      <c r="C542" s="59" t="s">
        <v>6</v>
      </c>
      <c r="D542" s="64">
        <v>314</v>
      </c>
      <c r="E542" s="104">
        <v>105</v>
      </c>
    </row>
    <row r="543" spans="1:5">
      <c r="A543" s="21">
        <f t="shared" si="7"/>
        <v>541</v>
      </c>
      <c r="B543" s="85" t="str">
        <f ca="1">IFERROR(__xludf.DUMMYFUNCTION("GOOGLETRANSLATE(B1983:B1998,""RU"",""UK"")"),"Різець-заготівля Р6М5 8х8х180")</f>
        <v>Різець-заготівля Р6М5 8х8х180</v>
      </c>
      <c r="C543" s="59" t="s">
        <v>6</v>
      </c>
      <c r="D543" s="64">
        <v>2</v>
      </c>
      <c r="E543" s="104">
        <v>115</v>
      </c>
    </row>
    <row r="544" spans="1:5">
      <c r="A544" s="21">
        <f t="shared" si="7"/>
        <v>542</v>
      </c>
      <c r="B544" s="85" t="str">
        <f ca="1">IFERROR(__xludf.DUMMYFUNCTION("GOOGLETRANSLATE(B1984:B1999,""RU"",""UK"")"),"Різець-заготівля Р6М5 9х9х150 шліф")</f>
        <v>Різець-заготівля Р6М5 9х9х150 шліф</v>
      </c>
      <c r="C544" s="59" t="s">
        <v>6</v>
      </c>
      <c r="D544" s="64">
        <v>272</v>
      </c>
      <c r="E544" s="104">
        <v>126</v>
      </c>
    </row>
    <row r="545" spans="1:5">
      <c r="A545" s="21">
        <f t="shared" si="7"/>
        <v>543</v>
      </c>
      <c r="B545" s="85" t="str">
        <f ca="1">IFERROR(__xludf.DUMMYFUNCTION("GOOGLETRANSLATE(B1985:B2000,""RU"",""UK"")"),"Різець-заготівля Р6М5 10х10х150 шліф")</f>
        <v>Різець-заготівля Р6М5 10х10х150 шліф</v>
      </c>
      <c r="C545" s="59" t="s">
        <v>6</v>
      </c>
      <c r="D545" s="64">
        <v>3</v>
      </c>
      <c r="E545" s="104" t="s">
        <v>567</v>
      </c>
    </row>
    <row r="546" spans="1:5">
      <c r="A546" s="21">
        <f t="shared" si="7"/>
        <v>544</v>
      </c>
      <c r="B546" s="85" t="str">
        <f ca="1">IFERROR(__xludf.DUMMYFUNCTION("GOOGLETRANSLATE(B1986:B2001,""RU"",""UK"")"),"Різець-заготівля Р6М5 10х10х180 шліф")</f>
        <v>Різець-заготівля Р6М5 10х10х180 шліф</v>
      </c>
      <c r="C546" s="59" t="s">
        <v>6</v>
      </c>
      <c r="D546" s="64">
        <v>0</v>
      </c>
      <c r="E546" s="104" t="s">
        <v>119</v>
      </c>
    </row>
    <row r="547" spans="1:5">
      <c r="A547" s="21">
        <f t="shared" si="7"/>
        <v>545</v>
      </c>
      <c r="B547" s="85" t="str">
        <f ca="1">IFERROR(__xludf.DUMMYFUNCTION("GOOGLETRANSLATE(B1987:B2002,""RU"",""UK"")"),"Різець-заготівля Р6М5 12х6х150")</f>
        <v>Різець-заготівля Р6М5 12х6х150</v>
      </c>
      <c r="C547" s="59" t="s">
        <v>6</v>
      </c>
      <c r="D547" s="64">
        <v>1</v>
      </c>
      <c r="E547" s="104" t="s">
        <v>185</v>
      </c>
    </row>
    <row r="548" spans="1:5">
      <c r="A548" s="21">
        <f t="shared" si="7"/>
        <v>546</v>
      </c>
      <c r="B548" s="85" t="str">
        <f ca="1">IFERROR(__xludf.DUMMYFUNCTION("GOOGLETRANSLATE(B1988:B2003,""RU"",""UK"")"),"Різець-заготівля Р6М5 12х12х120")</f>
        <v>Різець-заготівля Р6М5 12х12х120</v>
      </c>
      <c r="C548" s="59" t="s">
        <v>6</v>
      </c>
      <c r="D548" s="64">
        <v>0</v>
      </c>
      <c r="E548" s="104" t="s">
        <v>319</v>
      </c>
    </row>
    <row r="549" spans="1:5">
      <c r="A549" s="21">
        <f t="shared" si="7"/>
        <v>547</v>
      </c>
      <c r="B549" s="85" t="str">
        <f ca="1">IFERROR(__xludf.DUMMYFUNCTION("GOOGLETRANSLATE(B1989:B2004,""RU"",""UK"")"),"Різець-заготівля Р6М5 12х12х150 шліф")</f>
        <v>Різець-заготівля Р6М5 12х12х150 шліф</v>
      </c>
      <c r="C549" s="59" t="s">
        <v>6</v>
      </c>
      <c r="D549" s="64">
        <v>10</v>
      </c>
      <c r="E549" s="104" t="s">
        <v>119</v>
      </c>
    </row>
    <row r="550" spans="1:5">
      <c r="A550" s="21">
        <f t="shared" si="7"/>
        <v>548</v>
      </c>
      <c r="B550" s="85" t="str">
        <f ca="1">IFERROR(__xludf.DUMMYFUNCTION("GOOGLETRANSLATE(B1990:B2005,""RU"",""UK"")"),"Різець-заготівля Р6М5 12х12х150")</f>
        <v>Різець-заготівля Р6М5 12х12х150</v>
      </c>
      <c r="C550" s="59" t="s">
        <v>6</v>
      </c>
      <c r="D550" s="64">
        <v>80</v>
      </c>
      <c r="E550" s="104" t="s">
        <v>119</v>
      </c>
    </row>
    <row r="551" spans="1:5">
      <c r="A551" s="21">
        <f t="shared" si="7"/>
        <v>549</v>
      </c>
      <c r="B551" s="85" t="str">
        <f ca="1">IFERROR(__xludf.DUMMYFUNCTION("GOOGLETRANSLATE(B1992:B2007,""RU"",""UK"")"),"Різець-заготівля Р6М5 14х14х95")</f>
        <v>Різець-заготівля Р6М5 14х14х95</v>
      </c>
      <c r="C551" s="59" t="s">
        <v>6</v>
      </c>
      <c r="D551" s="64">
        <v>191</v>
      </c>
      <c r="E551" s="104" t="s">
        <v>319</v>
      </c>
    </row>
    <row r="552" spans="1:5">
      <c r="A552" s="21">
        <f t="shared" si="7"/>
        <v>550</v>
      </c>
      <c r="B552" s="169" t="str">
        <f ca="1">IFERROR(__xludf.DUMMYFUNCTION("GOOGLETRANSLATE(B1992:B2007,""RU"",""UK"")"),"Різець-заготівля Р6М5 15х15х130")</f>
        <v>Різець-заготівля Р6М5 15х15х130</v>
      </c>
      <c r="C552" s="59" t="s">
        <v>6</v>
      </c>
      <c r="D552" s="64">
        <v>1</v>
      </c>
      <c r="E552" s="104">
        <v>250</v>
      </c>
    </row>
    <row r="553" spans="1:5">
      <c r="A553" s="21">
        <f>A552+1</f>
        <v>551</v>
      </c>
      <c r="B553" s="85" t="str">
        <f ca="1">IFERROR(__xludf.DUMMYFUNCTION("GOOGLETRANSLATE(B1993:B2008,""RU"",""UK"")"),"Різець-заготівля Р6М5 21х9х130")</f>
        <v>Різець-заготівля Р6М5 21х9х130</v>
      </c>
      <c r="C553" s="59" t="s">
        <v>6</v>
      </c>
      <c r="D553" s="64">
        <v>1</v>
      </c>
      <c r="E553" s="104" t="s">
        <v>20</v>
      </c>
    </row>
    <row r="554" spans="1:5">
      <c r="A554" s="21">
        <f t="shared" si="7"/>
        <v>552</v>
      </c>
      <c r="B554" s="85" t="str">
        <f ca="1">IFERROR(__xludf.DUMMYFUNCTION("GOOGLETRANSLATE(B1995:B2010,""RU"",""UK"")"),"Різець-заготівля Р6М5 20х20х120")</f>
        <v>Різець-заготівля Р6М5 20х20х120</v>
      </c>
      <c r="C554" s="59" t="s">
        <v>6</v>
      </c>
      <c r="D554" s="64">
        <v>6</v>
      </c>
      <c r="E554" s="104">
        <v>300</v>
      </c>
    </row>
    <row r="555" spans="1:5">
      <c r="A555" s="21">
        <f t="shared" si="7"/>
        <v>553</v>
      </c>
      <c r="B555" s="85" t="str">
        <f ca="1">IFERROR(__xludf.DUMMYFUNCTION("GOOGLETRANSLATE(B1995:B2010,""RU"",""UK"")"),"Різець-заготівля Р6М5 23х5х125ласт хв")</f>
        <v>Різець-заготівля Р6М5 23х5х125ласт хв</v>
      </c>
      <c r="C555" s="59" t="s">
        <v>6</v>
      </c>
      <c r="D555" s="64">
        <v>1</v>
      </c>
      <c r="E555" s="104" t="s">
        <v>24</v>
      </c>
    </row>
    <row r="556" spans="1:5">
      <c r="A556" s="21">
        <f t="shared" si="7"/>
        <v>554</v>
      </c>
      <c r="B556" s="85" t="str">
        <f ca="1">IFERROR(__xludf.DUMMYFUNCTION("GOOGLETRANSLATE(B1996:B2011,""RU"",""UK"")"),"Різець довбіжний кут 90* Р6М5 16х16х150")</f>
        <v>Різець довбіжний кут 90* Р6М5 16х16х150</v>
      </c>
      <c r="C556" s="59" t="s">
        <v>6</v>
      </c>
      <c r="D556" s="64">
        <v>11</v>
      </c>
      <c r="E556" s="104" t="s">
        <v>24</v>
      </c>
    </row>
    <row r="557" spans="1:5">
      <c r="A557" s="21">
        <f t="shared" si="7"/>
        <v>555</v>
      </c>
      <c r="B557" s="85" t="str">
        <f ca="1">IFERROR(__xludf.DUMMYFUNCTION("GOOGLETRANSLATE(B1997:B2012,""RU"",""UK"")"),"Різець фасонний Р6М5 16х16х120")</f>
        <v>Різець фасонний Р6М5 16х16х120</v>
      </c>
      <c r="C557" s="59" t="s">
        <v>6</v>
      </c>
      <c r="D557" s="64">
        <v>13</v>
      </c>
      <c r="E557" s="104" t="s">
        <v>140</v>
      </c>
    </row>
    <row r="558" spans="1:5">
      <c r="A558" s="21">
        <f t="shared" si="7"/>
        <v>556</v>
      </c>
      <c r="B558" s="85" t="str">
        <f ca="1">IFERROR(__xludf.DUMMYFUNCTION("GOOGLETRANSLATE(B1997:B2012,""RU"",""UK"")"),"Різець фасонний круглий Р6М5 40х12")</f>
        <v>Різець фасонний круглий Р6М5 40х12</v>
      </c>
      <c r="C558" s="59" t="s">
        <v>6</v>
      </c>
      <c r="D558" s="64">
        <v>2</v>
      </c>
      <c r="E558" s="104">
        <v>72</v>
      </c>
    </row>
    <row r="559" spans="1:5">
      <c r="A559" s="21">
        <f t="shared" si="7"/>
        <v>557</v>
      </c>
      <c r="B559" s="85" t="str">
        <f ca="1">IFERROR(__xludf.DUMMYFUNCTION("GOOGLETRANSLATE(B1997:B2012,""RU"",""UK"")"),"Різець фасонний круглий Р6М5 50х12")</f>
        <v>Різець фасонний круглий Р6М5 50х12</v>
      </c>
      <c r="C559" s="59" t="s">
        <v>6</v>
      </c>
      <c r="D559" s="64">
        <v>3</v>
      </c>
      <c r="E559" s="104">
        <v>81</v>
      </c>
    </row>
    <row r="560" spans="1:5">
      <c r="A560" s="21">
        <f t="shared" si="7"/>
        <v>558</v>
      </c>
      <c r="B560" s="85" t="str">
        <f ca="1">IFERROR(__xludf.DUMMYFUNCTION("GOOGLETRANSLATE(B1998:B2013,""RU"",""UK"")"),"Накатка 1-но роликова б/у")</f>
        <v>Накатка 1-но роликова б/у</v>
      </c>
      <c r="C560" s="59" t="s">
        <v>6</v>
      </c>
      <c r="D560" s="64">
        <v>0</v>
      </c>
      <c r="E560" s="104" t="s">
        <v>140</v>
      </c>
    </row>
    <row r="561" spans="1:5">
      <c r="A561" s="21">
        <f t="shared" si="7"/>
        <v>559</v>
      </c>
      <c r="B561" s="85" t="str">
        <f ca="1">IFERROR(__xludf.DUMMYFUNCTION("GOOGLETRANSLATE(B1999:B2014,""RU"",""UK"")"),"Накатка 2-х роликова б/у")</f>
        <v>Накатка 2-х роликова б/у</v>
      </c>
      <c r="C561" s="59" t="s">
        <v>6</v>
      </c>
      <c r="D561" s="64">
        <v>1</v>
      </c>
      <c r="E561" s="104" t="s">
        <v>20</v>
      </c>
    </row>
    <row r="562" spans="1:5">
      <c r="A562" s="21">
        <f t="shared" si="7"/>
        <v>560</v>
      </c>
      <c r="B562" s="85" t="str">
        <f ca="1">IFERROR(__xludf.DUMMYFUNCTION("GOOGLETRANSLATE(B2000:B2015,""RU"",""UK"")"),"Ролик накатний прямий d24х9х9мм")</f>
        <v>Ролик накатний прямий d24х9х9мм</v>
      </c>
      <c r="C562" s="59" t="s">
        <v>6</v>
      </c>
      <c r="D562" s="64">
        <v>1</v>
      </c>
      <c r="E562" s="104">
        <v>78</v>
      </c>
    </row>
    <row r="563" spans="1:5">
      <c r="A563" s="21">
        <f t="shared" si="7"/>
        <v>561</v>
      </c>
      <c r="B563" s="169" t="str">
        <f ca="1">IFERROR(__xludf.DUMMYFUNCTION("GOOGLETRANSLATE(B2003:B2018,""RU"",""UK"")"),"Ролик накатний косий d29х14мм ширина 15мм, крок 2мм")</f>
        <v>Ролик накатний косий d29х14мм ширина 15мм, крок 2мм</v>
      </c>
      <c r="C563" s="171" t="s">
        <v>6</v>
      </c>
      <c r="D563" s="230">
        <v>14</v>
      </c>
      <c r="E563" s="231">
        <v>78</v>
      </c>
    </row>
    <row r="564" spans="1:5">
      <c r="A564" s="21">
        <f t="shared" si="7"/>
        <v>562</v>
      </c>
      <c r="B564" s="169" t="str">
        <f ca="1">IFERROR(__xludf.DUMMYFUNCTION("GOOGLETRANSLATE(B2004:B2019,""RU"",""UK"")"),"Ролик накатний косий d31х14мм ширина 15мм, крок 1мм")</f>
        <v>Ролик накатний косий d31х14мм ширина 15мм, крок 1мм</v>
      </c>
      <c r="C564" s="171" t="s">
        <v>6</v>
      </c>
      <c r="D564" s="230">
        <v>13</v>
      </c>
      <c r="E564" s="231">
        <v>85</v>
      </c>
    </row>
    <row r="565" spans="1:5">
      <c r="A565" s="67"/>
      <c r="B565" s="130" t="str">
        <f ca="1">IFERROR(__xludf.DUMMYFUNCTION("GOOGLETRANSLATE(B2006:B2021,""RU"",""UK"")"),"2. РІЗЦІ  ТОКАРНІ   З   МЕХАНІЧНИМ   КРІПЛЕННЯМ")</f>
        <v>2. РІЗЦІ  ТОКАРНІ   З   МЕХАНІЧНИМ   КРІПЛЕННЯМ</v>
      </c>
      <c r="C565" s="29"/>
      <c r="D565" s="29"/>
      <c r="E565" s="100"/>
    </row>
    <row r="566" spans="1:5">
      <c r="A566" s="63">
        <v>1</v>
      </c>
      <c r="B566" s="132" t="str">
        <f ca="1">IFERROR(__xludf.DUMMYFUNCTION("GOOGLETRANSLATE(B2007:B2022,""RU"",""UK"")"),"Різець токарний різьбовий з мех. кріп. ВК8 25х16х150")</f>
        <v>Різець токарний різьбовий з мех. кріп. ВК8 25х16х150</v>
      </c>
      <c r="C566" s="59" t="s">
        <v>6</v>
      </c>
      <c r="D566" s="59">
        <v>5</v>
      </c>
      <c r="E566" s="91" t="s">
        <v>20</v>
      </c>
    </row>
    <row r="567" spans="1:5">
      <c r="A567" s="63">
        <f t="shared" ref="A567:A604" si="8">A566+1</f>
        <v>2</v>
      </c>
      <c r="B567" s="132" t="str">
        <f ca="1">IFERROR(__xludf.DUMMYFUNCTION("GOOGLETRANSLATE(B2008:B2023,""RU"",""UK"")"),"Різець токарний різьбовий з мех. кріп. ВК8 25х25х160 правий")</f>
        <v>Різець токарний різьбовий з мех. кріп. ВК8 25х25х160 правий</v>
      </c>
      <c r="C567" s="59" t="s">
        <v>6</v>
      </c>
      <c r="D567" s="59">
        <v>8</v>
      </c>
      <c r="E567" s="91">
        <v>360</v>
      </c>
    </row>
    <row r="568" spans="1:5">
      <c r="A568" s="63">
        <f t="shared" si="8"/>
        <v>3</v>
      </c>
      <c r="B568" s="132" t="str">
        <f ca="1">IFERROR(__xludf.DUMMYFUNCTION("GOOGLETRANSLATE(B2008:B2023,""RU"",""UK"")"),"Різець токарний різьбовий з мех. кріп. ВК8 25х25х160 лівий")</f>
        <v>Різець токарний різьбовий з мех. кріп. ВК8 25х25х160 лівий</v>
      </c>
      <c r="C568" s="59" t="s">
        <v>6</v>
      </c>
      <c r="D568" s="59">
        <v>44</v>
      </c>
      <c r="E568" s="91">
        <v>270</v>
      </c>
    </row>
    <row r="569" spans="1:5">
      <c r="A569" s="63">
        <f t="shared" si="8"/>
        <v>4</v>
      </c>
      <c r="B569" s="132" t="str">
        <f ca="1">IFERROR(__xludf.DUMMYFUNCTION("GOOGLETRANSLATE(B2009:B2024,""RU"",""UK"")"),"Різець токарний різьбовий внутр. з мех. кріп. 23х25х150")</f>
        <v>Різець токарний різьбовий внутр. з мех. кріп. 23х25х150</v>
      </c>
      <c r="C569" s="59" t="s">
        <v>6</v>
      </c>
      <c r="D569" s="59">
        <v>1</v>
      </c>
      <c r="E569" s="91" t="s">
        <v>24</v>
      </c>
    </row>
    <row r="570" spans="1:5">
      <c r="A570" s="63">
        <f t="shared" si="8"/>
        <v>5</v>
      </c>
      <c r="B570" s="132" t="str">
        <f ca="1">IFERROR(__xludf.DUMMYFUNCTION("GOOGLETRANSLATE(B2010:B2025,""RU"",""UK"")"),"Різець токарний різьбовий внутр. з мех. кріп. 32х32х170")</f>
        <v>Різець токарний різьбовий внутр. з мех. кріп. 32х32х170</v>
      </c>
      <c r="C570" s="59" t="s">
        <v>6</v>
      </c>
      <c r="D570" s="59">
        <v>2</v>
      </c>
      <c r="E570" s="91" t="s">
        <v>162</v>
      </c>
    </row>
    <row r="571" spans="1:5">
      <c r="A571" s="63">
        <f t="shared" si="8"/>
        <v>6</v>
      </c>
      <c r="B571" s="219" t="str">
        <f ca="1">IFERROR(__xludf.DUMMYFUNCTION("GOOGLETRANSLATE(B2011:B2026,""RU"",""UK"")"),"Різець токарний відрізний з мех. кріп. 25х20х150 (+20пластин)")</f>
        <v>Різець токарний відрізний з мех. кріп. 25х20х150 (+20пластин)</v>
      </c>
      <c r="C571" s="59" t="s">
        <v>6</v>
      </c>
      <c r="D571" s="59">
        <v>0</v>
      </c>
      <c r="E571" s="91" t="s">
        <v>102</v>
      </c>
    </row>
    <row r="572" spans="1:5">
      <c r="A572" s="63">
        <f t="shared" si="8"/>
        <v>7</v>
      </c>
      <c r="B572" s="132" t="str">
        <f ca="1">IFERROR(__xludf.DUMMYFUNCTION("GOOGLETRANSLATE(B2012:B2027,""RU"",""UK"")"),"Різець токарний прохідний з мех. кріп. 5гр. 20х20х120")</f>
        <v>Різець токарний прохідний з мех. кріп. 5гр. 20х20х120</v>
      </c>
      <c r="C572" s="59" t="s">
        <v>6</v>
      </c>
      <c r="D572" s="59">
        <v>1</v>
      </c>
      <c r="E572" s="91" t="s">
        <v>119</v>
      </c>
    </row>
    <row r="573" spans="1:5">
      <c r="A573" s="63">
        <f t="shared" si="8"/>
        <v>8</v>
      </c>
      <c r="B573" s="132" t="str">
        <f ca="1">IFERROR(__xludf.DUMMYFUNCTION("GOOGLETRANSLATE(B2013:B2028,""RU"",""UK"")"),"Різець токарний прохідний з мех. кріп. 5гр. 25х20х120")</f>
        <v>Різець токарний прохідний з мех. кріп. 5гр. 25х20х120</v>
      </c>
      <c r="C573" s="59" t="s">
        <v>6</v>
      </c>
      <c r="D573" s="59">
        <v>10</v>
      </c>
      <c r="E573" s="91" t="s">
        <v>515</v>
      </c>
    </row>
    <row r="574" spans="1:5">
      <c r="A574" s="63">
        <f t="shared" si="8"/>
        <v>9</v>
      </c>
      <c r="B574" s="132" t="str">
        <f ca="1">IFERROR(__xludf.DUMMYFUNCTION("GOOGLETRANSLATE(B2013:B2028,""RU"",""UK"")"),"Різець токарний прохідний з мех. кріп. 5гр. 25х20х140")</f>
        <v>Різець токарний прохідний з мех. кріп. 5гр. 25х20х140</v>
      </c>
      <c r="C574" s="59" t="s">
        <v>6</v>
      </c>
      <c r="D574" s="59">
        <v>1</v>
      </c>
      <c r="E574" s="91">
        <v>210</v>
      </c>
    </row>
    <row r="575" spans="1:5">
      <c r="A575" s="63">
        <f t="shared" si="8"/>
        <v>10</v>
      </c>
      <c r="B575" s="132" t="str">
        <f ca="1">IFERROR(__xludf.DUMMYFUNCTION("GOOGLETRANSLATE(B2014:B2029,""RU"",""UK"")"),"Різець токарний прохідний з мех. кріп. 5гр. 25х25х140")</f>
        <v>Різець токарний прохідний з мех. кріп. 5гр. 25х25х140</v>
      </c>
      <c r="C575" s="59" t="s">
        <v>6</v>
      </c>
      <c r="D575" s="59">
        <v>8</v>
      </c>
      <c r="E575" s="91">
        <v>246</v>
      </c>
    </row>
    <row r="576" spans="1:5">
      <c r="A576" s="63">
        <f t="shared" si="8"/>
        <v>11</v>
      </c>
      <c r="B576" s="132" t="str">
        <f ca="1">IFERROR(__xludf.DUMMYFUNCTION("GOOGLETRANSLATE(B2015:B2030,""RU"",""UK"")"),"Різець токарний прохідний з мех. кріп. 5гр. 32х20х140/40х20х200")</f>
        <v>Різець токарний прохідний з мех. кріп. 5гр. 32х20х140/40х20х200</v>
      </c>
      <c r="C576" s="59" t="s">
        <v>6</v>
      </c>
      <c r="D576" s="59" t="s">
        <v>793</v>
      </c>
      <c r="E576" s="91">
        <v>240</v>
      </c>
    </row>
    <row r="577" spans="1:5">
      <c r="A577" s="63">
        <f t="shared" si="8"/>
        <v>12</v>
      </c>
      <c r="B577" s="132" t="str">
        <f ca="1">IFERROR(__xludf.DUMMYFUNCTION("GOOGLETRANSLATE(B2016:B2031,""RU"",""UK"")"),"Різець токарний прохідний прямий. з мех. кріп. 4гр. 20х16х120")</f>
        <v>Різець токарний прохідний прямий. з мех. кріп. 4гр. 20х16х120</v>
      </c>
      <c r="C577" s="59" t="s">
        <v>6</v>
      </c>
      <c r="D577" s="59">
        <v>3</v>
      </c>
      <c r="E577" s="91" t="s">
        <v>327</v>
      </c>
    </row>
    <row r="578" spans="1:5">
      <c r="A578" s="63">
        <f t="shared" si="8"/>
        <v>13</v>
      </c>
      <c r="B578" s="132" t="str">
        <f ca="1">IFERROR(__xludf.DUMMYFUNCTION("GOOGLETRANSLATE(B2017:B2032,""RU"",""UK"")"),"Різець токарний прохідний прямий. з мех. кріп. 4гр. 25х16х140 (+10 пластин)")</f>
        <v>Різець токарний прохідний прямий. з мех. кріп. 4гр. 25х16х140 (+10 пластин)</v>
      </c>
      <c r="C578" s="59" t="s">
        <v>378</v>
      </c>
      <c r="D578" s="59">
        <v>5</v>
      </c>
      <c r="E578" s="91" t="s">
        <v>140</v>
      </c>
    </row>
    <row r="579" spans="1:5">
      <c r="A579" s="63">
        <f t="shared" si="8"/>
        <v>14</v>
      </c>
      <c r="B579" s="132" t="str">
        <f ca="1">IFERROR(__xludf.DUMMYFUNCTION("GOOGLETRANSLATE(B2018:B2033,""RU"",""UK"")"),"Різець токарний прохідний з мех. кріп. 4гр. 25х20х120")</f>
        <v>Різець токарний прохідний з мех. кріп. 4гр. 25х20х120</v>
      </c>
      <c r="C579" s="59" t="s">
        <v>6</v>
      </c>
      <c r="D579" s="160">
        <v>2</v>
      </c>
      <c r="E579" s="91" t="s">
        <v>128</v>
      </c>
    </row>
    <row r="580" spans="1:5">
      <c r="A580" s="63">
        <f t="shared" si="8"/>
        <v>15</v>
      </c>
      <c r="B580" s="132" t="str">
        <f ca="1">IFERROR(__xludf.DUMMYFUNCTION("GOOGLETRANSLATE(B2018:B2033,""RU"",""UK"")"),"Різець токарний прохідний з мех. кріп. 4гр. 25х20х140")</f>
        <v>Різець токарний прохідний з мех. кріп. 4гр. 25х20х140</v>
      </c>
      <c r="C580" s="59" t="s">
        <v>6</v>
      </c>
      <c r="D580" s="160">
        <v>11</v>
      </c>
      <c r="E580" s="91" t="s">
        <v>128</v>
      </c>
    </row>
    <row r="581" spans="1:5">
      <c r="A581" s="63">
        <f t="shared" si="8"/>
        <v>16</v>
      </c>
      <c r="B581" s="132" t="str">
        <f ca="1">IFERROR(__xludf.DUMMYFUNCTION("GOOGLETRANSLATE(B2019:B2034,""RU"",""UK"")"),"Різець токарний прохідний з мех. кріп. 4гр. 25х20х150")</f>
        <v>Різець токарний прохідний з мех. кріп. 4гр. 25х20х150</v>
      </c>
      <c r="C581" s="59" t="s">
        <v>6</v>
      </c>
      <c r="D581" s="160">
        <v>5</v>
      </c>
      <c r="E581" s="91" t="s">
        <v>128</v>
      </c>
    </row>
    <row r="582" spans="1:5">
      <c r="A582" s="63">
        <f t="shared" si="8"/>
        <v>17</v>
      </c>
      <c r="B582" s="132" t="str">
        <f ca="1">IFERROR(__xludf.DUMMYFUNCTION("GOOGLETRANSLATE(B2019:B2034,""RU"",""UK"")"),"Різець токарний прохідний з мех. кріп. 4гр. 25х25х150")</f>
        <v>Різець токарний прохідний з мех. кріп. 4гр. 25х25х150</v>
      </c>
      <c r="C582" s="59" t="s">
        <v>6</v>
      </c>
      <c r="D582" s="160">
        <v>13</v>
      </c>
      <c r="E582" s="91" t="s">
        <v>128</v>
      </c>
    </row>
    <row r="583" spans="1:5">
      <c r="A583" s="63">
        <f t="shared" si="8"/>
        <v>18</v>
      </c>
      <c r="B583" s="132" t="str">
        <f ca="1">IFERROR(__xludf.DUMMYFUNCTION("GOOGLETRANSLATE(B2020:B2035,""RU"",""UK"")"),"Різець токарний прохідний з мех. кріп. 4гр. 25х25х160")</f>
        <v>Різець токарний прохідний з мех. кріп. 4гр. 25х25х160</v>
      </c>
      <c r="C583" s="59" t="s">
        <v>6</v>
      </c>
      <c r="D583" s="59">
        <v>54</v>
      </c>
      <c r="E583" s="91" t="s">
        <v>128</v>
      </c>
    </row>
    <row r="584" spans="1:5">
      <c r="A584" s="63">
        <f t="shared" si="8"/>
        <v>19</v>
      </c>
      <c r="B584" s="132" t="str">
        <f ca="1">IFERROR(__xludf.DUMMYFUNCTION("GOOGLETRANSLATE(B2021:B2036,""RU"",""UK"")"),"Різець токарний прохідний з мех. кріп. 4гр. 32х25х170")</f>
        <v>Різець токарний прохідний з мех. кріп. 4гр. 32х25х170</v>
      </c>
      <c r="C584" s="59" t="s">
        <v>6</v>
      </c>
      <c r="D584" s="59">
        <v>3</v>
      </c>
      <c r="E584" s="91" t="s">
        <v>553</v>
      </c>
    </row>
    <row r="585" spans="1:5">
      <c r="A585" s="63">
        <f t="shared" si="8"/>
        <v>20</v>
      </c>
      <c r="B585" s="132" t="str">
        <f ca="1">IFERROR(__xludf.DUMMYFUNCTION("GOOGLETRANSLATE(B2022:B2037,""RU"",""UK"")"),"Різець токарний прохідний з мех. кріп. 3гр. 20х16х120")</f>
        <v>Різець токарний прохідний з мех. кріп. 3гр. 20х16х120</v>
      </c>
      <c r="C585" s="59" t="s">
        <v>6</v>
      </c>
      <c r="D585" s="160">
        <v>1</v>
      </c>
      <c r="E585" s="91" t="s">
        <v>327</v>
      </c>
    </row>
    <row r="586" spans="1:5">
      <c r="A586" s="63">
        <f t="shared" si="8"/>
        <v>21</v>
      </c>
      <c r="B586" s="132" t="str">
        <f ca="1">IFERROR(__xludf.DUMMYFUNCTION("GOOGLETRANSLATE(B2022:B2037,""RU"",""UK"")"),"Різець токарний прохідний з мех. кріп. 3гр. 25х16х140")</f>
        <v>Різець токарний прохідний з мех. кріп. 3гр. 25х16х140</v>
      </c>
      <c r="C586" s="59" t="s">
        <v>6</v>
      </c>
      <c r="D586" s="160">
        <v>14</v>
      </c>
      <c r="E586" s="91" t="s">
        <v>327</v>
      </c>
    </row>
    <row r="587" spans="1:5">
      <c r="A587" s="63">
        <f t="shared" si="8"/>
        <v>22</v>
      </c>
      <c r="B587" s="132" t="str">
        <f ca="1">IFERROR(__xludf.DUMMYFUNCTION("GOOGLETRANSLATE(B2023:B2038,""RU"",""UK"")"),"Різець токарний прохідний з мех. кріп. 3гр. ломан. Пріж. 20х20х125")</f>
        <v>Різець токарний прохідний з мех. кріп. 3гр. ломан. Пріж. 20х20х125</v>
      </c>
      <c r="C587" s="59" t="s">
        <v>6</v>
      </c>
      <c r="D587" s="59">
        <v>1</v>
      </c>
      <c r="E587" s="91" t="s">
        <v>413</v>
      </c>
    </row>
    <row r="588" spans="1:5">
      <c r="A588" s="63">
        <f t="shared" si="8"/>
        <v>23</v>
      </c>
      <c r="B588" s="132" t="str">
        <f ca="1">IFERROR(__xludf.DUMMYFUNCTION("GOOGLETRANSLATE(B2024:B2039,""RU"",""UK"")"),"Різець токарний прохідний з мех. кріп. 3гр. 25х20х120")</f>
        <v>Різець токарний прохідний з мех. кріп. 3гр. 25х20х120</v>
      </c>
      <c r="C588" s="26" t="s">
        <v>6</v>
      </c>
      <c r="D588" s="26">
        <v>14</v>
      </c>
      <c r="E588" s="105" t="s">
        <v>20</v>
      </c>
    </row>
    <row r="589" spans="1:5">
      <c r="A589" s="63">
        <f t="shared" si="8"/>
        <v>24</v>
      </c>
      <c r="B589" s="132" t="str">
        <f ca="1">IFERROR(__xludf.DUMMYFUNCTION("GOOGLETRANSLATE(B2025:B2040,""RU"",""UK"")"),"Різець токарний прохідний з мех. кріп. 3гр. ломан. приж. 25х25х160")</f>
        <v>Різець токарний прохідний з мех. кріп. 3гр. ломан. приж. 25х25х160</v>
      </c>
      <c r="C589" s="59" t="s">
        <v>6</v>
      </c>
      <c r="D589" s="59">
        <v>4</v>
      </c>
      <c r="E589" s="91" t="s">
        <v>36</v>
      </c>
    </row>
    <row r="590" spans="1:5">
      <c r="A590" s="63">
        <f t="shared" si="8"/>
        <v>25</v>
      </c>
      <c r="B590" s="132" t="str">
        <f ca="1">IFERROR(__xludf.DUMMYFUNCTION("GOOGLETRANSLATE(B2026:B2041,""RU"",""UK"")"),"Різець токарний прохідний з мех. кріп. 3гр. ломан. пор. клин. 25х25х160 Т5К10")</f>
        <v>Різець токарний прохідний з мех. кріп. 3гр. ломан. пор. клин. 25х25х160 Т5К10</v>
      </c>
      <c r="C590" s="59" t="s">
        <v>6</v>
      </c>
      <c r="D590" s="59">
        <v>14</v>
      </c>
      <c r="E590" s="91" t="s">
        <v>272</v>
      </c>
    </row>
    <row r="591" spans="1:5">
      <c r="A591" s="63">
        <f t="shared" si="8"/>
        <v>26</v>
      </c>
      <c r="B591" s="132" t="str">
        <f ca="1">IFERROR(__xludf.DUMMYFUNCTION("GOOGLETRANSLATE(B2027:B2042,""RU"",""UK"")"),"Різець токарний прохідний з мех. кріп. 3гр. ломан. приж. 25х25х150 прав")</f>
        <v>Різець токарний прохідний з мех. кріп. 3гр. ломан. приж. 25х25х150 прав</v>
      </c>
      <c r="C591" s="59" t="s">
        <v>6</v>
      </c>
      <c r="D591" s="160">
        <v>1</v>
      </c>
      <c r="E591" s="91" t="s">
        <v>36</v>
      </c>
    </row>
    <row r="592" spans="1:5">
      <c r="A592" s="63">
        <f t="shared" si="8"/>
        <v>27</v>
      </c>
      <c r="B592" s="132" t="str">
        <f ca="1">IFERROR(__xludf.DUMMYFUNCTION("GOOGLETRANSLATE(B2027:B2042,""RU"",""UK"")"),"Різець токарний прохідний з мех. кріп. 3гр. ломан. приж. 25х25х150 лев")</f>
        <v>Різець токарний прохідний з мех. кріп. 3гр. ломан. приж. 25х25х150 лев</v>
      </c>
      <c r="C592" s="59" t="s">
        <v>6</v>
      </c>
      <c r="D592" s="160">
        <v>1</v>
      </c>
      <c r="E592" s="91" t="s">
        <v>36</v>
      </c>
    </row>
    <row r="593" spans="1:5">
      <c r="A593" s="63">
        <f t="shared" si="8"/>
        <v>28</v>
      </c>
      <c r="B593" s="132" t="str">
        <f ca="1">IFERROR(__xludf.DUMMYFUNCTION("GOOGLETRANSLATE(B2028:B2043,""RU"",""UK"")"),"Різець токарний прохідний з мех. кріп. 3гр. 28х20х140лев.")</f>
        <v>Різець токарний прохідний з мех. кріп. 3гр. 28х20х140лев.</v>
      </c>
      <c r="C593" s="59" t="s">
        <v>6</v>
      </c>
      <c r="D593" s="59">
        <v>1</v>
      </c>
      <c r="E593" s="91" t="s">
        <v>24</v>
      </c>
    </row>
    <row r="594" spans="1:5">
      <c r="A594" s="63">
        <f t="shared" si="8"/>
        <v>29</v>
      </c>
      <c r="B594" s="132" t="str">
        <f ca="1">IFERROR(__xludf.DUMMYFUNCTION("GOOGLETRANSLATE(B2029:B2044,""RU"",""UK"")"),"Різець токарний прохідний з мех. кріп. 3гр. прямий 32х20х120")</f>
        <v>Різець токарний прохідний з мех. кріп. 3гр. прямий 32х20х120</v>
      </c>
      <c r="C594" s="59" t="s">
        <v>6</v>
      </c>
      <c r="D594" s="59">
        <v>5</v>
      </c>
      <c r="E594" s="91" t="s">
        <v>140</v>
      </c>
    </row>
    <row r="595" spans="1:5">
      <c r="A595" s="63">
        <f t="shared" si="8"/>
        <v>30</v>
      </c>
      <c r="B595" s="132" t="str">
        <f ca="1">IFERROR(__xludf.DUMMYFUNCTION("GOOGLETRANSLATE(B2030:B2045,""RU"",""UK"")"),"Різець токарний прохідний з мех. кріп. 3гр. прямий 32х25х160")</f>
        <v>Різець токарний прохідний з мех. кріп. 3гр. прямий 32х25х160</v>
      </c>
      <c r="C595" s="59" t="s">
        <v>6</v>
      </c>
      <c r="D595" s="59">
        <v>3</v>
      </c>
      <c r="E595" s="91" t="s">
        <v>140</v>
      </c>
    </row>
    <row r="596" spans="1:5">
      <c r="A596" s="63">
        <f t="shared" si="8"/>
        <v>31</v>
      </c>
      <c r="B596" s="132" t="str">
        <f ca="1">IFERROR(__xludf.DUMMYFUNCTION("GOOGLETRANSLATE(B2031:B2046,""RU"",""UK"")"),"Різець токарний прохідний з мех. кріп. 3гр. прямий 32х32х170 лев")</f>
        <v>Різець токарний прохідний з мех. кріп. 3гр. прямий 32х32х170 лев</v>
      </c>
      <c r="C596" s="59" t="s">
        <v>6</v>
      </c>
      <c r="D596" s="59">
        <v>1</v>
      </c>
      <c r="E596" s="91" t="s">
        <v>140</v>
      </c>
    </row>
    <row r="597" spans="1:5">
      <c r="A597" s="63">
        <f t="shared" si="8"/>
        <v>32</v>
      </c>
      <c r="B597" s="132" t="str">
        <f ca="1">IFERROR(__xludf.DUMMYFUNCTION("GOOGLETRANSLATE(B2032:B2047,""RU"",""UK"")"),"Різець токарний прохідний з мех. кріп. 3гр. ломан. клин 32х25х170")</f>
        <v>Різець токарний прохідний з мех. кріп. 3гр. ломан. клин 32х25х170</v>
      </c>
      <c r="C597" s="59" t="s">
        <v>6</v>
      </c>
      <c r="D597" s="59">
        <v>4</v>
      </c>
      <c r="E597" s="91" t="s">
        <v>22</v>
      </c>
    </row>
    <row r="598" spans="1:5">
      <c r="A598" s="63">
        <f t="shared" si="8"/>
        <v>33</v>
      </c>
      <c r="B598" s="132" t="str">
        <f ca="1">IFERROR(__xludf.DUMMYFUNCTION("GOOGLETRANSLATE(B2033:B2048,""RU"",""UK"")"),"Різець токарний прохідний з мех. кріп. 3гр.ломан.приж.32х25х170пр")</f>
        <v>Різець токарний прохідний з мех. кріп. 3гр.ломан.приж.32х25х170пр</v>
      </c>
      <c r="C598" s="59" t="s">
        <v>6</v>
      </c>
      <c r="D598" s="59">
        <v>12</v>
      </c>
      <c r="E598" s="91" t="s">
        <v>36</v>
      </c>
    </row>
    <row r="599" spans="1:5">
      <c r="A599" s="63">
        <f t="shared" si="8"/>
        <v>34</v>
      </c>
      <c r="B599" s="132" t="str">
        <f ca="1">IFERROR(__xludf.DUMMYFUNCTION("GOOGLETRANSLATE(B2034:B2049,""RU"",""UK"")"),"Різець токарний прохідний з мех. кріп. 3гр. ломан. клин 32х25х170лев.")</f>
        <v>Різець токарний прохідний з мех. кріп. 3гр. ломан. клин 32х25х170лев.</v>
      </c>
      <c r="C599" s="59" t="s">
        <v>6</v>
      </c>
      <c r="D599" s="59">
        <v>8</v>
      </c>
      <c r="E599" s="91" t="s">
        <v>36</v>
      </c>
    </row>
    <row r="600" spans="1:5">
      <c r="A600" s="63">
        <f t="shared" si="8"/>
        <v>35</v>
      </c>
      <c r="B600" s="132" t="str">
        <f ca="1">IFERROR(__xludf.DUMMYFUNCTION("GOOGLETRANSLATE(B2035:B2050,""RU"",""UK"")"),"Різець токарний прохідний з мех. кріп. 3гр. ломан. Пріж. 32х32х170лев.")</f>
        <v>Різець токарний прохідний з мех. кріп. 3гр. ломан. Пріж. 32х32х170лев.</v>
      </c>
      <c r="C600" s="59" t="s">
        <v>6</v>
      </c>
      <c r="D600" s="59">
        <v>1</v>
      </c>
      <c r="E600" s="91" t="s">
        <v>27</v>
      </c>
    </row>
    <row r="601" spans="1:5">
      <c r="A601" s="63">
        <f t="shared" si="8"/>
        <v>36</v>
      </c>
      <c r="B601" s="132" t="str">
        <f ca="1">IFERROR(__xludf.DUMMYFUNCTION("GOOGLETRANSLATE(B2036:B2051,""RU"",""UK"")"),"Різець токарний прохідний з мех. кріп. 3гр. 40х30х200")</f>
        <v>Різець токарний прохідний з мех. кріп. 3гр. 40х30х200</v>
      </c>
      <c r="C601" s="59" t="s">
        <v>6</v>
      </c>
      <c r="D601" s="59">
        <v>1</v>
      </c>
      <c r="E601" s="91" t="s">
        <v>842</v>
      </c>
    </row>
    <row r="602" spans="1:5">
      <c r="A602" s="63">
        <f t="shared" si="8"/>
        <v>37</v>
      </c>
      <c r="B602" s="132" t="str">
        <f ca="1">IFERROR(__xludf.DUMMYFUNCTION("GOOGLETRANSLATE(B2037:B2052,""RU"",""UK"")"),"Різець токарний прохідний з мех. кріп. 6гр. 25х20х140")</f>
        <v>Різець токарний прохідний з мех. кріп. 6гр. 25х20х140</v>
      </c>
      <c r="C602" s="59" t="s">
        <v>6</v>
      </c>
      <c r="D602" s="59">
        <v>2</v>
      </c>
      <c r="E602" s="91" t="s">
        <v>20</v>
      </c>
    </row>
    <row r="603" spans="1:5">
      <c r="A603" s="63">
        <f t="shared" si="8"/>
        <v>38</v>
      </c>
      <c r="B603" s="132" t="str">
        <f ca="1">IFERROR(__xludf.DUMMYFUNCTION("GOOGLETRANSLATE(B2038:B2053,""RU"",""UK"")"),"Різець токарний прохідний з мех. кріп. ромб. 16х16х100 (+10 пластин)")</f>
        <v>Різець токарний прохідний з мех. кріп. ромб. 16х16х100 (+10 пластин)</v>
      </c>
      <c r="C603" s="37" t="s">
        <v>6</v>
      </c>
      <c r="D603" s="37">
        <v>5</v>
      </c>
      <c r="E603" s="92" t="s">
        <v>36</v>
      </c>
    </row>
    <row r="604" spans="1:5">
      <c r="A604" s="63">
        <f t="shared" si="8"/>
        <v>39</v>
      </c>
      <c r="B604" s="132" t="str">
        <f ca="1">IFERROR(__xludf.DUMMYFUNCTION("GOOGLETRANSLATE(B2039:B2054,""RU"",""UK"")"),"Різець токарний прохідний з мех. кріп. ромб. 25х25х140")</f>
        <v>Різець токарний прохідний з мех. кріп. ромб. 25х25х140</v>
      </c>
      <c r="C604" s="59" t="s">
        <v>6</v>
      </c>
      <c r="D604" s="59">
        <v>7</v>
      </c>
      <c r="E604" s="91" t="s">
        <v>272</v>
      </c>
    </row>
    <row r="605" spans="1:5">
      <c r="A605" s="63">
        <f t="shared" ref="A605:A626" si="9">A604+1</f>
        <v>40</v>
      </c>
      <c r="B605" s="132" t="str">
        <f ca="1">IFERROR(__xludf.DUMMYFUNCTION("GOOGLETRANSLATE(B2040:B2055,""RU"",""UK"")"),"Різець токарний прохідний з мех. кріп. ромб. 25х25х150 крамниця")</f>
        <v>Різець токарний прохідний з мех. кріп. ромб. 25х25х150 крамниця</v>
      </c>
      <c r="C605" s="59" t="s">
        <v>6</v>
      </c>
      <c r="D605" s="59">
        <v>1</v>
      </c>
      <c r="E605" s="91" t="s">
        <v>24</v>
      </c>
    </row>
    <row r="606" spans="1:5">
      <c r="A606" s="63">
        <f t="shared" si="9"/>
        <v>41</v>
      </c>
      <c r="B606" s="132" t="str">
        <f ca="1">IFERROR(__xludf.DUMMYFUNCTION("GOOGLETRANSLATE(B2041:B2056,""RU"",""UK"")"),"Різець токарний прохідний з мех. кріп. ромб. 32х32х160")</f>
        <v>Різець токарний прохідний з мех. кріп. ромб. 32х32х160</v>
      </c>
      <c r="C606" s="59" t="s">
        <v>6</v>
      </c>
      <c r="D606" s="59">
        <v>5</v>
      </c>
      <c r="E606" s="91" t="s">
        <v>53</v>
      </c>
    </row>
    <row r="607" spans="1:5">
      <c r="A607" s="63">
        <f t="shared" si="9"/>
        <v>42</v>
      </c>
      <c r="B607" s="132" t="str">
        <f ca="1">IFERROR(__xludf.DUMMYFUNCTION("GOOGLETRANSLATE(B2042:B2057,""RU"",""UK"")"),"Різець для контурних. точення з мех. кр. паралелогр.""шифер"" 25х25х150прав")</f>
        <v>Різець для контурних. точення з мех. кр. паралелогр."шифер" 25х25х150прав</v>
      </c>
      <c r="C607" s="59" t="s">
        <v>6</v>
      </c>
      <c r="D607" s="59">
        <v>1</v>
      </c>
      <c r="E607" s="91" t="s">
        <v>27</v>
      </c>
    </row>
    <row r="608" spans="1:5">
      <c r="A608" s="63">
        <f t="shared" si="9"/>
        <v>43</v>
      </c>
      <c r="B608" s="132" t="str">
        <f ca="1">IFERROR(__xludf.DUMMYFUNCTION("GOOGLETRANSLATE(B2043:B2058,""RU"",""UK"")"),"Різець для контурних. точення з мех. кр. паралелогр. ""шифер"" 25х25х150лев")</f>
        <v>Різець для контурних. точення з мех. кр. паралелогр. "шифер" 25х25х150лев</v>
      </c>
      <c r="C608" s="59" t="s">
        <v>6</v>
      </c>
      <c r="D608" s="59">
        <v>5</v>
      </c>
      <c r="E608" s="91" t="s">
        <v>27</v>
      </c>
    </row>
    <row r="609" spans="1:5">
      <c r="A609" s="63">
        <f t="shared" si="9"/>
        <v>44</v>
      </c>
      <c r="B609" s="132" t="str">
        <f ca="1">IFERROR(__xludf.DUMMYFUNCTION("GOOGLETRANSLATE(B2044:B2059,""RU"",""UK"")"),"Різець токарний прохідний з мех. кріп. ""Ельбор"" 16х16х110 (+ 1 вставка)")</f>
        <v>Різець токарний прохідний з мех. кріп. "Ельбор" 16х16х110 (+ 1 вставка)</v>
      </c>
      <c r="C609" s="59" t="s">
        <v>6</v>
      </c>
      <c r="D609" s="59">
        <v>1</v>
      </c>
      <c r="E609" s="91" t="s">
        <v>140</v>
      </c>
    </row>
    <row r="610" spans="1:5">
      <c r="A610" s="63">
        <f t="shared" si="9"/>
        <v>45</v>
      </c>
      <c r="B610" s="241" t="str">
        <f ca="1">IFERROR(__xludf.DUMMYFUNCTION("GOOGLETRANSLATE(B2045:B2060,""RU"",""UK"")"),"Різець токарний прохідний з мех. кріп. ""Ельбор"" 16х16х120")</f>
        <v>Різець токарний прохідний з мех. кріп. "Ельбор" 16х16х120</v>
      </c>
      <c r="C610" s="59" t="s">
        <v>6</v>
      </c>
      <c r="D610" s="59">
        <v>0</v>
      </c>
      <c r="E610" s="91" t="s">
        <v>140</v>
      </c>
    </row>
    <row r="611" spans="1:5">
      <c r="A611" s="63">
        <f t="shared" si="9"/>
        <v>46</v>
      </c>
      <c r="B611" s="132" t="str">
        <f ca="1">IFERROR(__xludf.DUMMYFUNCTION("GOOGLETRANSLATE(B2046:B2061,""RU"",""UK"")"),"Різець токарний прохідний з мех. кріп. ""Ельбор"" 3х гр. 20х20х120")</f>
        <v>Різець токарний прохідний з мех. кріп. "Ельбор" 3х гр. 20х20х120</v>
      </c>
      <c r="C611" s="59" t="s">
        <v>6</v>
      </c>
      <c r="D611" s="59">
        <v>1</v>
      </c>
      <c r="E611" s="91" t="s">
        <v>140</v>
      </c>
    </row>
    <row r="612" spans="1:5">
      <c r="A612" s="63">
        <f t="shared" si="9"/>
        <v>47</v>
      </c>
      <c r="B612" s="132" t="str">
        <f ca="1">IFERROR(__xludf.DUMMYFUNCTION("GOOGLETRANSLATE(B2047:B2062,""RU"",""UK"")"),"Різець токарний прохідний з мех. кріп. ""Ельбор"" 20х20х170 (+ 1 вставка)")</f>
        <v>Різець токарний прохідний з мех. кріп. "Ельбор" 20х20х170 (+ 1 вставка)</v>
      </c>
      <c r="C612" s="59" t="s">
        <v>6</v>
      </c>
      <c r="D612" s="59">
        <v>1</v>
      </c>
      <c r="E612" s="91" t="s">
        <v>24</v>
      </c>
    </row>
    <row r="613" spans="1:5">
      <c r="A613" s="63">
        <f t="shared" si="9"/>
        <v>48</v>
      </c>
      <c r="B613" s="241" t="str">
        <f ca="1">IFERROR(__xludf.DUMMYFUNCTION("GOOGLETRANSLATE(B2048:B2063,""RU"",""UK"")"),"Різець токарний прохідний з мех. кріп. ""Ельбор"" 25х16х140")</f>
        <v>Різець токарний прохідний з мех. кріп. "Ельбор" 25х16х140</v>
      </c>
      <c r="C613" s="59" t="s">
        <v>6</v>
      </c>
      <c r="D613" s="59">
        <v>0</v>
      </c>
      <c r="E613" s="91" t="s">
        <v>24</v>
      </c>
    </row>
    <row r="614" spans="1:5">
      <c r="A614" s="63">
        <f t="shared" si="9"/>
        <v>49</v>
      </c>
      <c r="B614" s="132" t="str">
        <f ca="1">IFERROR(__xludf.DUMMYFUNCTION("GOOGLETRANSLATE(B2049:B2064,""RU"",""UK"")"),"Різець токарний підрізний з мех. кріп. ""Ельбор"" 20х20х125")</f>
        <v>Різець токарний підрізний з мех. кріп. "Ельбор" 20х20х125</v>
      </c>
      <c r="C614" s="59" t="s">
        <v>6</v>
      </c>
      <c r="D614" s="59">
        <v>4</v>
      </c>
      <c r="E614" s="91" t="s">
        <v>20</v>
      </c>
    </row>
    <row r="615" spans="1:5">
      <c r="A615" s="63">
        <f t="shared" si="9"/>
        <v>50</v>
      </c>
      <c r="B615" s="132" t="str">
        <f ca="1">IFERROR(__xludf.DUMMYFUNCTION("GOOGLETRANSLATE(B2050:B2065,""RU"",""UK"")"),"Різець токарний підрізний з мех. кріп. ""Ельбор"" 25х20х160 (+2 вставки)")</f>
        <v>Різець токарний підрізний з мех. кріп. "Ельбор" 25х20х160 (+2 вставки)</v>
      </c>
      <c r="C615" s="59" t="s">
        <v>6</v>
      </c>
      <c r="D615" s="59">
        <v>1</v>
      </c>
      <c r="E615" s="91" t="s">
        <v>106</v>
      </c>
    </row>
    <row r="616" spans="1:5">
      <c r="A616" s="63">
        <f t="shared" si="9"/>
        <v>51</v>
      </c>
      <c r="B616" s="132" t="str">
        <f ca="1">IFERROR(__xludf.DUMMYFUNCTION("GOOGLETRANSLATE(B2051:B2066,""RU"",""UK"")"),"Різець токарний підрізний з мех. кріп. ромб 20х20х125")</f>
        <v>Різець токарний підрізний з мех. кріп. ромб 20х20х125</v>
      </c>
      <c r="C616" s="59" t="s">
        <v>6</v>
      </c>
      <c r="D616" s="59">
        <v>1</v>
      </c>
      <c r="E616" s="91" t="s">
        <v>162</v>
      </c>
    </row>
    <row r="617" spans="1:5">
      <c r="A617" s="63">
        <f t="shared" si="9"/>
        <v>52</v>
      </c>
      <c r="B617" s="132" t="str">
        <f ca="1">IFERROR(__xludf.DUMMYFUNCTION("GOOGLETRANSLATE(B2052:B2067,""RU"",""UK"")"),"Різець токарний підрізний з мех. кріп. ромб 25х25х150")</f>
        <v>Різець токарний підрізний з мех. кріп. ромб 25х25х150</v>
      </c>
      <c r="C617" s="59" t="s">
        <v>6</v>
      </c>
      <c r="D617" s="59">
        <v>1</v>
      </c>
      <c r="E617" s="91" t="s">
        <v>272</v>
      </c>
    </row>
    <row r="618" spans="1:5">
      <c r="A618" s="63">
        <f t="shared" si="9"/>
        <v>53</v>
      </c>
      <c r="B618" s="132" t="str">
        <f ca="1">IFERROR(__xludf.DUMMYFUNCTION("GOOGLETRANSLATE(B2053:B2068,""RU"",""UK"")"),"Різець токарний розточний глухий. з мех. кріп. D3х3 24х24х170")</f>
        <v>Різець токарний розточний глухий. з мех. кріп. D3х3 24х24х170</v>
      </c>
      <c r="C618" s="59" t="s">
        <v>6</v>
      </c>
      <c r="D618" s="59">
        <v>1</v>
      </c>
      <c r="E618" s="91" t="s">
        <v>16</v>
      </c>
    </row>
    <row r="619" spans="1:5">
      <c r="A619" s="63">
        <f t="shared" si="9"/>
        <v>54</v>
      </c>
      <c r="B619" s="132" t="str">
        <f ca="1">IFERROR(__xludf.DUMMYFUNCTION("GOOGLETRANSLATE(B2054:B2069,""RU"",""UK"")"),"Різець токарний розточний глухий. з мех. кріп. D3х3 20х25х200")</f>
        <v>Різець токарний розточний глухий. з мех. кріп. D3х3 20х25х200</v>
      </c>
      <c r="C619" s="59" t="s">
        <v>6</v>
      </c>
      <c r="D619" s="59">
        <v>1</v>
      </c>
      <c r="E619" s="91" t="s">
        <v>16</v>
      </c>
    </row>
    <row r="620" spans="1:5">
      <c r="A620" s="63">
        <f t="shared" si="9"/>
        <v>55</v>
      </c>
      <c r="B620" s="132" t="str">
        <f ca="1">IFERROR(__xludf.DUMMYFUNCTION("GOOGLETRANSLATE(B2055:B2070,""RU"",""UK"")"),"Різець токарний розточний глухий. з мех. кріп. Ромб. 25х200 лев")</f>
        <v>Різець токарний розточний глухий. з мех. кріп. Ромб. 25х200 лев</v>
      </c>
      <c r="C620" s="59" t="s">
        <v>6</v>
      </c>
      <c r="D620" s="59">
        <v>1</v>
      </c>
      <c r="E620" s="91" t="s">
        <v>27</v>
      </c>
    </row>
    <row r="621" spans="1:5">
      <c r="A621" s="63">
        <f t="shared" si="9"/>
        <v>56</v>
      </c>
      <c r="B621" s="132" t="str">
        <f ca="1">IFERROR(__xludf.DUMMYFUNCTION("GOOGLETRANSLATE(B2055:B2070,""RU"",""UK"")"),"Різець токарний розточний глухий. з мех. кріп. Квадрат, кераміка 12,5х12,5. 25х32х200")</f>
        <v>Різець токарний розточний глухий. з мех. кріп. Квадрат, кераміка 12,5х12,5. 25х32х200</v>
      </c>
      <c r="C621" s="59" t="s">
        <v>6</v>
      </c>
      <c r="D621" s="59">
        <v>6</v>
      </c>
      <c r="E621" s="91" t="s">
        <v>27</v>
      </c>
    </row>
    <row r="622" spans="1:5">
      <c r="A622" s="63">
        <f t="shared" si="9"/>
        <v>57</v>
      </c>
      <c r="B622" s="132" t="str">
        <f ca="1">IFERROR(__xludf.DUMMYFUNCTION("GOOGLETRANSLATE(B2056:B2071,""RU"",""UK"")"),"Різець токарний розточний глухий. з мех. кріп. 40х250")</f>
        <v>Різець токарний розточний глухий. з мех. кріп. 40х250</v>
      </c>
      <c r="C622" s="59" t="s">
        <v>6</v>
      </c>
      <c r="D622" s="59">
        <v>1</v>
      </c>
      <c r="E622" s="91" t="s">
        <v>27</v>
      </c>
    </row>
    <row r="623" spans="1:5">
      <c r="A623" s="63">
        <f t="shared" si="9"/>
        <v>58</v>
      </c>
      <c r="B623" s="132" t="str">
        <f ca="1">IFERROR(__xludf.DUMMYFUNCTION("GOOGLETRANSLATE(B2057:B2072,""RU"",""UK"")"),"Різець токарний розточувальний наскріз. з мех. кріп. ромб 23х25х200")</f>
        <v>Різець токарний розточувальний наскріз. з мех. кріп. ромб 23х25х200</v>
      </c>
      <c r="C623" s="59" t="s">
        <v>6</v>
      </c>
      <c r="D623" s="59">
        <v>1</v>
      </c>
      <c r="E623" s="91" t="s">
        <v>27</v>
      </c>
    </row>
    <row r="624" spans="1:5">
      <c r="A624" s="63">
        <f t="shared" si="9"/>
        <v>59</v>
      </c>
      <c r="B624" s="132" t="str">
        <f ca="1">IFERROR(__xludf.DUMMYFUNCTION("GOOGLETRANSLATE(B2059:B2074,""RU"",""UK"")"),"Різець токарний розточувальні з мех. кріп. ""Ельбор"" 25х20х170")</f>
        <v>Різець токарний розточувальні з мех. кріп. "Ельбор" 25х20х170</v>
      </c>
      <c r="C624" s="59" t="s">
        <v>6</v>
      </c>
      <c r="D624" s="59">
        <v>4</v>
      </c>
      <c r="E624" s="91" t="s">
        <v>272</v>
      </c>
    </row>
    <row r="625" spans="1:5">
      <c r="A625" s="63">
        <f t="shared" si="9"/>
        <v>60</v>
      </c>
      <c r="B625" s="132" t="str">
        <f ca="1">IFERROR(__xludf.DUMMYFUNCTION("GOOGLETRANSLATE(B2060:B2075,""RU"",""UK"")"),"Різець токарний розточувальні з мех. кріп. ""Гексоніт"" 22х25х200")</f>
        <v>Різець токарний розточувальні з мех. кріп. "Гексоніт" 22х25х200</v>
      </c>
      <c r="C625" s="59" t="s">
        <v>6</v>
      </c>
      <c r="D625" s="59">
        <v>3</v>
      </c>
      <c r="E625" s="91" t="s">
        <v>18</v>
      </c>
    </row>
    <row r="626" spans="1:5">
      <c r="A626" s="63">
        <f t="shared" si="9"/>
        <v>61</v>
      </c>
      <c r="B626" s="132" t="str">
        <f ca="1">IFERROR(__xludf.DUMMYFUNCTION("GOOGLETRANSLATE(B2061:B2076,""RU"",""UK"")"),"Різець токарний розточувальний наскріз. з мех. кріп. ""Гексоніт"" 22х23х170")</f>
        <v>Різець токарний розточувальний наскріз. з мех. кріп. "Гексоніт" 22х23х170</v>
      </c>
      <c r="C626" s="59" t="s">
        <v>6</v>
      </c>
      <c r="D626" s="59">
        <v>1</v>
      </c>
      <c r="E626" s="91" t="s">
        <v>18</v>
      </c>
    </row>
  </sheetData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"/>
  <sheetViews>
    <sheetView topLeftCell="A22" zoomScale="190" zoomScaleNormal="190" workbookViewId="0">
      <selection activeCell="B6" sqref="B6"/>
    </sheetView>
  </sheetViews>
  <sheetFormatPr defaultRowHeight="12.75"/>
  <cols>
    <col min="2" max="2" width="57.28515625" customWidth="1"/>
  </cols>
  <sheetData>
    <row r="1" spans="1:5">
      <c r="A1" s="68"/>
      <c r="B1" s="119" t="s">
        <v>6061</v>
      </c>
      <c r="C1" s="69"/>
      <c r="D1" s="69"/>
      <c r="E1" s="106"/>
    </row>
    <row r="2" spans="1:5">
      <c r="A2" s="21">
        <v>1</v>
      </c>
      <c r="B2" s="47" t="str">
        <f ca="1">IFERROR(__xludf.DUMMYFUNCTION("GOOGLETRANSLATE(B4109:B4124,""RU"",""UK"")"),"Хомут 8 - 12мм оц")</f>
        <v>Хомут 8 - 12мм оц</v>
      </c>
      <c r="C2" s="59" t="s">
        <v>6</v>
      </c>
      <c r="D2" s="59">
        <v>2</v>
      </c>
      <c r="E2" s="91" t="s">
        <v>1279</v>
      </c>
    </row>
    <row r="3" spans="1:5">
      <c r="A3" s="21">
        <v>2</v>
      </c>
      <c r="B3" s="85" t="str">
        <f ca="1">IFERROR(__xludf.DUMMYFUNCTION("GOOGLETRANSLATE(B4110:B4125,""RU"",""UK"")"),"12 - 20мм оц")</f>
        <v>12 - 20мм оц</v>
      </c>
      <c r="C3" s="59" t="s">
        <v>6</v>
      </c>
      <c r="D3" s="59">
        <v>0</v>
      </c>
      <c r="E3" s="91" t="s">
        <v>631</v>
      </c>
    </row>
    <row r="4" spans="1:5">
      <c r="A4" s="21">
        <v>3</v>
      </c>
      <c r="B4" s="85" t="str">
        <f ca="1">IFERROR(__xludf.DUMMYFUNCTION("GOOGLETRANSLATE(B4111:B4126,""RU"",""UK"")"),"16 - 27мм оц")</f>
        <v>16 - 27мм оц</v>
      </c>
      <c r="C4" s="59" t="s">
        <v>6</v>
      </c>
      <c r="D4" s="59">
        <v>0</v>
      </c>
      <c r="E4" s="91" t="s">
        <v>132</v>
      </c>
    </row>
    <row r="5" spans="1:5">
      <c r="A5" s="21">
        <v>4</v>
      </c>
      <c r="B5" s="85" t="str">
        <f ca="1">IFERROR(__xludf.DUMMYFUNCTION("GOOGLETRANSLATE(B4112:B4127,""RU"",""UK"")"),"20 - 32мм нерж")</f>
        <v>20 - 32мм нерж</v>
      </c>
      <c r="C5" s="59" t="s">
        <v>6</v>
      </c>
      <c r="D5" s="59">
        <v>0</v>
      </c>
      <c r="E5" s="91" t="s">
        <v>631</v>
      </c>
    </row>
    <row r="6" spans="1:5">
      <c r="A6" s="21">
        <v>5</v>
      </c>
      <c r="B6" s="85" t="str">
        <f ca="1">IFERROR(__xludf.DUMMYFUNCTION("GOOGLETRANSLATE(B4113:B4128,""RU"",""UK"")"),"23 - 35мм оц")</f>
        <v>23 - 35мм оц</v>
      </c>
      <c r="C6" s="59" t="s">
        <v>6</v>
      </c>
      <c r="D6" s="59">
        <v>2</v>
      </c>
      <c r="E6" s="91" t="s">
        <v>1236</v>
      </c>
    </row>
    <row r="7" spans="1:5">
      <c r="A7" s="21">
        <v>6</v>
      </c>
      <c r="B7" s="85" t="str">
        <f ca="1">IFERROR(__xludf.DUMMYFUNCTION("GOOGLETRANSLATE(B4114:B4129,""RU"",""UK"")"),"25 - 40мм нерж")</f>
        <v>25 - 40мм нерж</v>
      </c>
      <c r="C7" s="59" t="s">
        <v>6</v>
      </c>
      <c r="D7" s="59">
        <v>1</v>
      </c>
      <c r="E7" s="91" t="s">
        <v>631</v>
      </c>
    </row>
    <row r="8" spans="1:5">
      <c r="A8" s="21">
        <v>7</v>
      </c>
      <c r="B8" s="85" t="str">
        <f ca="1">IFERROR(__xludf.DUMMYFUNCTION("GOOGLETRANSLATE(B4115:B4130,""RU"",""UK"")"),"28 - 48мм оц")</f>
        <v>28 - 48мм оц</v>
      </c>
      <c r="C8" s="59" t="s">
        <v>6</v>
      </c>
      <c r="D8" s="59">
        <v>9</v>
      </c>
      <c r="E8" s="91" t="s">
        <v>361</v>
      </c>
    </row>
    <row r="9" spans="1:5">
      <c r="A9" s="21">
        <v>8</v>
      </c>
      <c r="B9" s="85" t="str">
        <f ca="1">IFERROR(__xludf.DUMMYFUNCTION("GOOGLETRANSLATE(B4116:B4131,""RU"",""UK"")"),"32 - 50мм нерж")</f>
        <v>32 - 50мм нерж</v>
      </c>
      <c r="C9" s="59" t="s">
        <v>6</v>
      </c>
      <c r="D9" s="59">
        <v>0</v>
      </c>
      <c r="E9" s="91" t="s">
        <v>286</v>
      </c>
    </row>
    <row r="10" spans="1:5">
      <c r="A10" s="21">
        <v>9</v>
      </c>
      <c r="B10" s="85" t="str">
        <f ca="1">IFERROR(__xludf.DUMMYFUNCTION("GOOGLETRANSLATE(B4117:B4132,""RU"",""UK"")"),"38 - 58мм оц")</f>
        <v>38 - 58мм оц</v>
      </c>
      <c r="C10" s="59" t="s">
        <v>6</v>
      </c>
      <c r="D10" s="59">
        <v>8</v>
      </c>
      <c r="E10" s="91" t="s">
        <v>417</v>
      </c>
    </row>
    <row r="11" spans="1:5">
      <c r="A11" s="21">
        <v>10</v>
      </c>
      <c r="B11" s="85" t="str">
        <f ca="1">IFERROR(__xludf.DUMMYFUNCTION("GOOGLETRANSLATE(B4118:B4133,""RU"",""UK"")"),"44 - 64мм оц")</f>
        <v>44 - 64мм оц</v>
      </c>
      <c r="C11" s="59" t="s">
        <v>6</v>
      </c>
      <c r="D11" s="59">
        <v>4</v>
      </c>
      <c r="E11" s="91">
        <v>21</v>
      </c>
    </row>
    <row r="12" spans="1:5">
      <c r="A12" s="21">
        <v>11</v>
      </c>
      <c r="B12" s="115" t="str">
        <f ca="1">IFERROR(__xludf.DUMMYFUNCTION("GOOGLETRANSLATE(B4119:B4134,""RU"",""UK"")"),"50 - 70мм нерж")</f>
        <v>50 - 70мм нерж</v>
      </c>
      <c r="C12" s="59" t="s">
        <v>6</v>
      </c>
      <c r="D12" s="59">
        <v>18</v>
      </c>
      <c r="E12" s="91">
        <v>27</v>
      </c>
    </row>
    <row r="13" spans="1:5">
      <c r="A13" s="21">
        <v>12</v>
      </c>
      <c r="B13" s="115" t="str">
        <f ca="1">IFERROR(__xludf.DUMMYFUNCTION("GOOGLETRANSLATE(B4119:B4134,""RU"",""UK"")"),"60 - 80мм нерж")</f>
        <v>60 - 80мм нерж</v>
      </c>
      <c r="C13" s="59" t="s">
        <v>6</v>
      </c>
      <c r="D13" s="59">
        <v>4</v>
      </c>
      <c r="E13" s="91">
        <v>30</v>
      </c>
    </row>
    <row r="14" spans="1:5">
      <c r="A14" s="68"/>
      <c r="B14" s="119" t="s">
        <v>6089</v>
      </c>
      <c r="C14" s="69"/>
      <c r="D14" s="69"/>
      <c r="E14" s="106"/>
    </row>
    <row r="15" spans="1:5">
      <c r="A15" s="21">
        <v>1</v>
      </c>
      <c r="B15" s="47" t="str">
        <f ca="1">IFERROR(__xludf.DUMMYFUNCTION("GOOGLETRANSLATE(B4121:B4136,""RU"",""UK"")"),"Ремінь клиновий О (Z) - 500")</f>
        <v>Ремінь клиновий О (Z) - 500</v>
      </c>
      <c r="C15" s="59" t="s">
        <v>6</v>
      </c>
      <c r="D15" s="59">
        <v>2</v>
      </c>
      <c r="E15" s="91" t="s">
        <v>169</v>
      </c>
    </row>
    <row r="16" spans="1:5">
      <c r="A16" s="21">
        <v>2</v>
      </c>
      <c r="B16" s="85" t="str">
        <f ca="1">IFERROR(__xludf.DUMMYFUNCTION("GOOGLETRANSLATE(B4122:B4137,""RU"",""UK"")"),"Ремінь клиновий О (Z) - 530")</f>
        <v>Ремінь клиновий О (Z) - 530</v>
      </c>
      <c r="C16" s="59" t="s">
        <v>6</v>
      </c>
      <c r="D16" s="59">
        <v>10</v>
      </c>
      <c r="E16" s="91" t="s">
        <v>169</v>
      </c>
    </row>
    <row r="17" spans="1:5">
      <c r="A17" s="21">
        <v>3</v>
      </c>
      <c r="B17" s="85" t="str">
        <f ca="1">IFERROR(__xludf.DUMMYFUNCTION("GOOGLETRANSLATE(B4123:B4138,""RU"",""UK"")"),"Ремінь клиновий О (Z) - 560")</f>
        <v>Ремінь клиновий О (Z) - 560</v>
      </c>
      <c r="C17" s="59" t="s">
        <v>6</v>
      </c>
      <c r="D17" s="59">
        <v>6</v>
      </c>
      <c r="E17" s="91" t="s">
        <v>201</v>
      </c>
    </row>
    <row r="18" spans="1:5">
      <c r="A18" s="21">
        <v>4</v>
      </c>
      <c r="B18" s="85" t="str">
        <f ca="1">IFERROR(__xludf.DUMMYFUNCTION("GOOGLETRANSLATE(B4124:B4139,""RU"",""UK"")"),"Ремінь клиновий О (Z) - 630")</f>
        <v>Ремінь клиновий О (Z) - 630</v>
      </c>
      <c r="C18" s="59" t="s">
        <v>6</v>
      </c>
      <c r="D18" s="59">
        <v>1</v>
      </c>
      <c r="E18" s="91" t="s">
        <v>253</v>
      </c>
    </row>
    <row r="19" spans="1:5">
      <c r="A19" s="21">
        <v>5</v>
      </c>
      <c r="B19" s="85" t="str">
        <f ca="1">IFERROR(__xludf.DUMMYFUNCTION("GOOGLETRANSLATE(B4125:B4140,""RU"",""UK"")"),"Ремінь клиновий О (Z) - 900")</f>
        <v>Ремінь клиновий О (Z) - 900</v>
      </c>
      <c r="C19" s="59" t="s">
        <v>6</v>
      </c>
      <c r="D19" s="59">
        <v>2</v>
      </c>
      <c r="E19" s="91" t="s">
        <v>596</v>
      </c>
    </row>
    <row r="20" spans="1:5">
      <c r="A20" s="21">
        <v>6</v>
      </c>
      <c r="B20" s="85" t="str">
        <f ca="1">IFERROR(__xludf.DUMMYFUNCTION("GOOGLETRANSLATE(B4126:B4141,""RU"",""UK"")"),"Ремінь клиновий О (Z) - 950")</f>
        <v>Ремінь клиновий О (Z) - 950</v>
      </c>
      <c r="C20" s="59" t="s">
        <v>6</v>
      </c>
      <c r="D20" s="59">
        <v>2</v>
      </c>
      <c r="E20" s="91" t="s">
        <v>598</v>
      </c>
    </row>
    <row r="21" spans="1:5">
      <c r="A21" s="21">
        <v>7</v>
      </c>
      <c r="B21" s="85" t="str">
        <f ca="1">IFERROR(__xludf.DUMMYFUNCTION("GOOGLETRANSLATE(B4127:B4142,""RU"",""UK"")"),"Ремінь клиновий О (Z) - 1018")</f>
        <v>Ремінь клиновий О (Z) - 1018</v>
      </c>
      <c r="C21" s="59" t="s">
        <v>6</v>
      </c>
      <c r="D21" s="59">
        <v>5</v>
      </c>
      <c r="E21" s="91" t="s">
        <v>226</v>
      </c>
    </row>
    <row r="22" spans="1:5">
      <c r="A22" s="21">
        <v>8</v>
      </c>
      <c r="B22" s="85" t="str">
        <f ca="1">IFERROR(__xludf.DUMMYFUNCTION("GOOGLETRANSLATE(B4128:B4143,""RU"",""UK"")"),"Ремінь клиновий О (Z) - 1120")</f>
        <v>Ремінь клиновий О (Z) - 1120</v>
      </c>
      <c r="C22" s="59" t="s">
        <v>6</v>
      </c>
      <c r="D22" s="59">
        <v>1</v>
      </c>
      <c r="E22" s="91" t="s">
        <v>371</v>
      </c>
    </row>
    <row r="23" spans="1:5">
      <c r="A23" s="21">
        <v>9</v>
      </c>
      <c r="B23" s="85" t="str">
        <f ca="1">IFERROR(__xludf.DUMMYFUNCTION("GOOGLETRANSLATE(B4129:B4144,""RU"",""UK"")"),"Ремінь клиновий О (Z) - 1280")</f>
        <v>Ремінь клиновий О (Z) - 1280</v>
      </c>
      <c r="C23" s="59" t="s">
        <v>6</v>
      </c>
      <c r="D23" s="59">
        <v>1</v>
      </c>
      <c r="E23" s="91" t="s">
        <v>614</v>
      </c>
    </row>
    <row r="24" spans="1:5">
      <c r="A24" s="21">
        <v>10</v>
      </c>
      <c r="B24" s="85" t="str">
        <f ca="1">IFERROR(__xludf.DUMMYFUNCTION("GOOGLETRANSLATE(B4130:B4145,""RU"",""UK"")"),"Ремінь клиновий О (Z) - 1600")</f>
        <v>Ремінь клиновий О (Z) - 1600</v>
      </c>
      <c r="C24" s="59" t="s">
        <v>6</v>
      </c>
      <c r="D24" s="59">
        <v>5</v>
      </c>
      <c r="E24" s="91" t="s">
        <v>338</v>
      </c>
    </row>
    <row r="25" spans="1:5">
      <c r="A25" s="21">
        <v>11</v>
      </c>
      <c r="B25" s="85" t="str">
        <f ca="1">IFERROR(__xludf.DUMMYFUNCTION("GOOGLETRANSLATE(B4131:B4146,""RU"",""UK"")"),"Ремінь клиновий О (Z) - 2120")</f>
        <v>Ремінь клиновий О (Z) - 2120</v>
      </c>
      <c r="C25" s="59" t="s">
        <v>6</v>
      </c>
      <c r="D25" s="59">
        <v>5</v>
      </c>
      <c r="E25" s="91" t="s">
        <v>185</v>
      </c>
    </row>
    <row r="26" spans="1:5">
      <c r="A26" s="21">
        <v>12</v>
      </c>
      <c r="B26" s="85" t="str">
        <f ca="1">IFERROR(__xludf.DUMMYFUNCTION("GOOGLETRANSLATE(B4132:B4147,""RU"",""UK"")"),"Ремінь клинової А - 710")</f>
        <v>Ремінь клинової А - 710</v>
      </c>
      <c r="C26" s="59" t="s">
        <v>6</v>
      </c>
      <c r="D26" s="59">
        <v>3</v>
      </c>
      <c r="E26" s="91" t="s">
        <v>596</v>
      </c>
    </row>
    <row r="27" spans="1:5">
      <c r="A27" s="21">
        <v>13</v>
      </c>
      <c r="B27" s="85" t="str">
        <f ca="1">IFERROR(__xludf.DUMMYFUNCTION("GOOGLETRANSLATE(B4133:B4148,""RU"",""UK"")"),"Ремінь клинової А - 850")</f>
        <v>Ремінь клинової А - 850</v>
      </c>
      <c r="C27" s="59" t="s">
        <v>6</v>
      </c>
      <c r="D27" s="59">
        <v>14</v>
      </c>
      <c r="E27" s="91" t="s">
        <v>209</v>
      </c>
    </row>
    <row r="28" spans="1:5">
      <c r="A28" s="21">
        <v>14</v>
      </c>
      <c r="B28" s="85" t="str">
        <f ca="1">IFERROR(__xludf.DUMMYFUNCTION("GOOGLETRANSLATE(B4134:B4149,""RU"",""UK"")"),"Ремінь клинової А - 1500")</f>
        <v>Ремінь клинової А - 1500</v>
      </c>
      <c r="C28" s="59" t="s">
        <v>6</v>
      </c>
      <c r="D28" s="59">
        <v>14</v>
      </c>
      <c r="E28" s="91" t="s">
        <v>212</v>
      </c>
    </row>
    <row r="29" spans="1:5">
      <c r="A29" s="21">
        <v>15</v>
      </c>
      <c r="B29" s="85" t="str">
        <f ca="1">IFERROR(__xludf.DUMMYFUNCTION("GOOGLETRANSLATE(B4135:B4150,""RU"",""UK"")"),"Ремінь клинової А - 1750")</f>
        <v>Ремінь клинової А - 1750</v>
      </c>
      <c r="C29" s="59" t="s">
        <v>6</v>
      </c>
      <c r="D29" s="59">
        <v>48</v>
      </c>
      <c r="E29" s="91" t="s">
        <v>2106</v>
      </c>
    </row>
    <row r="30" spans="1:5">
      <c r="A30" s="21">
        <v>16</v>
      </c>
      <c r="B30" s="85" t="str">
        <f ca="1">IFERROR(__xludf.DUMMYFUNCTION("GOOGLETRANSLATE(B4136:B4151,""RU"",""UK"")"),"Ремінь клинової А - 1900")</f>
        <v>Ремінь клинової А - 1900</v>
      </c>
      <c r="C30" s="59" t="s">
        <v>6</v>
      </c>
      <c r="D30" s="59">
        <v>16</v>
      </c>
      <c r="E30" s="91" t="s">
        <v>136</v>
      </c>
    </row>
    <row r="31" spans="1:5">
      <c r="A31" s="21">
        <v>17</v>
      </c>
      <c r="B31" s="85" t="str">
        <f ca="1">IFERROR(__xludf.DUMMYFUNCTION("GOOGLETRANSLATE(B4137:B4152,""RU"",""UK"")"),"Ремінь клинової А - 2500")</f>
        <v>Ремінь клинової А - 2500</v>
      </c>
      <c r="C31" s="59" t="s">
        <v>6</v>
      </c>
      <c r="D31" s="59">
        <v>20</v>
      </c>
      <c r="E31" s="91" t="s">
        <v>557</v>
      </c>
    </row>
    <row r="32" spans="1:5">
      <c r="A32" s="21">
        <v>18</v>
      </c>
      <c r="B32" s="85" t="str">
        <f ca="1">IFERROR(__xludf.DUMMYFUNCTION("GOOGLETRANSLATE(B4138:B4153,""RU"",""UK"")"),"Ремінь клинової А - 2550")</f>
        <v>Ремінь клинової А - 2550</v>
      </c>
      <c r="C32" s="59" t="s">
        <v>6</v>
      </c>
      <c r="D32" s="59">
        <v>25</v>
      </c>
      <c r="E32" s="91" t="s">
        <v>557</v>
      </c>
    </row>
    <row r="33" spans="1:5">
      <c r="A33" s="21">
        <v>19</v>
      </c>
      <c r="B33" s="85" t="str">
        <f ca="1">IFERROR(__xludf.DUMMYFUNCTION("GOOGLETRANSLATE(B4139:B4154,""RU"",""UK"")"),"Ремінь клинової А - 2800")</f>
        <v>Ремінь клинової А - 2800</v>
      </c>
      <c r="C33" s="59" t="s">
        <v>6</v>
      </c>
      <c r="D33" s="59">
        <v>34</v>
      </c>
      <c r="E33" s="91" t="s">
        <v>216</v>
      </c>
    </row>
    <row r="34" spans="1:5">
      <c r="A34" s="21">
        <v>20</v>
      </c>
      <c r="B34" s="85" t="str">
        <f ca="1">IFERROR(__xludf.DUMMYFUNCTION("GOOGLETRANSLATE(B4140:B4155,""RU"",""UK"")"),"Ремінь клинової А - 2850")</f>
        <v>Ремінь клинової А - 2850</v>
      </c>
      <c r="C34" s="59" t="s">
        <v>6</v>
      </c>
      <c r="D34" s="59">
        <v>14</v>
      </c>
      <c r="E34" s="91" t="s">
        <v>539</v>
      </c>
    </row>
    <row r="35" spans="1:5">
      <c r="A35" s="21">
        <v>21</v>
      </c>
      <c r="B35" s="85" t="str">
        <f ca="1">IFERROR(__xludf.DUMMYFUNCTION("GOOGLETRANSLATE(B4141:B4156,""RU"",""UK"")"),"Ремінь клиновий Б(В) - 710")</f>
        <v>Ремінь клиновий Б(В) - 710</v>
      </c>
      <c r="C35" s="59" t="s">
        <v>6</v>
      </c>
      <c r="D35" s="59">
        <v>5</v>
      </c>
      <c r="E35" s="91" t="s">
        <v>255</v>
      </c>
    </row>
    <row r="36" spans="1:5">
      <c r="A36" s="21">
        <v>22</v>
      </c>
      <c r="B36" s="85" t="str">
        <f ca="1">IFERROR(__xludf.DUMMYFUNCTION("GOOGLETRANSLATE(B4142:B4157,""RU"",""UK"")"),"Ремінь клиновий Б(В) - 750")</f>
        <v>Ремінь клиновий Б(В) - 750</v>
      </c>
      <c r="C36" s="59" t="s">
        <v>6</v>
      </c>
      <c r="D36" s="59">
        <v>46</v>
      </c>
      <c r="E36" s="91" t="s">
        <v>598</v>
      </c>
    </row>
    <row r="37" spans="1:5">
      <c r="A37" s="21">
        <v>23</v>
      </c>
      <c r="B37" s="85" t="str">
        <f ca="1">IFERROR(__xludf.DUMMYFUNCTION("GOOGLETRANSLATE(B4143:B4158,""RU"",""UK"")"),"Ремінь клиновий Б(В) - 900")</f>
        <v>Ремінь клиновий Б(В) - 900</v>
      </c>
      <c r="C37" s="59" t="s">
        <v>6</v>
      </c>
      <c r="D37" s="59">
        <v>33</v>
      </c>
      <c r="E37" s="91" t="s">
        <v>226</v>
      </c>
    </row>
    <row r="38" spans="1:5">
      <c r="A38" s="21">
        <v>24</v>
      </c>
      <c r="B38" s="85" t="str">
        <f ca="1">IFERROR(__xludf.DUMMYFUNCTION("GOOGLETRANSLATE(B4144:B4159,""RU"",""UK"")"),"Ремінь клиновий Б(В) - 937")</f>
        <v>Ремінь клиновий Б(В) - 937</v>
      </c>
      <c r="C38" s="59" t="s">
        <v>6</v>
      </c>
      <c r="D38" s="59">
        <v>8</v>
      </c>
      <c r="E38" s="91" t="s">
        <v>104</v>
      </c>
    </row>
    <row r="39" spans="1:5">
      <c r="A39" s="21">
        <v>25</v>
      </c>
      <c r="B39" s="85" t="str">
        <f ca="1">IFERROR(__xludf.DUMMYFUNCTION("GOOGLETRANSLATE(B4145:B4160,""RU"",""UK"")"),"Ремінь клиновий Б(В) - 1120")</f>
        <v>Ремінь клиновий Б(В) - 1120</v>
      </c>
      <c r="C39" s="59" t="s">
        <v>6</v>
      </c>
      <c r="D39" s="59">
        <v>2</v>
      </c>
      <c r="E39" s="91" t="s">
        <v>185</v>
      </c>
    </row>
    <row r="40" spans="1:5">
      <c r="A40" s="21">
        <v>26</v>
      </c>
      <c r="B40" s="85" t="str">
        <f ca="1">IFERROR(__xludf.DUMMYFUNCTION("GOOGLETRANSLATE(B4146:B4161,""RU"",""UK"")"),"Ремінь клиновий Б(В) - 1180")</f>
        <v>Ремінь клиновий Б(В) - 1180</v>
      </c>
      <c r="C40" s="59" t="s">
        <v>6</v>
      </c>
      <c r="D40" s="59">
        <v>12</v>
      </c>
      <c r="E40" s="91" t="s">
        <v>2106</v>
      </c>
    </row>
    <row r="41" spans="1:5">
      <c r="A41" s="21">
        <v>27</v>
      </c>
      <c r="B41" s="85" t="str">
        <f ca="1">IFERROR(__xludf.DUMMYFUNCTION("GOOGLETRANSLATE(B4147:B4162,""RU"",""UK"")"),"Ремінь клиновий Б(В) - 1320")</f>
        <v>Ремінь клиновий Б(В) - 1320</v>
      </c>
      <c r="C41" s="59" t="s">
        <v>6</v>
      </c>
      <c r="D41" s="59">
        <v>4</v>
      </c>
      <c r="E41" s="91" t="s">
        <v>1194</v>
      </c>
    </row>
    <row r="42" spans="1:5">
      <c r="A42" s="21">
        <v>28</v>
      </c>
      <c r="B42" s="85" t="str">
        <f ca="1">IFERROR(__xludf.DUMMYFUNCTION("GOOGLETRANSLATE(B4148:B4163,""RU"",""UK"")"),"Ремінь клиновий Б(В) - 1900")</f>
        <v>Ремінь клиновий Б(В) - 1900</v>
      </c>
      <c r="C42" s="59" t="s">
        <v>6</v>
      </c>
      <c r="D42" s="59">
        <v>13</v>
      </c>
      <c r="E42" s="91" t="s">
        <v>319</v>
      </c>
    </row>
    <row r="43" spans="1:5">
      <c r="A43" s="21">
        <v>28</v>
      </c>
      <c r="B43" s="85" t="str">
        <f ca="1">IFERROR(__xludf.DUMMYFUNCTION("GOOGLETRANSLATE(B4149:B4164,""RU"",""UK"")"),"Ремінь клиновий Б(В) - 2100")</f>
        <v>Ремінь клиновий Б(В) - 2100</v>
      </c>
      <c r="C43" s="59" t="s">
        <v>6</v>
      </c>
      <c r="D43" s="59">
        <v>3</v>
      </c>
      <c r="E43" s="91" t="s">
        <v>567</v>
      </c>
    </row>
    <row r="44" spans="1:5">
      <c r="A44" s="21">
        <v>28</v>
      </c>
      <c r="B44" s="85" t="str">
        <f ca="1">IFERROR(__xludf.DUMMYFUNCTION("GOOGLETRANSLATE(B4149:B4164,""RU"",""UK"")"),"Ремінь клиновий Б(В) - 2120")</f>
        <v>Ремінь клиновий Б(В) - 2120</v>
      </c>
      <c r="C44" s="59" t="s">
        <v>6</v>
      </c>
      <c r="D44" s="59">
        <v>1</v>
      </c>
      <c r="E44" s="91" t="s">
        <v>567</v>
      </c>
    </row>
    <row r="45" spans="1:5">
      <c r="A45" s="21">
        <v>30</v>
      </c>
      <c r="B45" s="85" t="str">
        <f ca="1">IFERROR(__xludf.DUMMYFUNCTION("GOOGLETRANSLATE(B4150:B4165,""RU"",""UK"")"),"Ремінь клиновий Б(В) - 2360")</f>
        <v>Ремінь клиновий Б(В) - 2360</v>
      </c>
      <c r="C45" s="59" t="s">
        <v>6</v>
      </c>
      <c r="D45" s="59">
        <v>7</v>
      </c>
      <c r="E45" s="91" t="s">
        <v>1559</v>
      </c>
    </row>
    <row r="46" spans="1:5">
      <c r="A46" s="21">
        <v>31</v>
      </c>
      <c r="B46" s="85" t="str">
        <f ca="1">IFERROR(__xludf.DUMMYFUNCTION("GOOGLETRANSLATE(B4151:B4166,""RU"",""UK"")"),"Ремінь клиновий Б(В) (SPB) - 4000")</f>
        <v>Ремінь клиновий Б(В) (SPB) - 4000</v>
      </c>
      <c r="C46" s="59" t="s">
        <v>6</v>
      </c>
      <c r="D46" s="59">
        <v>6</v>
      </c>
      <c r="E46" s="91" t="s">
        <v>327</v>
      </c>
    </row>
    <row r="47" spans="1:5">
      <c r="A47" s="21">
        <v>32</v>
      </c>
      <c r="B47" s="85" t="str">
        <f ca="1">IFERROR(__xludf.DUMMYFUNCTION("GOOGLETRANSLATE(B4152:B4167,""RU"",""UK"")"),"Ремінь клиновий В(С) - 710")</f>
        <v>Ремінь клиновий В(С) - 710</v>
      </c>
      <c r="C47" s="59" t="s">
        <v>6</v>
      </c>
      <c r="D47" s="59">
        <v>7</v>
      </c>
      <c r="E47" s="91" t="s">
        <v>209</v>
      </c>
    </row>
    <row r="48" spans="1:5">
      <c r="A48" s="21">
        <v>33</v>
      </c>
      <c r="B48" s="85" t="str">
        <f ca="1">IFERROR(__xludf.DUMMYFUNCTION("GOOGLETRANSLATE(B4153:B4168,""RU"",""UK"")"),"Ремінь клиновий (С) - 800")</f>
        <v>Ремінь клиновий (С) - 800</v>
      </c>
      <c r="C48" s="59" t="s">
        <v>6</v>
      </c>
      <c r="D48" s="59">
        <v>11</v>
      </c>
      <c r="E48" s="91" t="s">
        <v>371</v>
      </c>
    </row>
    <row r="49" spans="1:5">
      <c r="A49" s="21">
        <v>34</v>
      </c>
      <c r="B49" s="85" t="str">
        <f ca="1">IFERROR(__xludf.DUMMYFUNCTION("GOOGLETRANSLATE(B4154:B4169,""RU"",""UK"")"),"Ремінь клиновий (С) - 950")</f>
        <v>Ремінь клиновий (С) - 950</v>
      </c>
      <c r="C49" s="59" t="s">
        <v>6</v>
      </c>
      <c r="D49" s="59">
        <v>1</v>
      </c>
      <c r="E49" s="91" t="s">
        <v>614</v>
      </c>
    </row>
    <row r="50" spans="1:5">
      <c r="A50" s="21">
        <v>35</v>
      </c>
      <c r="B50" s="85" t="str">
        <f ca="1">IFERROR(__xludf.DUMMYFUNCTION("GOOGLETRANSLATE(B4155:B4170,""RU"",""UK"")"),"Ремінь клиновий (С) - 1000")</f>
        <v>Ремінь клиновий (С) - 1000</v>
      </c>
      <c r="C50" s="59" t="s">
        <v>6</v>
      </c>
      <c r="D50" s="59">
        <v>10</v>
      </c>
      <c r="E50" s="91" t="s">
        <v>185</v>
      </c>
    </row>
    <row r="51" spans="1:5">
      <c r="A51" s="21">
        <v>36</v>
      </c>
      <c r="B51" s="85" t="str">
        <f ca="1">IFERROR(__xludf.DUMMYFUNCTION("GOOGLETRANSLATE(B4156:B4171,""RU"",""UK"")"),"Ремінь клиновий (С) - 1800")</f>
        <v>Ремінь клиновий (С) - 1800</v>
      </c>
      <c r="C51" s="59" t="s">
        <v>6</v>
      </c>
      <c r="D51" s="59">
        <v>1</v>
      </c>
      <c r="E51" s="91" t="s">
        <v>319</v>
      </c>
    </row>
    <row r="52" spans="1:5">
      <c r="A52" s="21">
        <v>37</v>
      </c>
      <c r="B52" s="85" t="str">
        <f ca="1">IFERROR(__xludf.DUMMYFUNCTION("GOOGLETRANSLATE(B4157:B4172,""RU"",""UK"")"),"Ремінь клиновий В(С) - 2120")</f>
        <v>Ремінь клиновий В(С) - 2120</v>
      </c>
      <c r="C52" s="59" t="s">
        <v>6</v>
      </c>
      <c r="D52" s="59">
        <v>26</v>
      </c>
      <c r="E52" s="91" t="s">
        <v>1320</v>
      </c>
    </row>
    <row r="53" spans="1:5">
      <c r="A53" s="21">
        <v>38</v>
      </c>
      <c r="B53" s="85" t="str">
        <f ca="1">IFERROR(__xludf.DUMMYFUNCTION("GOOGLETRANSLATE(B4158:B4173,""RU"",""UK"")"),"Ремінь клиновий В(С) - 2360")</f>
        <v>Ремінь клиновий В(С) - 2360</v>
      </c>
      <c r="C53" s="59" t="s">
        <v>6</v>
      </c>
      <c r="D53" s="59">
        <v>9</v>
      </c>
      <c r="E53" s="91" t="s">
        <v>119</v>
      </c>
    </row>
    <row r="54" spans="1:5">
      <c r="A54" s="21">
        <v>39</v>
      </c>
      <c r="B54" s="85" t="str">
        <f ca="1">IFERROR(__xludf.DUMMYFUNCTION("GOOGLETRANSLATE(B4159:B4174,""RU"",""UK"")"),"Ремінь клиновий В(С) - 2600")</f>
        <v>Ремінь клиновий В(С) - 2600</v>
      </c>
      <c r="C54" s="59" t="s">
        <v>6</v>
      </c>
      <c r="D54" s="59">
        <v>5</v>
      </c>
      <c r="E54" s="91" t="s">
        <v>222</v>
      </c>
    </row>
    <row r="55" spans="1:5">
      <c r="A55" s="21">
        <v>40</v>
      </c>
      <c r="B55" s="85" t="str">
        <f ca="1">IFERROR(__xludf.DUMMYFUNCTION("GOOGLETRANSLATE(B4160:B4175,""RU"",""UK"")"),"Ремінь клиновий В(С) - 2650")</f>
        <v>Ремінь клиновий В(С) - 2650</v>
      </c>
      <c r="C55" s="59" t="s">
        <v>6</v>
      </c>
      <c r="D55" s="59">
        <v>1</v>
      </c>
      <c r="E55" s="91" t="s">
        <v>222</v>
      </c>
    </row>
    <row r="56" spans="1:5">
      <c r="A56" s="21">
        <v>41</v>
      </c>
      <c r="B56" s="85" t="str">
        <f ca="1">IFERROR(__xludf.DUMMYFUNCTION("GOOGLETRANSLATE(B4161:B4176,""RU"",""UK"")"),"Ремінь клиновий В(С) - 2900")</f>
        <v>Ремінь клиновий В(С) - 2900</v>
      </c>
      <c r="C56" s="59" t="s">
        <v>6</v>
      </c>
      <c r="D56" s="59">
        <v>3</v>
      </c>
      <c r="E56" s="91" t="s">
        <v>222</v>
      </c>
    </row>
    <row r="57" spans="1:5">
      <c r="A57" s="21">
        <v>42</v>
      </c>
      <c r="B57" s="85" t="str">
        <f ca="1">IFERROR(__xludf.DUMMYFUNCTION("GOOGLETRANSLATE(B4162:B4177,""RU"",""UK"")"),"Ремінь клиновий В(С) - 3150")</f>
        <v>Ремінь клиновий В(С) - 3150</v>
      </c>
      <c r="C57" s="59" t="s">
        <v>6</v>
      </c>
      <c r="D57" s="59">
        <v>1</v>
      </c>
      <c r="E57" s="91" t="s">
        <v>327</v>
      </c>
    </row>
    <row r="58" spans="1:5">
      <c r="A58" s="21">
        <v>43</v>
      </c>
      <c r="B58" s="85" t="str">
        <f ca="1">IFERROR(__xludf.DUMMYFUNCTION("GOOGLETRANSLATE(B4163:B4178,""RU"",""UK"")"),"Ремінь клиновий В(С) - 3350")</f>
        <v>Ремінь клиновий В(С) - 3350</v>
      </c>
      <c r="C58" s="59" t="s">
        <v>6</v>
      </c>
      <c r="D58" s="59">
        <v>3</v>
      </c>
      <c r="E58" s="91" t="s">
        <v>140</v>
      </c>
    </row>
    <row r="59" spans="1:5">
      <c r="A59" s="21">
        <v>44</v>
      </c>
      <c r="B59" s="85" t="str">
        <f ca="1">IFERROR(__xludf.DUMMYFUNCTION("GOOGLETRANSLATE(B4164:B4179,""RU"",""UK"")"),"Ремінь клиновий В(С) - 3585")</f>
        <v>Ремінь клиновий В(С) - 3585</v>
      </c>
      <c r="C59" s="59" t="s">
        <v>6</v>
      </c>
      <c r="D59" s="59">
        <v>10</v>
      </c>
      <c r="E59" s="91" t="s">
        <v>140</v>
      </c>
    </row>
    <row r="60" spans="1:5">
      <c r="A60" s="21">
        <v>45</v>
      </c>
      <c r="B60" s="85" t="str">
        <f ca="1">IFERROR(__xludf.DUMMYFUNCTION("GOOGLETRANSLATE(B4165:B4180,""RU"",""UK"")"),"Ремінь клиновий (С) - 4350")</f>
        <v>Ремінь клиновий (С) - 4350</v>
      </c>
      <c r="C60" s="59" t="s">
        <v>6</v>
      </c>
      <c r="D60" s="59">
        <v>9</v>
      </c>
      <c r="E60" s="91" t="s">
        <v>140</v>
      </c>
    </row>
    <row r="61" spans="1:5">
      <c r="A61" s="21">
        <v>46</v>
      </c>
      <c r="B61" s="85" t="str">
        <f ca="1">IFERROR(__xludf.DUMMYFUNCTION("GOOGLETRANSLATE(B4166:B4181,""RU"",""UK"")"),"Ремінь клиновий (С) - 4500")</f>
        <v>Ремінь клиновий (С) - 4500</v>
      </c>
      <c r="C61" s="59" t="s">
        <v>6</v>
      </c>
      <c r="D61" s="59">
        <v>18</v>
      </c>
      <c r="E61" s="91" t="s">
        <v>20</v>
      </c>
    </row>
    <row r="62" spans="1:5">
      <c r="A62" s="21">
        <v>47</v>
      </c>
      <c r="B62" s="85" t="str">
        <f ca="1">IFERROR(__xludf.DUMMYFUNCTION("GOOGLETRANSLATE(B4167:B4182,""RU"",""UK"")"),"Ремінь клиновий (С) - 5000")</f>
        <v>Ремінь клиновий (С) - 5000</v>
      </c>
      <c r="C62" s="59" t="s">
        <v>6</v>
      </c>
      <c r="D62" s="59">
        <v>1</v>
      </c>
      <c r="E62" s="91" t="s">
        <v>20</v>
      </c>
    </row>
    <row r="63" spans="1:5">
      <c r="A63" s="21">
        <v>48</v>
      </c>
      <c r="B63" s="85" t="str">
        <f ca="1">IFERROR(__xludf.DUMMYFUNCTION("GOOGLETRANSLATE(B4168:B4183,""RU"",""UK"")"),"Ремінь клиновий В(С) - 5300")</f>
        <v>Ремінь клиновий В(С) - 5300</v>
      </c>
      <c r="C63" s="59" t="s">
        <v>6</v>
      </c>
      <c r="D63" s="59">
        <v>2</v>
      </c>
      <c r="E63" s="91" t="s">
        <v>20</v>
      </c>
    </row>
    <row r="64" spans="1:5">
      <c r="A64" s="21">
        <v>49</v>
      </c>
      <c r="B64" s="85" t="str">
        <f ca="1">IFERROR(__xludf.DUMMYFUNCTION("GOOGLETRANSLATE(B4169:B4184,""RU"",""UK"")"),"Ремінь клиновий В(С) - 5600")</f>
        <v>Ремінь клиновий В(С) - 5600</v>
      </c>
      <c r="C64" s="59" t="s">
        <v>6</v>
      </c>
      <c r="D64" s="59">
        <v>9</v>
      </c>
      <c r="E64" s="91" t="s">
        <v>20</v>
      </c>
    </row>
    <row r="65" spans="1:5">
      <c r="A65" s="21">
        <v>50</v>
      </c>
      <c r="B65" s="115" t="str">
        <f ca="1">IFERROR(__xludf.DUMMYFUNCTION("GOOGLETRANSLATE(B4170:B4185,""RU"",""UK"")"),"Ремінь клиновий Г(D) - 3150")</f>
        <v>Ремінь клиновий Г(D) - 3150</v>
      </c>
      <c r="C65" s="59" t="s">
        <v>6</v>
      </c>
      <c r="D65" s="59">
        <v>3</v>
      </c>
      <c r="E65" s="91" t="s">
        <v>24</v>
      </c>
    </row>
    <row r="66" spans="1:5">
      <c r="A66" s="63">
        <v>51</v>
      </c>
      <c r="B66" s="132" t="str">
        <f ca="1">IFERROR(__xludf.DUMMYFUNCTION("GOOGLETRANSLATE(B4171:B4186,""RU"",""UK"")"),"Ремінь клиновий Г(D) - 3475")</f>
        <v>Ремінь клиновий Г(D) - 3475</v>
      </c>
      <c r="C66" s="59" t="s">
        <v>6</v>
      </c>
      <c r="D66" s="59">
        <v>8</v>
      </c>
      <c r="E66" s="91" t="s">
        <v>24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7"/>
  <sheetViews>
    <sheetView topLeftCell="A151" zoomScale="260" zoomScaleNormal="260" workbookViewId="0">
      <selection activeCell="E161" sqref="E161"/>
    </sheetView>
  </sheetViews>
  <sheetFormatPr defaultRowHeight="12.75"/>
  <cols>
    <col min="2" max="2" width="47.85546875" customWidth="1"/>
  </cols>
  <sheetData>
    <row r="1" spans="1:5">
      <c r="A1" s="68"/>
      <c r="B1" s="110" t="s">
        <v>6096</v>
      </c>
      <c r="C1" s="69"/>
      <c r="D1" s="69"/>
      <c r="E1" s="106"/>
    </row>
    <row r="2" spans="1:5">
      <c r="A2" s="21">
        <v>1</v>
      </c>
      <c r="B2" s="85" t="str">
        <f ca="1">IFERROR(__xludf.DUMMYFUNCTION("GOOGLETRANSLATE(B2206:B2221,""RU"",""UK"")"),"Розгортка ручна М2")</f>
        <v>Розгортка ручна М2</v>
      </c>
      <c r="C2" s="59" t="s">
        <v>6</v>
      </c>
      <c r="D2" s="59">
        <v>2</v>
      </c>
      <c r="E2" s="91" t="s">
        <v>2992</v>
      </c>
    </row>
    <row r="3" spans="1:5">
      <c r="A3" s="21">
        <f>A2+1</f>
        <v>2</v>
      </c>
      <c r="B3" s="85" t="str">
        <f ca="1">IFERROR(__xludf.DUMMYFUNCTION("GOOGLETRANSLATE(B2206:B2221,""RU"",""UK"")"),"Розгортка ручна М3")</f>
        <v>Розгортка ручна М3</v>
      </c>
      <c r="C3" s="59" t="s">
        <v>6</v>
      </c>
      <c r="D3" s="59">
        <v>580</v>
      </c>
      <c r="E3" s="91" t="s">
        <v>2992</v>
      </c>
    </row>
    <row r="4" spans="1:5">
      <c r="A4" s="21">
        <f t="shared" ref="A4:A68" si="0">A3+1</f>
        <v>3</v>
      </c>
      <c r="B4" s="85" t="str">
        <f ca="1">IFERROR(__xludf.DUMMYFUNCTION("GOOGLETRANSLATE(B2207:B2222,""RU"",""UK"")"),"Розгортка ручна М3.4")</f>
        <v>Розгортка ручна М3.4</v>
      </c>
      <c r="C4" s="59" t="s">
        <v>6</v>
      </c>
      <c r="D4" s="59">
        <v>13</v>
      </c>
      <c r="E4" s="91" t="s">
        <v>2992</v>
      </c>
    </row>
    <row r="5" spans="1:5">
      <c r="A5" s="21">
        <f t="shared" si="0"/>
        <v>4</v>
      </c>
      <c r="B5" s="85" t="str">
        <f ca="1">IFERROR(__xludf.DUMMYFUNCTION("GOOGLETRANSLATE(B2207:B2222,""RU"",""UK"")"),"Розгортка ручна М3.5")</f>
        <v>Розгортка ручна М3.5</v>
      </c>
      <c r="C5" s="59" t="s">
        <v>6</v>
      </c>
      <c r="D5" s="59">
        <v>87</v>
      </c>
      <c r="E5" s="91" t="s">
        <v>2992</v>
      </c>
    </row>
    <row r="6" spans="1:5">
      <c r="A6" s="21">
        <f t="shared" si="0"/>
        <v>5</v>
      </c>
      <c r="B6" s="85" t="str">
        <f ca="1">IFERROR(__xludf.DUMMYFUNCTION("GOOGLETRANSLATE(B2207:B2222,""RU"",""UK"")"),"Розгортка ручна М3,6")</f>
        <v>Розгортка ручна М3,6</v>
      </c>
      <c r="C6" s="59" t="s">
        <v>6</v>
      </c>
      <c r="D6" s="59">
        <v>49</v>
      </c>
      <c r="E6" s="91" t="s">
        <v>2992</v>
      </c>
    </row>
    <row r="7" spans="1:5">
      <c r="A7" s="21">
        <f t="shared" si="0"/>
        <v>6</v>
      </c>
      <c r="B7" s="85" t="str">
        <f ca="1">IFERROR(__xludf.DUMMYFUNCTION("GOOGLETRANSLATE(B2208:B2223,""RU"",""UK"")"),"Розгортка ручна М4")</f>
        <v>Розгортка ручна М4</v>
      </c>
      <c r="C7" s="59" t="s">
        <v>6</v>
      </c>
      <c r="D7" s="59">
        <v>447</v>
      </c>
      <c r="E7" s="91" t="s">
        <v>253</v>
      </c>
    </row>
    <row r="8" spans="1:5">
      <c r="A8" s="21">
        <f t="shared" si="0"/>
        <v>7</v>
      </c>
      <c r="B8" s="85" t="str">
        <f ca="1">IFERROR(__xludf.DUMMYFUNCTION("GOOGLETRANSLATE(B2208:B2223,""RU"",""UK"")"),"Розгортка ручна М4,2")</f>
        <v>Розгортка ручна М4,2</v>
      </c>
      <c r="C8" s="59" t="s">
        <v>6</v>
      </c>
      <c r="D8" s="59">
        <v>36</v>
      </c>
      <c r="E8" s="91" t="s">
        <v>253</v>
      </c>
    </row>
    <row r="9" spans="1:5">
      <c r="A9" s="21">
        <f t="shared" si="0"/>
        <v>8</v>
      </c>
      <c r="B9" s="85" t="str">
        <f ca="1">IFERROR(__xludf.DUMMYFUNCTION("GOOGLETRANSLATE(B2209:B2224,""RU"",""UK"")"),"Розгортка ручна М4,5")</f>
        <v>Розгортка ручна М4,5</v>
      </c>
      <c r="C9" s="59" t="s">
        <v>6</v>
      </c>
      <c r="D9" s="59">
        <v>60</v>
      </c>
      <c r="E9" s="91" t="s">
        <v>314</v>
      </c>
    </row>
    <row r="10" spans="1:5">
      <c r="A10" s="21">
        <f t="shared" si="0"/>
        <v>9</v>
      </c>
      <c r="B10" s="85" t="str">
        <f ca="1">IFERROR(__xludf.DUMMYFUNCTION("GOOGLETRANSLATE(B2209:B2224,""RU"",""UK"")"),"Розгортка ручна М4.8")</f>
        <v>Розгортка ручна М4.8</v>
      </c>
      <c r="C10" s="59" t="s">
        <v>6</v>
      </c>
      <c r="D10" s="59">
        <v>20</v>
      </c>
      <c r="E10" s="91">
        <v>57</v>
      </c>
    </row>
    <row r="11" spans="1:5">
      <c r="A11" s="21">
        <f t="shared" si="0"/>
        <v>10</v>
      </c>
      <c r="B11" s="85" t="str">
        <f ca="1">IFERROR(__xludf.DUMMYFUNCTION("GOOGLETRANSLATE(B2210:B2225,""RU"",""UK"")"),"Розгортка ручна М5")</f>
        <v>Розгортка ручна М5</v>
      </c>
      <c r="C11" s="59" t="s">
        <v>6</v>
      </c>
      <c r="D11" s="59">
        <v>456</v>
      </c>
      <c r="E11" s="91" t="s">
        <v>598</v>
      </c>
    </row>
    <row r="12" spans="1:5">
      <c r="A12" s="21">
        <f t="shared" si="0"/>
        <v>11</v>
      </c>
      <c r="B12" s="85" t="str">
        <f ca="1">IFERROR(__xludf.DUMMYFUNCTION("GOOGLETRANSLATE(B2210:B2225,""RU"",""UK"")"),"Розгортка ручна М5,2")</f>
        <v>Розгортка ручна М5,2</v>
      </c>
      <c r="C12" s="59" t="s">
        <v>6</v>
      </c>
      <c r="D12" s="59">
        <v>7</v>
      </c>
      <c r="E12" s="91">
        <v>66</v>
      </c>
    </row>
    <row r="13" spans="1:5">
      <c r="A13" s="21">
        <f t="shared" si="0"/>
        <v>12</v>
      </c>
      <c r="B13" s="85" t="str">
        <f ca="1">IFERROR(__xludf.DUMMYFUNCTION("GOOGLETRANSLATE(B2210:B2225,""RU"",""UK"")"),"Розгортка ручна М5,5")</f>
        <v>Розгортка ручна М5,5</v>
      </c>
      <c r="C13" s="59" t="s">
        <v>6</v>
      </c>
      <c r="D13" s="59">
        <v>9</v>
      </c>
      <c r="E13" s="91">
        <v>69</v>
      </c>
    </row>
    <row r="14" spans="1:5">
      <c r="A14" s="21">
        <f t="shared" si="0"/>
        <v>13</v>
      </c>
      <c r="B14" s="85" t="str">
        <f ca="1">IFERROR(__xludf.DUMMYFUNCTION("GOOGLETRANSLATE(B2211:B2226,""RU"",""UK"")"),"Розгортка ручна М6")</f>
        <v>Розгортка ручна М6</v>
      </c>
      <c r="C14" s="59" t="s">
        <v>6</v>
      </c>
      <c r="D14" s="59">
        <v>95</v>
      </c>
      <c r="E14" s="91" t="s">
        <v>183</v>
      </c>
    </row>
    <row r="15" spans="1:5">
      <c r="A15" s="21">
        <f t="shared" si="0"/>
        <v>14</v>
      </c>
      <c r="B15" s="85" t="str">
        <f ca="1">IFERROR(__xludf.DUMMYFUNCTION("GOOGLETRANSLATE(B2212:B2227,""RU"",""UK"")"),"Розгортка ручна М7")</f>
        <v>Розгортка ручна М7</v>
      </c>
      <c r="C15" s="59" t="s">
        <v>6</v>
      </c>
      <c r="D15" s="59">
        <v>33</v>
      </c>
      <c r="E15" s="91">
        <v>84</v>
      </c>
    </row>
    <row r="16" spans="1:5">
      <c r="A16" s="21">
        <f t="shared" si="0"/>
        <v>15</v>
      </c>
      <c r="B16" s="85" t="str">
        <f ca="1">IFERROR(__xludf.DUMMYFUNCTION("GOOGLETRANSLATE(B2212:B2227,""RU"",""UK"")"),"Розгортка ручна М7,5")</f>
        <v>Розгортка ручна М7,5</v>
      </c>
      <c r="C16" s="59" t="s">
        <v>6</v>
      </c>
      <c r="D16" s="59">
        <v>53</v>
      </c>
      <c r="E16" s="91">
        <v>87</v>
      </c>
    </row>
    <row r="17" spans="1:5">
      <c r="A17" s="21">
        <f t="shared" si="0"/>
        <v>16</v>
      </c>
      <c r="B17" s="85" t="str">
        <f ca="1">IFERROR(__xludf.DUMMYFUNCTION("GOOGLETRANSLATE(B2213:B2228,""RU"",""UK"")"),"Розгортка ручна М8")</f>
        <v>Розгортка ручна М8</v>
      </c>
      <c r="C17" s="59" t="s">
        <v>6</v>
      </c>
      <c r="D17" s="59">
        <v>45</v>
      </c>
      <c r="E17" s="91" t="s">
        <v>338</v>
      </c>
    </row>
    <row r="18" spans="1:5">
      <c r="A18" s="21">
        <f t="shared" si="0"/>
        <v>17</v>
      </c>
      <c r="B18" s="85" t="str">
        <f ca="1">IFERROR(__xludf.DUMMYFUNCTION("GOOGLETRANSLATE(B2213:B2228,""RU"",""UK"")"),"Розгортка ручна М8 Р18")</f>
        <v>Розгортка ручна М8 Р18</v>
      </c>
      <c r="C18" s="59" t="s">
        <v>6</v>
      </c>
      <c r="D18" s="59">
        <v>20</v>
      </c>
      <c r="E18" s="91">
        <v>150</v>
      </c>
    </row>
    <row r="19" spans="1:5">
      <c r="A19" s="21">
        <f t="shared" si="0"/>
        <v>18</v>
      </c>
      <c r="B19" s="85" t="str">
        <f ca="1">IFERROR(__xludf.DUMMYFUNCTION("GOOGLETRANSLATE(B2213:B2228,""RU"",""UK"")"),"Розгортка ручна М8,5")</f>
        <v>Розгортка ручна М8,5</v>
      </c>
      <c r="C19" s="59" t="s">
        <v>6</v>
      </c>
      <c r="D19" s="59">
        <v>3</v>
      </c>
      <c r="E19" s="91">
        <v>99</v>
      </c>
    </row>
    <row r="20" spans="1:5">
      <c r="A20" s="21">
        <f t="shared" si="0"/>
        <v>19</v>
      </c>
      <c r="B20" s="85" t="str">
        <f ca="1">IFERROR(__xludf.DUMMYFUNCTION("GOOGLETRANSLATE(B2214:B2229,""RU"",""UK"")"),"Розгортка ручна М9")</f>
        <v>Розгортка ручна М9</v>
      </c>
      <c r="C20" s="59" t="s">
        <v>6</v>
      </c>
      <c r="D20" s="59">
        <v>303</v>
      </c>
      <c r="E20" s="91" t="s">
        <v>185</v>
      </c>
    </row>
    <row r="21" spans="1:5">
      <c r="A21" s="21">
        <f t="shared" si="0"/>
        <v>20</v>
      </c>
      <c r="B21" s="85" t="str">
        <f ca="1">IFERROR(__xludf.DUMMYFUNCTION("GOOGLETRANSLATE(B2214:B2229,""RU"",""UK"")"),"Розгортка ручна М9,5 Н7")</f>
        <v>Розгортка ручна М9,5 Н7</v>
      </c>
      <c r="C21" s="59" t="s">
        <v>6</v>
      </c>
      <c r="D21" s="59">
        <v>23</v>
      </c>
      <c r="E21" s="91">
        <v>114</v>
      </c>
    </row>
    <row r="22" spans="1:5">
      <c r="A22" s="21">
        <f t="shared" si="0"/>
        <v>21</v>
      </c>
      <c r="B22" s="85" t="str">
        <f ca="1">IFERROR(__xludf.DUMMYFUNCTION("GOOGLETRANSLATE(B2215:B2230,""RU"",""UK"")"),"Розгортка ручна М10")</f>
        <v>Розгортка ручна М10</v>
      </c>
      <c r="C22" s="59" t="s">
        <v>6</v>
      </c>
      <c r="D22" s="59">
        <v>48</v>
      </c>
      <c r="E22" s="91" t="s">
        <v>136</v>
      </c>
    </row>
    <row r="23" spans="1:5">
      <c r="A23" s="21">
        <f t="shared" si="0"/>
        <v>22</v>
      </c>
      <c r="B23" s="85" t="str">
        <f ca="1">IFERROR(__xludf.DUMMYFUNCTION("GOOGLETRANSLATE(B2215:B2230,""RU"",""UK"")"),"Розгортка ручна М10.5")</f>
        <v>Розгортка ручна М10.5</v>
      </c>
      <c r="C23" s="59" t="s">
        <v>6</v>
      </c>
      <c r="D23" s="59">
        <v>27</v>
      </c>
      <c r="E23" s="91">
        <v>126</v>
      </c>
    </row>
    <row r="24" spans="1:5">
      <c r="A24" s="21">
        <f t="shared" si="0"/>
        <v>23</v>
      </c>
      <c r="B24" s="85" t="str">
        <f ca="1">IFERROR(__xludf.DUMMYFUNCTION("GOOGLETRANSLATE(B2216:B2231,""RU"",""UK"")"),"Розгортка ручна М11")</f>
        <v>Розгортка ручна М11</v>
      </c>
      <c r="C24" s="59" t="s">
        <v>6</v>
      </c>
      <c r="D24" s="59">
        <v>5</v>
      </c>
      <c r="E24" s="91" t="s">
        <v>3012</v>
      </c>
    </row>
    <row r="25" spans="1:5">
      <c r="A25" s="21">
        <f t="shared" si="0"/>
        <v>24</v>
      </c>
      <c r="B25" s="85" t="str">
        <f ca="1">IFERROR(__xludf.DUMMYFUNCTION("GOOGLETRANSLATE(B2216:B2231,""RU"",""UK"")"),"Розгортка ручна М11,3")</f>
        <v>Розгортка ручна М11,3</v>
      </c>
      <c r="C25" s="59" t="s">
        <v>6</v>
      </c>
      <c r="D25" s="59">
        <v>1</v>
      </c>
      <c r="E25" s="91" t="s">
        <v>3012</v>
      </c>
    </row>
    <row r="26" spans="1:5">
      <c r="A26" s="21">
        <f t="shared" si="0"/>
        <v>25</v>
      </c>
      <c r="B26" s="85" t="str">
        <f ca="1">IFERROR(__xludf.DUMMYFUNCTION("GOOGLETRANSLATE(B2216:B2231,""RU"",""UK"")"),"Розгортка ручна М11,5")</f>
        <v>Розгортка ручна М11,5</v>
      </c>
      <c r="C26" s="59" t="s">
        <v>6</v>
      </c>
      <c r="D26" s="59">
        <v>54</v>
      </c>
      <c r="E26" s="91" t="s">
        <v>3012</v>
      </c>
    </row>
    <row r="27" spans="1:5">
      <c r="A27" s="21">
        <f t="shared" si="0"/>
        <v>26</v>
      </c>
      <c r="B27" s="85" t="str">
        <f ca="1">IFERROR(__xludf.DUMMYFUNCTION("GOOGLETRANSLATE(B2217:B2232,""RU"",""UK"")"),"Розгортка ручна М12")</f>
        <v>Розгортка ручна М12</v>
      </c>
      <c r="C27" s="59" t="s">
        <v>6</v>
      </c>
      <c r="D27" s="59">
        <v>75</v>
      </c>
      <c r="E27" s="91" t="s">
        <v>319</v>
      </c>
    </row>
    <row r="28" spans="1:5">
      <c r="A28" s="21">
        <f t="shared" si="0"/>
        <v>27</v>
      </c>
      <c r="B28" s="85" t="str">
        <f ca="1">IFERROR(__xludf.DUMMYFUNCTION("GOOGLETRANSLATE(B2218:B2233,""RU"",""UK"")"),"Розгортка ручна М13")</f>
        <v>Розгортка ручна М13</v>
      </c>
      <c r="C28" s="59" t="s">
        <v>6</v>
      </c>
      <c r="D28" s="59">
        <v>128</v>
      </c>
      <c r="E28" s="91" t="s">
        <v>119</v>
      </c>
    </row>
    <row r="29" spans="1:5">
      <c r="A29" s="21">
        <f t="shared" si="0"/>
        <v>28</v>
      </c>
      <c r="B29" s="85" t="str">
        <f ca="1">IFERROR(__xludf.DUMMYFUNCTION("GOOGLETRANSLATE(B2218:B2233,""RU"",""UK"")"),"Розгортка ручна М14")</f>
        <v>Розгортка ручна М14</v>
      </c>
      <c r="C29" s="59" t="s">
        <v>6</v>
      </c>
      <c r="D29" s="59">
        <v>12</v>
      </c>
      <c r="E29" s="91" t="s">
        <v>119</v>
      </c>
    </row>
    <row r="30" spans="1:5">
      <c r="A30" s="21">
        <f t="shared" si="0"/>
        <v>29</v>
      </c>
      <c r="B30" s="85" t="str">
        <f ca="1">IFERROR(__xludf.DUMMYFUNCTION("GOOGLETRANSLATE(B2219:B2234,""RU"",""UK"")"),"Розгортка ручна М15")</f>
        <v>Розгортка ручна М15</v>
      </c>
      <c r="C30" s="59" t="s">
        <v>6</v>
      </c>
      <c r="D30" s="59">
        <v>83</v>
      </c>
      <c r="E30" s="91" t="s">
        <v>3018</v>
      </c>
    </row>
    <row r="31" spans="1:5">
      <c r="A31" s="21">
        <f t="shared" si="0"/>
        <v>30</v>
      </c>
      <c r="B31" s="85" t="str">
        <f ca="1">IFERROR(__xludf.DUMMYFUNCTION("GOOGLETRANSLATE(B2219:B2234,""RU"",""UK"")"),"Розгортка ручна М16")</f>
        <v>Розгортка ручна М16</v>
      </c>
      <c r="C31" s="59" t="s">
        <v>6</v>
      </c>
      <c r="D31" s="59">
        <v>12</v>
      </c>
      <c r="E31" s="91" t="s">
        <v>3018</v>
      </c>
    </row>
    <row r="32" spans="1:5">
      <c r="A32" s="21">
        <f t="shared" si="0"/>
        <v>31</v>
      </c>
      <c r="B32" s="85" t="str">
        <f ca="1">IFERROR(__xludf.DUMMYFUNCTION("GOOGLETRANSLATE(B2220:B2235,""RU"",""UK"")"),"Розгортка ручна М17")</f>
        <v>Розгортка ручна М17</v>
      </c>
      <c r="C32" s="59" t="s">
        <v>6</v>
      </c>
      <c r="D32" s="59">
        <v>98</v>
      </c>
      <c r="E32" s="91" t="s">
        <v>140</v>
      </c>
    </row>
    <row r="33" spans="1:5">
      <c r="A33" s="21">
        <f t="shared" si="0"/>
        <v>32</v>
      </c>
      <c r="B33" s="85" t="str">
        <f ca="1">IFERROR(__xludf.DUMMYFUNCTION("GOOGLETRANSLATE(B2220:B2235,""RU"",""UK"")"),"Розгортка ручна М18")</f>
        <v>Розгортка ручна М18</v>
      </c>
      <c r="C33" s="59" t="s">
        <v>6</v>
      </c>
      <c r="D33" s="59">
        <v>106</v>
      </c>
      <c r="E33" s="91" t="s">
        <v>140</v>
      </c>
    </row>
    <row r="34" spans="1:5">
      <c r="A34" s="21">
        <f t="shared" si="0"/>
        <v>33</v>
      </c>
      <c r="B34" s="85" t="str">
        <f ca="1">IFERROR(__xludf.DUMMYFUNCTION("GOOGLETRANSLATE(B2221:B2236,""RU"",""UK"")"),"Розгортка ручна М19")</f>
        <v>Розгортка ручна М19</v>
      </c>
      <c r="C34" s="59" t="s">
        <v>6</v>
      </c>
      <c r="D34" s="59">
        <v>48</v>
      </c>
      <c r="E34" s="91" t="s">
        <v>140</v>
      </c>
    </row>
    <row r="35" spans="1:5">
      <c r="A35" s="21">
        <f t="shared" si="0"/>
        <v>34</v>
      </c>
      <c r="B35" s="85" t="str">
        <f ca="1">IFERROR(__xludf.DUMMYFUNCTION("GOOGLETRANSLATE(B2221:B2236,""RU"",""UK"")"),"Розгортка ручна М19.8")</f>
        <v>Розгортка ручна М19.8</v>
      </c>
      <c r="C35" s="59" t="s">
        <v>6</v>
      </c>
      <c r="D35" s="59">
        <v>1</v>
      </c>
      <c r="E35" s="91" t="s">
        <v>140</v>
      </c>
    </row>
    <row r="36" spans="1:5">
      <c r="A36" s="21">
        <f t="shared" si="0"/>
        <v>35</v>
      </c>
      <c r="B36" s="85" t="str">
        <f ca="1">IFERROR(__xludf.DUMMYFUNCTION("GOOGLETRANSLATE(B2222:B2237,""RU"",""UK"")"),"Розгортка ручна М20")</f>
        <v>Розгортка ручна М20</v>
      </c>
      <c r="C36" s="59" t="s">
        <v>6</v>
      </c>
      <c r="D36" s="59">
        <v>85</v>
      </c>
      <c r="E36" s="91" t="s">
        <v>24</v>
      </c>
    </row>
    <row r="37" spans="1:5">
      <c r="A37" s="21">
        <f t="shared" si="0"/>
        <v>36</v>
      </c>
      <c r="B37" s="85" t="str">
        <f ca="1">IFERROR(__xludf.DUMMYFUNCTION("GOOGLETRANSLATE(B2222:B2237,""RU"",""UK"")"),"Розгортка ручна М21")</f>
        <v>Розгортка ручна М21</v>
      </c>
      <c r="C37" s="59" t="s">
        <v>6</v>
      </c>
      <c r="D37" s="59">
        <v>53</v>
      </c>
      <c r="E37" s="91" t="s">
        <v>24</v>
      </c>
    </row>
    <row r="38" spans="1:5">
      <c r="A38" s="21">
        <f t="shared" si="0"/>
        <v>37</v>
      </c>
      <c r="B38" s="85" t="str">
        <f ca="1">IFERROR(__xludf.DUMMYFUNCTION("GOOGLETRANSLATE(B2223:B2238,""RU"",""UK"")"),"Розгортка ручна М22")</f>
        <v>Розгортка ручна М22</v>
      </c>
      <c r="C38" s="59" t="s">
        <v>6</v>
      </c>
      <c r="D38" s="59">
        <v>53</v>
      </c>
      <c r="E38" s="91">
        <v>360</v>
      </c>
    </row>
    <row r="39" spans="1:5">
      <c r="A39" s="21">
        <f t="shared" si="0"/>
        <v>38</v>
      </c>
      <c r="B39" s="85" t="str">
        <f ca="1">IFERROR(__xludf.DUMMYFUNCTION("GOOGLETRANSLATE(B2223:B2238,""RU"",""UK"")"),"Розгортка ручна М23")</f>
        <v>Розгортка ручна М23</v>
      </c>
      <c r="C39" s="59" t="s">
        <v>6</v>
      </c>
      <c r="D39" s="59">
        <v>81</v>
      </c>
      <c r="E39" s="91">
        <v>360</v>
      </c>
    </row>
    <row r="40" spans="1:5">
      <c r="A40" s="21">
        <f t="shared" si="0"/>
        <v>39</v>
      </c>
      <c r="B40" s="85" t="str">
        <f ca="1">IFERROR(__xludf.DUMMYFUNCTION("GOOGLETRANSLATE(B2224:B2239,""RU"",""UK"")"),"Розгортка ручна М24")</f>
        <v>Розгортка ручна М24</v>
      </c>
      <c r="C40" s="59" t="s">
        <v>6</v>
      </c>
      <c r="D40" s="59">
        <v>113</v>
      </c>
      <c r="E40" s="91">
        <v>390</v>
      </c>
    </row>
    <row r="41" spans="1:5">
      <c r="A41" s="21">
        <f t="shared" si="0"/>
        <v>40</v>
      </c>
      <c r="B41" s="85" t="str">
        <f ca="1">IFERROR(__xludf.DUMMYFUNCTION("GOOGLETRANSLATE(B2225:B2240,""RU"",""UK"")"),"Розгортка ручна М25")</f>
        <v>Розгортка ручна М25</v>
      </c>
      <c r="C41" s="59" t="s">
        <v>6</v>
      </c>
      <c r="D41" s="160">
        <v>15</v>
      </c>
      <c r="E41" s="91">
        <v>471</v>
      </c>
    </row>
    <row r="42" spans="1:5">
      <c r="A42" s="21">
        <f t="shared" si="0"/>
        <v>41</v>
      </c>
      <c r="B42" s="85" t="str">
        <f ca="1">IFERROR(__xludf.DUMMYFUNCTION("GOOGLETRANSLATE(B2225:B2240,""RU"",""UK"")"),"Розгортка ручна М26")</f>
        <v>Розгортка ручна М26</v>
      </c>
      <c r="C42" s="59" t="s">
        <v>6</v>
      </c>
      <c r="D42" s="160">
        <v>101</v>
      </c>
      <c r="E42" s="91">
        <v>480</v>
      </c>
    </row>
    <row r="43" spans="1:5">
      <c r="A43" s="21">
        <f t="shared" si="0"/>
        <v>42</v>
      </c>
      <c r="B43" s="85" t="str">
        <f ca="1">IFERROR(__xludf.DUMMYFUNCTION("GOOGLETRANSLATE(B2226:B2241,""RU"",""UK"")"),"Розгортка ручна М27")</f>
        <v>Розгортка ручна М27</v>
      </c>
      <c r="C43" s="59" t="s">
        <v>6</v>
      </c>
      <c r="D43" s="59">
        <v>18</v>
      </c>
      <c r="E43" s="91">
        <v>492</v>
      </c>
    </row>
    <row r="44" spans="1:5">
      <c r="A44" s="21">
        <f t="shared" si="0"/>
        <v>43</v>
      </c>
      <c r="B44" s="85" t="str">
        <f ca="1">IFERROR(__xludf.DUMMYFUNCTION("GOOGLETRANSLATE(B2226:B2241,""RU"",""UK"")"),"Розгортка ручна М28")</f>
        <v>Розгортка ручна М28</v>
      </c>
      <c r="C44" s="59" t="s">
        <v>6</v>
      </c>
      <c r="D44" s="59">
        <v>98</v>
      </c>
      <c r="E44" s="91">
        <v>492</v>
      </c>
    </row>
    <row r="45" spans="1:5">
      <c r="A45" s="21">
        <f t="shared" si="0"/>
        <v>44</v>
      </c>
      <c r="B45" s="85" t="str">
        <f ca="1">IFERROR(__xludf.DUMMYFUNCTION("GOOGLETRANSLATE(B2227:B2242,""RU"",""UK"")"),"Розгортка ручна М30")</f>
        <v>Розгортка ручна М30</v>
      </c>
      <c r="C45" s="59" t="s">
        <v>6</v>
      </c>
      <c r="D45" s="59">
        <v>7</v>
      </c>
      <c r="E45" s="91">
        <v>540</v>
      </c>
    </row>
    <row r="46" spans="1:5">
      <c r="A46" s="21">
        <f t="shared" si="0"/>
        <v>45</v>
      </c>
      <c r="B46" s="85" t="str">
        <f ca="1">IFERROR(__xludf.DUMMYFUNCTION("GOOGLETRANSLATE(B2227:B2242,""RU"",""UK"")"),"Розгортка ручна М32")</f>
        <v>Розгортка ручна М32</v>
      </c>
      <c r="C46" s="59" t="s">
        <v>6</v>
      </c>
      <c r="D46" s="59">
        <v>37</v>
      </c>
      <c r="E46" s="91">
        <v>540</v>
      </c>
    </row>
    <row r="47" spans="1:5">
      <c r="A47" s="21">
        <f t="shared" si="0"/>
        <v>46</v>
      </c>
      <c r="B47" s="85" t="str">
        <f ca="1">IFERROR(__xludf.DUMMYFUNCTION("GOOGLETRANSLATE(B2228:B2243,""RU"",""UK"")"),"Розгортка ручна М34")</f>
        <v>Розгортка ручна М34</v>
      </c>
      <c r="C47" s="59" t="s">
        <v>6</v>
      </c>
      <c r="D47" s="59">
        <v>36</v>
      </c>
      <c r="E47" s="91">
        <v>570</v>
      </c>
    </row>
    <row r="48" spans="1:5">
      <c r="A48" s="21">
        <f t="shared" si="0"/>
        <v>47</v>
      </c>
      <c r="B48" s="85" t="str">
        <f ca="1">IFERROR(__xludf.DUMMYFUNCTION("GOOGLETRANSLATE(B2228:B2243,""RU"",""UK"")"),"Розгортка ручна М35")</f>
        <v>Розгортка ручна М35</v>
      </c>
      <c r="C48" s="59" t="s">
        <v>6</v>
      </c>
      <c r="D48" s="59">
        <v>47</v>
      </c>
      <c r="E48" s="91">
        <v>600</v>
      </c>
    </row>
    <row r="49" spans="1:5">
      <c r="A49" s="21">
        <f t="shared" si="0"/>
        <v>48</v>
      </c>
      <c r="B49" s="85" t="str">
        <f ca="1">IFERROR(__xludf.DUMMYFUNCTION("GOOGLETRANSLATE(B2229:B2244,""RU"",""UK"")"),"Розгортка ручна М36")</f>
        <v>Розгортка ручна М36</v>
      </c>
      <c r="C49" s="59" t="s">
        <v>6</v>
      </c>
      <c r="D49" s="59">
        <v>52</v>
      </c>
      <c r="E49" s="91">
        <v>600</v>
      </c>
    </row>
    <row r="50" spans="1:5">
      <c r="A50" s="21">
        <f t="shared" si="0"/>
        <v>49</v>
      </c>
      <c r="B50" s="85" t="str">
        <f ca="1">IFERROR(__xludf.DUMMYFUNCTION("GOOGLETRANSLATE(B2229:B2244,""RU"",""UK"")"),"Розгортка ручна М37")</f>
        <v>Розгортка ручна М37</v>
      </c>
      <c r="C50" s="59" t="s">
        <v>6</v>
      </c>
      <c r="D50" s="59">
        <v>11</v>
      </c>
      <c r="E50" s="91">
        <v>600</v>
      </c>
    </row>
    <row r="51" spans="1:5">
      <c r="A51" s="21">
        <f t="shared" si="0"/>
        <v>50</v>
      </c>
      <c r="B51" s="164" t="str">
        <f ca="1">IFERROR(__xludf.DUMMYFUNCTION("GOOGLETRANSLATE(B2230:B2245,""RU"",""UK"")"),"Розгортка ручна М38")</f>
        <v>Розгортка ручна М38</v>
      </c>
      <c r="C51" s="59" t="s">
        <v>6</v>
      </c>
      <c r="D51" s="59">
        <v>0</v>
      </c>
      <c r="E51" s="91">
        <v>850</v>
      </c>
    </row>
    <row r="52" spans="1:5">
      <c r="A52" s="21">
        <f t="shared" si="0"/>
        <v>51</v>
      </c>
      <c r="B52" s="85" t="str">
        <f ca="1">IFERROR(__xludf.DUMMYFUNCTION("GOOGLETRANSLATE(B2231:B2246,""RU"",""UK"")"),"Розгортка ручна М40")</f>
        <v>Розгортка ручна М40</v>
      </c>
      <c r="C52" s="59" t="s">
        <v>6</v>
      </c>
      <c r="D52" s="59">
        <v>27</v>
      </c>
      <c r="E52" s="91">
        <v>850</v>
      </c>
    </row>
    <row r="53" spans="1:5">
      <c r="A53" s="21">
        <f t="shared" si="0"/>
        <v>52</v>
      </c>
      <c r="B53" s="85" t="str">
        <f ca="1">IFERROR(__xludf.DUMMYFUNCTION("GOOGLETRANSLATE(B2232:B2247,""RU"",""UK"")"),"Розгортка машинна М3")</f>
        <v>Розгортка машинна М3</v>
      </c>
      <c r="C53" s="59" t="s">
        <v>6</v>
      </c>
      <c r="D53" s="59">
        <v>169</v>
      </c>
      <c r="E53" s="91" t="s">
        <v>248</v>
      </c>
    </row>
    <row r="54" spans="1:5">
      <c r="A54" s="21">
        <f t="shared" si="0"/>
        <v>53</v>
      </c>
      <c r="B54" s="85" t="str">
        <f ca="1">IFERROR(__xludf.DUMMYFUNCTION("GOOGLETRANSLATE(B2232:B2247,""RU"",""UK"")"),"Розгортка машинна М3.2")</f>
        <v>Розгортка машинна М3.2</v>
      </c>
      <c r="C54" s="59" t="s">
        <v>6</v>
      </c>
      <c r="D54" s="59">
        <v>17</v>
      </c>
      <c r="E54" s="91" t="s">
        <v>248</v>
      </c>
    </row>
    <row r="55" spans="1:5">
      <c r="A55" s="21">
        <f t="shared" si="0"/>
        <v>54</v>
      </c>
      <c r="B55" s="85" t="str">
        <f ca="1">IFERROR(__xludf.DUMMYFUNCTION("GOOGLETRANSLATE(B2233:B2248,""RU"",""UK"")"),"Розгортка машинна М3,5")</f>
        <v>Розгортка машинна М3,5</v>
      </c>
      <c r="C55" s="59" t="s">
        <v>6</v>
      </c>
      <c r="D55" s="59">
        <v>66</v>
      </c>
      <c r="E55" s="91" t="s">
        <v>169</v>
      </c>
    </row>
    <row r="56" spans="1:5">
      <c r="A56" s="21">
        <f t="shared" si="0"/>
        <v>55</v>
      </c>
      <c r="B56" s="85" t="str">
        <f ca="1">IFERROR(__xludf.DUMMYFUNCTION("GOOGLETRANSLATE(B2233:B2248,""RU"",""UK"")"),"Розгортка машинна М4")</f>
        <v>Розгортка машинна М4</v>
      </c>
      <c r="C56" s="59" t="s">
        <v>6</v>
      </c>
      <c r="D56" s="59">
        <v>266</v>
      </c>
      <c r="E56" s="91" t="s">
        <v>169</v>
      </c>
    </row>
    <row r="57" spans="1:5">
      <c r="A57" s="21">
        <f t="shared" si="0"/>
        <v>56</v>
      </c>
      <c r="B57" s="85" t="str">
        <f ca="1">IFERROR(__xludf.DUMMYFUNCTION("GOOGLETRANSLATE(B2234:B2249,""RU"",""UK"")"),"Розгортка машинна М4,5")</f>
        <v>Розгортка машинна М4,5</v>
      </c>
      <c r="C57" s="59" t="s">
        <v>6</v>
      </c>
      <c r="D57" s="59">
        <v>18</v>
      </c>
      <c r="E57" s="91" t="s">
        <v>201</v>
      </c>
    </row>
    <row r="58" spans="1:5">
      <c r="A58" s="21">
        <f t="shared" si="0"/>
        <v>57</v>
      </c>
      <c r="B58" s="85" t="str">
        <f ca="1">IFERROR(__xludf.DUMMYFUNCTION("GOOGLETRANSLATE(B2234:B2249,""RU"",""UK"")"),"Розгортка машинна М5")</f>
        <v>Розгортка машинна М5</v>
      </c>
      <c r="C58" s="59" t="s">
        <v>6</v>
      </c>
      <c r="D58" s="59">
        <v>103</v>
      </c>
      <c r="E58" s="91" t="s">
        <v>201</v>
      </c>
    </row>
    <row r="59" spans="1:5">
      <c r="A59" s="21">
        <f t="shared" si="0"/>
        <v>58</v>
      </c>
      <c r="B59" s="85" t="str">
        <f ca="1">IFERROR(__xludf.DUMMYFUNCTION("GOOGLETRANSLATE(B2234:B2249,""RU"",""UK"")"),"Розгортка машинна М5,5")</f>
        <v>Розгортка машинна М5,5</v>
      </c>
      <c r="C59" s="59" t="s">
        <v>6</v>
      </c>
      <c r="D59" s="59">
        <v>93</v>
      </c>
      <c r="E59" s="91" t="s">
        <v>201</v>
      </c>
    </row>
    <row r="60" spans="1:5">
      <c r="A60" s="21">
        <f t="shared" si="0"/>
        <v>59</v>
      </c>
      <c r="B60" s="85" t="str">
        <f ca="1">IFERROR(__xludf.DUMMYFUNCTION("GOOGLETRANSLATE(B2235:B2250,""RU"",""UK"")"),"Розгортка машинна М6")</f>
        <v>Розгортка машинна М6</v>
      </c>
      <c r="C60" s="59" t="s">
        <v>6</v>
      </c>
      <c r="D60" s="59">
        <v>290</v>
      </c>
      <c r="E60" s="91">
        <v>66</v>
      </c>
    </row>
    <row r="61" spans="1:5">
      <c r="A61" s="21">
        <f t="shared" si="0"/>
        <v>60</v>
      </c>
      <c r="B61" s="85" t="str">
        <f ca="1">IFERROR(__xludf.DUMMYFUNCTION("GOOGLETRANSLATE(B2236:B2251,""RU"",""UK"")"),"Машинна розгортка М6ВК8")</f>
        <v>Машинна розгортка М6ВК8</v>
      </c>
      <c r="C61" s="59" t="s">
        <v>6</v>
      </c>
      <c r="D61" s="59">
        <v>5</v>
      </c>
      <c r="E61" s="91" t="s">
        <v>136</v>
      </c>
    </row>
    <row r="62" spans="1:5">
      <c r="A62" s="21">
        <f t="shared" si="0"/>
        <v>61</v>
      </c>
      <c r="B62" s="85" t="str">
        <f ca="1">IFERROR(__xludf.DUMMYFUNCTION("GOOGLETRANSLATE(B2235:B2250,""RU"",""UK"")"),"Розгортка машинна М7")</f>
        <v>Розгортка машинна М7</v>
      </c>
      <c r="C62" s="59" t="s">
        <v>6</v>
      </c>
      <c r="D62" s="59">
        <v>104</v>
      </c>
      <c r="E62" s="91">
        <v>66</v>
      </c>
    </row>
    <row r="63" spans="1:5">
      <c r="A63" s="21">
        <f t="shared" si="0"/>
        <v>62</v>
      </c>
      <c r="B63" s="85" t="str">
        <f ca="1">IFERROR(__xludf.DUMMYFUNCTION("GOOGLETRANSLATE(B2236:B2251,""RU"",""UK"")"),"Машинна розгортка М7ВК8")</f>
        <v>Машинна розгортка М7ВК8</v>
      </c>
      <c r="C63" s="59" t="s">
        <v>6</v>
      </c>
      <c r="D63" s="59">
        <v>6</v>
      </c>
      <c r="E63" s="91" t="s">
        <v>136</v>
      </c>
    </row>
    <row r="64" spans="1:5">
      <c r="A64" s="21">
        <f t="shared" si="0"/>
        <v>63</v>
      </c>
      <c r="B64" s="85" t="str">
        <f ca="1">IFERROR(__xludf.DUMMYFUNCTION("GOOGLETRANSLATE(B2237:B2252,""RU"",""UK"")"),"Машинна розгортка М7.5")</f>
        <v>Машинна розгортка М7.5</v>
      </c>
      <c r="C64" s="59" t="s">
        <v>6</v>
      </c>
      <c r="D64" s="59">
        <v>9</v>
      </c>
      <c r="E64" s="91">
        <v>90</v>
      </c>
    </row>
    <row r="65" spans="1:5">
      <c r="A65" s="21">
        <f t="shared" si="0"/>
        <v>64</v>
      </c>
      <c r="B65" s="85" t="str">
        <f ca="1">IFERROR(__xludf.DUMMYFUNCTION("GOOGLETRANSLATE(B2237:B2252,""RU"",""UK"")"),"Машинна розгортка М8")</f>
        <v>Машинна розгортка М8</v>
      </c>
      <c r="C65" s="59" t="s">
        <v>6</v>
      </c>
      <c r="D65" s="59">
        <v>197</v>
      </c>
      <c r="E65" s="91">
        <v>90</v>
      </c>
    </row>
    <row r="66" spans="1:5">
      <c r="A66" s="21">
        <f t="shared" si="0"/>
        <v>65</v>
      </c>
      <c r="B66" s="85" t="str">
        <f ca="1">IFERROR(__xludf.DUMMYFUNCTION("GOOGLETRANSLATE(B2237:B2252,""RU"",""UK"")"),"Машинна розгортка М9")</f>
        <v>Машинна розгортка М9</v>
      </c>
      <c r="C66" s="59" t="s">
        <v>6</v>
      </c>
      <c r="D66" s="59">
        <v>265</v>
      </c>
      <c r="E66" s="91">
        <v>90</v>
      </c>
    </row>
    <row r="67" spans="1:5">
      <c r="A67" s="21">
        <f t="shared" si="0"/>
        <v>66</v>
      </c>
      <c r="B67" s="85" t="str">
        <f ca="1">IFERROR(__xludf.DUMMYFUNCTION("GOOGLETRANSLATE(B2238:B2253,""RU"",""UK"")"),"Розгортка машинна М9ВК8")</f>
        <v>Розгортка машинна М9ВК8</v>
      </c>
      <c r="C67" s="59" t="s">
        <v>6</v>
      </c>
      <c r="D67" s="59">
        <v>3</v>
      </c>
      <c r="E67" s="91" t="s">
        <v>319</v>
      </c>
    </row>
    <row r="68" spans="1:5">
      <c r="A68" s="21">
        <f t="shared" si="0"/>
        <v>67</v>
      </c>
      <c r="B68" s="85" t="str">
        <f ca="1">IFERROR(__xludf.DUMMYFUNCTION("GOOGLETRANSLATE(B2239:B2254,""RU"",""UK"")"),"Розгортка машинна М10")</f>
        <v>Розгортка машинна М10</v>
      </c>
      <c r="C68" s="59" t="s">
        <v>6</v>
      </c>
      <c r="D68" s="59">
        <v>156</v>
      </c>
      <c r="E68" s="91" t="s">
        <v>185</v>
      </c>
    </row>
    <row r="69" spans="1:5">
      <c r="A69" s="21">
        <f t="shared" ref="A69:A130" si="1">A68+1</f>
        <v>68</v>
      </c>
      <c r="B69" s="85" t="str">
        <f ca="1">IFERROR(__xludf.DUMMYFUNCTION("GOOGLETRANSLATE(B2240:B2255,""RU"",""UK"")"),"Розгортка машинна М10Т5К10")</f>
        <v>Розгортка машинна М10Т5К10</v>
      </c>
      <c r="C69" s="59" t="s">
        <v>6</v>
      </c>
      <c r="D69" s="59">
        <v>7</v>
      </c>
      <c r="E69" s="91" t="s">
        <v>327</v>
      </c>
    </row>
    <row r="70" spans="1:5">
      <c r="A70" s="21">
        <f t="shared" si="1"/>
        <v>69</v>
      </c>
      <c r="B70" s="85" t="str">
        <f ca="1">IFERROR(__xludf.DUMMYFUNCTION("GOOGLETRANSLATE(B2239:B2254,""RU"",""UK"")"),"Розгортка машинна М10,5")</f>
        <v>Розгортка машинна М10,5</v>
      </c>
      <c r="C70" s="59" t="s">
        <v>6</v>
      </c>
      <c r="D70" s="59">
        <v>2</v>
      </c>
      <c r="E70" s="91" t="s">
        <v>185</v>
      </c>
    </row>
    <row r="71" spans="1:5">
      <c r="A71" s="21">
        <f t="shared" si="1"/>
        <v>70</v>
      </c>
      <c r="B71" s="85" t="str">
        <f ca="1">IFERROR(__xludf.DUMMYFUNCTION("GOOGLETRANSLATE(B2241:B2256,""RU"",""UK"")"),"Розгортка машинна М11Т5К10")</f>
        <v>Розгортка машинна М11Т5К10</v>
      </c>
      <c r="C71" s="59" t="s">
        <v>6</v>
      </c>
      <c r="D71" s="59">
        <v>2</v>
      </c>
      <c r="E71" s="91" t="s">
        <v>140</v>
      </c>
    </row>
    <row r="72" spans="1:5">
      <c r="A72" s="21">
        <f t="shared" si="1"/>
        <v>71</v>
      </c>
      <c r="B72" s="85" t="str">
        <f ca="1">IFERROR(__xludf.DUMMYFUNCTION("GOOGLETRANSLATE(B2242:B2257,""RU"",""UK"")"),"Розгортка машинна М11")</f>
        <v>Розгортка машинна М11</v>
      </c>
      <c r="C72" s="59" t="s">
        <v>6</v>
      </c>
      <c r="D72" s="59">
        <v>38</v>
      </c>
      <c r="E72" s="91" t="s">
        <v>353</v>
      </c>
    </row>
    <row r="73" spans="1:5">
      <c r="A73" s="21">
        <f t="shared" si="1"/>
        <v>72</v>
      </c>
      <c r="B73" s="85" t="str">
        <f ca="1">IFERROR(__xludf.DUMMYFUNCTION("GOOGLETRANSLATE(B2241:B2256,""RU"",""UK"")"),"Розгортка машинна М11,5ВК8")</f>
        <v>Розгортка машинна М11,5ВК8</v>
      </c>
      <c r="C73" s="59" t="s">
        <v>6</v>
      </c>
      <c r="D73" s="59">
        <v>12</v>
      </c>
      <c r="E73" s="91" t="s">
        <v>140</v>
      </c>
    </row>
    <row r="74" spans="1:5">
      <c r="A74" s="21">
        <f t="shared" si="1"/>
        <v>73</v>
      </c>
      <c r="B74" s="85" t="str">
        <f ca="1">IFERROR(__xludf.DUMMYFUNCTION("GOOGLETRANSLATE(B2242:B2257,""RU"",""UK"")"),"Розгортка машинна М12")</f>
        <v>Розгортка машинна М12</v>
      </c>
      <c r="C74" s="59" t="s">
        <v>6</v>
      </c>
      <c r="D74" s="59">
        <v>108</v>
      </c>
      <c r="E74" s="91" t="s">
        <v>353</v>
      </c>
    </row>
    <row r="75" spans="1:5">
      <c r="A75" s="21">
        <f t="shared" si="1"/>
        <v>74</v>
      </c>
      <c r="B75" s="85" t="str">
        <f ca="1">IFERROR(__xludf.DUMMYFUNCTION("GOOGLETRANSLATE(B2243:B2258,""RU"",""UK"")"),"Машинна розгортка М12Р18")</f>
        <v>Машинна розгортка М12Р18</v>
      </c>
      <c r="C75" s="59" t="s">
        <v>6</v>
      </c>
      <c r="D75" s="59">
        <v>1</v>
      </c>
      <c r="E75" s="91" t="s">
        <v>140</v>
      </c>
    </row>
    <row r="76" spans="1:5">
      <c r="A76" s="21">
        <f t="shared" si="1"/>
        <v>75</v>
      </c>
      <c r="B76" s="85" t="str">
        <f ca="1">IFERROR(__xludf.DUMMYFUNCTION("GOOGLETRANSLATE(B2243:B2258,""RU"",""UK"")"),"Машинна розгортка М12ВК8")</f>
        <v>Машинна розгортка М12ВК8</v>
      </c>
      <c r="C76" s="59" t="s">
        <v>6</v>
      </c>
      <c r="D76" s="59">
        <v>3</v>
      </c>
      <c r="E76" s="91" t="s">
        <v>140</v>
      </c>
    </row>
    <row r="77" spans="1:5">
      <c r="A77" s="21">
        <f t="shared" si="1"/>
        <v>76</v>
      </c>
      <c r="B77" s="85" t="str">
        <f ca="1">IFERROR(__xludf.DUMMYFUNCTION("GOOGLETRANSLATE(B2242:B2257,""RU"",""UK"")"),"Розгортка машинна М13")</f>
        <v>Розгортка машинна М13</v>
      </c>
      <c r="C77" s="59" t="s">
        <v>6</v>
      </c>
      <c r="D77" s="59">
        <v>43</v>
      </c>
      <c r="E77" s="91" t="s">
        <v>353</v>
      </c>
    </row>
    <row r="78" spans="1:5">
      <c r="A78" s="21">
        <f t="shared" si="1"/>
        <v>77</v>
      </c>
      <c r="B78" s="85" t="str">
        <f ca="1">IFERROR(__xludf.DUMMYFUNCTION("GOOGLETRANSLATE(B2244:B2259,""RU"",""UK"")"),"Розгортка машинна М14")</f>
        <v>Розгортка машинна М14</v>
      </c>
      <c r="C78" s="59" t="s">
        <v>6</v>
      </c>
      <c r="D78" s="59">
        <v>96</v>
      </c>
      <c r="E78" s="91" t="s">
        <v>196</v>
      </c>
    </row>
    <row r="79" spans="1:5">
      <c r="A79" s="21">
        <f t="shared" si="1"/>
        <v>78</v>
      </c>
      <c r="B79" s="85" t="str">
        <f ca="1">IFERROR(__xludf.DUMMYFUNCTION("GOOGLETRANSLATE(B2244:B2259,""RU"",""UK"")"),"Розгортка машинна М15")</f>
        <v>Розгортка машинна М15</v>
      </c>
      <c r="C79" s="59" t="s">
        <v>6</v>
      </c>
      <c r="D79" s="59">
        <v>161</v>
      </c>
      <c r="E79" s="91">
        <v>192</v>
      </c>
    </row>
    <row r="80" spans="1:5">
      <c r="A80" s="21">
        <f t="shared" si="1"/>
        <v>79</v>
      </c>
      <c r="B80" s="85" t="str">
        <f ca="1">IFERROR(__xludf.DUMMYFUNCTION("GOOGLETRANSLATE(B2245:B2260,""RU"",""UK"")"),"Розгортка машинна М16")</f>
        <v>Розгортка машинна М16</v>
      </c>
      <c r="C80" s="59" t="s">
        <v>6</v>
      </c>
      <c r="D80" s="59">
        <v>102</v>
      </c>
      <c r="E80" s="91" t="s">
        <v>3067</v>
      </c>
    </row>
    <row r="81" spans="1:5">
      <c r="A81" s="21">
        <f t="shared" si="1"/>
        <v>80</v>
      </c>
      <c r="B81" s="85" t="s">
        <v>6404</v>
      </c>
      <c r="C81" s="59" t="s">
        <v>6</v>
      </c>
      <c r="D81" s="59">
        <v>1</v>
      </c>
      <c r="E81" s="91">
        <v>240</v>
      </c>
    </row>
    <row r="82" spans="1:5">
      <c r="A82" s="21">
        <f t="shared" si="1"/>
        <v>81</v>
      </c>
      <c r="B82" s="85" t="str">
        <f ca="1">IFERROR(__xludf.DUMMYFUNCTION("GOOGLETRANSLATE(B2245:B2260,""RU"",""UK"")"),"Розгортка машинна М17")</f>
        <v>Розгортка машинна М17</v>
      </c>
      <c r="C82" s="59" t="s">
        <v>6</v>
      </c>
      <c r="D82" s="59">
        <v>88</v>
      </c>
      <c r="E82" s="91">
        <v>222</v>
      </c>
    </row>
    <row r="83" spans="1:5">
      <c r="A83" s="21">
        <f t="shared" si="1"/>
        <v>82</v>
      </c>
      <c r="B83" s="85" t="str">
        <f ca="1">IFERROR(__xludf.DUMMYFUNCTION("GOOGLETRANSLATE(B2247:B2262,""RU"",""UK"")"),"Машинна розгортка М18")</f>
        <v>Машинна розгортка М18</v>
      </c>
      <c r="C83" s="59" t="s">
        <v>6</v>
      </c>
      <c r="D83" s="59">
        <v>105</v>
      </c>
      <c r="E83" s="91" t="s">
        <v>140</v>
      </c>
    </row>
    <row r="84" spans="1:5">
      <c r="A84" s="21">
        <f t="shared" si="1"/>
        <v>83</v>
      </c>
      <c r="B84" s="85" t="str">
        <f ca="1">IFERROR(__xludf.DUMMYFUNCTION("GOOGLETRANSLATE(B2247:B2262,""RU"",""UK"")"),"Машинна розгортка М19")</f>
        <v>Машинна розгортка М19</v>
      </c>
      <c r="C84" s="59" t="s">
        <v>6</v>
      </c>
      <c r="D84" s="59">
        <v>36</v>
      </c>
      <c r="E84" s="91" t="s">
        <v>140</v>
      </c>
    </row>
    <row r="85" spans="1:5">
      <c r="A85" s="21">
        <f t="shared" si="1"/>
        <v>84</v>
      </c>
      <c r="B85" s="85" t="str">
        <f ca="1">IFERROR(__xludf.DUMMYFUNCTION("GOOGLETRANSLATE(B2248:B2263,""RU"",""UK"")"),"Машинна розгортка М20")</f>
        <v>Машинна розгортка М20</v>
      </c>
      <c r="C85" s="59" t="s">
        <v>6</v>
      </c>
      <c r="D85" s="59">
        <v>27</v>
      </c>
      <c r="E85" s="91">
        <v>270</v>
      </c>
    </row>
    <row r="86" spans="1:5">
      <c r="A86" s="21">
        <f t="shared" si="1"/>
        <v>85</v>
      </c>
      <c r="B86" s="85" t="str">
        <f ca="1">IFERROR(__xludf.DUMMYFUNCTION("GOOGLETRANSLATE(B2249:B2264,""RU"",""UK"")"),"Машинна розгортка М20,9т/с ")</f>
        <v xml:space="preserve">Машинна розгортка М20,9т/с </v>
      </c>
      <c r="C86" s="59" t="s">
        <v>6</v>
      </c>
      <c r="D86" s="59">
        <v>1</v>
      </c>
      <c r="E86" s="91" t="s">
        <v>272</v>
      </c>
    </row>
    <row r="87" spans="1:5">
      <c r="A87" s="21">
        <f t="shared" si="1"/>
        <v>86</v>
      </c>
      <c r="B87" s="85" t="str">
        <f ca="1">IFERROR(__xludf.DUMMYFUNCTION("GOOGLETRANSLATE(B2248:B2263,""RU"",""UK"")"),"Машинна розгортка М21")</f>
        <v>Машинна розгортка М21</v>
      </c>
      <c r="C87" s="59" t="s">
        <v>6</v>
      </c>
      <c r="D87" s="59">
        <v>29</v>
      </c>
      <c r="E87" s="91">
        <v>270</v>
      </c>
    </row>
    <row r="88" spans="1:5">
      <c r="A88" s="21">
        <f t="shared" si="1"/>
        <v>87</v>
      </c>
      <c r="B88" s="85" t="str">
        <f ca="1">IFERROR(__xludf.DUMMYFUNCTION("GOOGLETRANSLATE(B2248:B2263,""RU"",""UK"")"),"Машинна розгортка М21 Р18")</f>
        <v>Машинна розгортка М21 Р18</v>
      </c>
      <c r="C88" s="59" t="s">
        <v>6</v>
      </c>
      <c r="D88" s="59">
        <v>1</v>
      </c>
      <c r="E88" s="91">
        <v>300</v>
      </c>
    </row>
    <row r="89" spans="1:5">
      <c r="A89" s="21">
        <f t="shared" si="1"/>
        <v>88</v>
      </c>
      <c r="B89" s="85" t="str">
        <f ca="1">IFERROR(__xludf.DUMMYFUNCTION("GOOGLETRANSLATE(B2249:B2264,""RU"",""UK"")"),"Машинна розгортка М21ВК6")</f>
        <v>Машинна розгортка М21ВК6</v>
      </c>
      <c r="C89" s="59" t="s">
        <v>6</v>
      </c>
      <c r="D89" s="59">
        <v>1</v>
      </c>
      <c r="E89" s="91" t="s">
        <v>272</v>
      </c>
    </row>
    <row r="90" spans="1:5">
      <c r="A90" s="21">
        <f t="shared" si="1"/>
        <v>89</v>
      </c>
      <c r="B90" s="85" t="str">
        <f ca="1">IFERROR(__xludf.DUMMYFUNCTION("GOOGLETRANSLATE(B2250:B2265,""RU"",""UK"")"),"Розгортка машинна М22")</f>
        <v>Розгортка машинна М22</v>
      </c>
      <c r="C90" s="59" t="s">
        <v>6</v>
      </c>
      <c r="D90" s="59">
        <v>54</v>
      </c>
      <c r="E90" s="91">
        <v>300</v>
      </c>
    </row>
    <row r="91" spans="1:5">
      <c r="A91" s="21">
        <f t="shared" si="1"/>
        <v>90</v>
      </c>
      <c r="B91" s="85" t="str">
        <f ca="1">IFERROR(__xludf.DUMMYFUNCTION("GOOGLETRANSLATE(B2251:B2266,""RU"",""UK"")"),"Розгортка машинна М22 з довгою раб. частиною")</f>
        <v>Розгортка машинна М22 з довгою раб. частиною</v>
      </c>
      <c r="C91" s="59" t="s">
        <v>6</v>
      </c>
      <c r="D91" s="59">
        <v>3</v>
      </c>
      <c r="E91" s="91">
        <v>390</v>
      </c>
    </row>
    <row r="92" spans="1:5">
      <c r="A92" s="21">
        <f t="shared" si="1"/>
        <v>91</v>
      </c>
      <c r="B92" s="169" t="str">
        <f ca="1">IFERROR(__xludf.DUMMYFUNCTION("GOOGLETRANSLATE(B2252:B2267,""RU"",""UK"")"),"Машинна розгортка М22ВК8")</f>
        <v>Машинна розгортка М22ВК8</v>
      </c>
      <c r="C92" s="59" t="s">
        <v>6</v>
      </c>
      <c r="D92" s="59">
        <v>6</v>
      </c>
      <c r="E92" s="91" t="s">
        <v>413</v>
      </c>
    </row>
    <row r="93" spans="1:5">
      <c r="A93" s="21">
        <f t="shared" si="1"/>
        <v>92</v>
      </c>
      <c r="B93" s="85" t="str">
        <f ca="1">IFERROR(__xludf.DUMMYFUNCTION("GOOGLETRANSLATE(B2250:B2265,""RU"",""UK"")"),"Розгортка машинна М22,5")</f>
        <v>Розгортка машинна М22,5</v>
      </c>
      <c r="C93" s="59" t="s">
        <v>6</v>
      </c>
      <c r="D93" s="59">
        <v>2</v>
      </c>
      <c r="E93" s="91">
        <v>300</v>
      </c>
    </row>
    <row r="94" spans="1:5">
      <c r="A94" s="21">
        <f t="shared" si="1"/>
        <v>93</v>
      </c>
      <c r="B94" s="169" t="str">
        <f ca="1">IFERROR(__xludf.DUMMYFUNCTION("GOOGLETRANSLATE(B2252:B2267,""RU"",""UK"")"),"Машинна розгортка М22,7ВК8")</f>
        <v>Машинна розгортка М22,7ВК8</v>
      </c>
      <c r="C94" s="59" t="s">
        <v>6</v>
      </c>
      <c r="D94" s="59">
        <v>2</v>
      </c>
      <c r="E94" s="91" t="s">
        <v>413</v>
      </c>
    </row>
    <row r="95" spans="1:5">
      <c r="A95" s="21">
        <f t="shared" si="1"/>
        <v>94</v>
      </c>
      <c r="B95" s="85" t="str">
        <f ca="1">IFERROR(__xludf.DUMMYFUNCTION("GOOGLETRANSLATE(B2253:B2268,""RU"",""UK"")"),"Розгортка машинна М23")</f>
        <v>Розгортка машинна М23</v>
      </c>
      <c r="C95" s="59" t="s">
        <v>6</v>
      </c>
      <c r="D95" s="59">
        <v>5</v>
      </c>
      <c r="E95" s="91" t="s">
        <v>24</v>
      </c>
    </row>
    <row r="96" spans="1:5">
      <c r="A96" s="21">
        <f t="shared" si="1"/>
        <v>95</v>
      </c>
      <c r="B96" s="85" t="s">
        <v>6403</v>
      </c>
      <c r="C96" s="59" t="s">
        <v>6</v>
      </c>
      <c r="D96" s="59">
        <v>2</v>
      </c>
      <c r="E96" s="91">
        <v>330</v>
      </c>
    </row>
    <row r="97" spans="1:5">
      <c r="A97" s="21">
        <f t="shared" si="1"/>
        <v>96</v>
      </c>
      <c r="B97" s="85" t="str">
        <f ca="1">IFERROR(__xludf.DUMMYFUNCTION("GOOGLETRANSLATE(B2253:B2268,""RU"",""UK"")"),"Розгортка машинна М24")</f>
        <v>Розгортка машинна М24</v>
      </c>
      <c r="C97" s="59" t="s">
        <v>6</v>
      </c>
      <c r="D97" s="59">
        <v>95</v>
      </c>
      <c r="E97" s="91" t="s">
        <v>24</v>
      </c>
    </row>
    <row r="98" spans="1:5">
      <c r="A98" s="21">
        <f t="shared" si="1"/>
        <v>97</v>
      </c>
      <c r="B98" s="85" t="str">
        <f ca="1">IFERROR(__xludf.DUMMYFUNCTION("GOOGLETRANSLATE(B2254:B2269,""RU"",""UK"")"),"Розгортка машинна М24ВК6")</f>
        <v>Розгортка машинна М24ВК6</v>
      </c>
      <c r="C98" s="59" t="s">
        <v>6</v>
      </c>
      <c r="D98" s="160">
        <v>1</v>
      </c>
      <c r="E98" s="91">
        <v>510</v>
      </c>
    </row>
    <row r="99" spans="1:5">
      <c r="A99" s="21">
        <f t="shared" si="1"/>
        <v>98</v>
      </c>
      <c r="B99" s="85" t="str">
        <f ca="1">IFERROR(__xludf.DUMMYFUNCTION("GOOGLETRANSLATE(B2255:B2270,""RU"",""UK"")"),"Машинна розгортка М25")</f>
        <v>Машинна розгортка М25</v>
      </c>
      <c r="C99" s="59" t="s">
        <v>6</v>
      </c>
      <c r="D99" s="59">
        <v>33</v>
      </c>
      <c r="E99" s="91">
        <v>420</v>
      </c>
    </row>
    <row r="100" spans="1:5">
      <c r="A100" s="21">
        <f t="shared" si="1"/>
        <v>99</v>
      </c>
      <c r="B100" s="85" t="str">
        <f ca="1">IFERROR(__xludf.DUMMYFUNCTION("GOOGLETRANSLATE(B2255:B2270,""RU"",""UK"")"),"Машинна розгортка М25 подовж роб частина 60мм Н7")</f>
        <v>Машинна розгортка М25 подовж роб частина 60мм Н7</v>
      </c>
      <c r="C100" s="59" t="s">
        <v>6</v>
      </c>
      <c r="D100" s="59">
        <v>1</v>
      </c>
      <c r="E100" s="91">
        <v>480</v>
      </c>
    </row>
    <row r="101" spans="1:5">
      <c r="A101" s="21">
        <f t="shared" si="1"/>
        <v>100</v>
      </c>
      <c r="B101" s="169" t="str">
        <f ca="1">IFERROR(__xludf.DUMMYFUNCTION("GOOGLETRANSLATE(B2254:B2269,""RU"",""UK"")"),"Розгортка машинна М25ВК6")</f>
        <v>Розгортка машинна М25ВК6</v>
      </c>
      <c r="C101" s="59" t="s">
        <v>6</v>
      </c>
      <c r="D101" s="160">
        <v>1</v>
      </c>
      <c r="E101" s="91">
        <v>540</v>
      </c>
    </row>
    <row r="102" spans="1:5">
      <c r="A102" s="21">
        <f t="shared" si="1"/>
        <v>101</v>
      </c>
      <c r="B102" s="85" t="str">
        <f ca="1">IFERROR(__xludf.DUMMYFUNCTION("GOOGLETRANSLATE(B2255:B2270,""RU"",""UK"")"),"Машинна розгортка М26")</f>
        <v>Машинна розгортка М26</v>
      </c>
      <c r="C102" s="59" t="s">
        <v>6</v>
      </c>
      <c r="D102" s="59">
        <v>105</v>
      </c>
      <c r="E102" s="91">
        <v>420</v>
      </c>
    </row>
    <row r="103" spans="1:5">
      <c r="A103" s="21">
        <f t="shared" si="1"/>
        <v>102</v>
      </c>
      <c r="B103" s="85" t="str">
        <f ca="1">IFERROR(__xludf.DUMMYFUNCTION("GOOGLETRANSLATE(B2256:B2271,""RU"",""UK"")"),"Розгортка машинна М26Т5К10")</f>
        <v>Розгортка машинна М26Т5К10</v>
      </c>
      <c r="C103" s="59" t="s">
        <v>6</v>
      </c>
      <c r="D103" s="59">
        <v>1</v>
      </c>
      <c r="E103" s="91" t="s">
        <v>27</v>
      </c>
    </row>
    <row r="104" spans="1:5">
      <c r="A104" s="21">
        <f t="shared" si="1"/>
        <v>103</v>
      </c>
      <c r="B104" s="85" t="str">
        <f ca="1">IFERROR(__xludf.DUMMYFUNCTION("GOOGLETRANSLATE(B2257:B2272,""RU"",""UK"")"),"Машинна розгортка М27")</f>
        <v>Машинна розгортка М27</v>
      </c>
      <c r="C104" s="59" t="s">
        <v>6</v>
      </c>
      <c r="D104" s="59">
        <v>23</v>
      </c>
      <c r="E104" s="91">
        <v>450</v>
      </c>
    </row>
    <row r="105" spans="1:5">
      <c r="A105" s="21">
        <f t="shared" si="1"/>
        <v>104</v>
      </c>
      <c r="B105" s="85" t="str">
        <f ca="1">IFERROR(__xludf.DUMMYFUNCTION("GOOGLETRANSLATE(B2257:B2272,""RU"",""UK"")"),"Машинна розгортка М28")</f>
        <v>Машинна розгортка М28</v>
      </c>
      <c r="C105" s="59" t="s">
        <v>6</v>
      </c>
      <c r="D105" s="59">
        <v>63</v>
      </c>
      <c r="E105" s="91">
        <v>450</v>
      </c>
    </row>
    <row r="106" spans="1:5">
      <c r="A106" s="21">
        <f t="shared" si="1"/>
        <v>105</v>
      </c>
      <c r="B106" s="85" t="str">
        <f ca="1">IFERROR(__xludf.DUMMYFUNCTION("GOOGLETRANSLATE(B2258:B2273,""RU"",""UK"")"),"Машинна розгортка М30")</f>
        <v>Машинна розгортка М30</v>
      </c>
      <c r="C106" s="59" t="s">
        <v>6</v>
      </c>
      <c r="D106" s="59">
        <v>104</v>
      </c>
      <c r="E106" s="91">
        <v>500</v>
      </c>
    </row>
    <row r="107" spans="1:5">
      <c r="A107" s="21">
        <f t="shared" si="1"/>
        <v>106</v>
      </c>
      <c r="B107" s="85" t="s">
        <v>6299</v>
      </c>
      <c r="C107" s="59" t="s">
        <v>6</v>
      </c>
      <c r="D107" s="59">
        <v>1</v>
      </c>
      <c r="E107" s="91">
        <v>750</v>
      </c>
    </row>
    <row r="108" spans="1:5">
      <c r="A108" s="21">
        <f t="shared" si="1"/>
        <v>107</v>
      </c>
      <c r="B108" s="85" t="str">
        <f ca="1">IFERROR(__xludf.DUMMYFUNCTION("GOOGLETRANSLATE(B2258:B2273,""RU"",""UK"")"),"Машинна розгортка М32")</f>
        <v>Машинна розгортка М32</v>
      </c>
      <c r="C108" s="59" t="s">
        <v>6</v>
      </c>
      <c r="D108" s="59">
        <v>27</v>
      </c>
      <c r="E108" s="91">
        <v>500</v>
      </c>
    </row>
    <row r="109" spans="1:5">
      <c r="A109" s="21">
        <f t="shared" si="1"/>
        <v>108</v>
      </c>
      <c r="B109" s="85" t="str">
        <f ca="1">IFERROR(__xludf.DUMMYFUNCTION("GOOGLETRANSLATE(B2259:B2274,""RU"",""UK"")"),"Розгортка машинна М32ВК8")</f>
        <v>Розгортка машинна М32ВК8</v>
      </c>
      <c r="C109" s="59" t="s">
        <v>6</v>
      </c>
      <c r="D109" s="59">
        <v>1</v>
      </c>
      <c r="E109" s="91" t="s">
        <v>842</v>
      </c>
    </row>
    <row r="110" spans="1:5">
      <c r="A110" s="21">
        <f t="shared" si="1"/>
        <v>109</v>
      </c>
      <c r="B110" s="85" t="str">
        <f ca="1">IFERROR(__xludf.DUMMYFUNCTION("GOOGLETRANSLATE(B2259:B2274,""RU"",""UK"")"),"Розгортка машинна М36 зі вставними ножами Р6М5")</f>
        <v>Розгортка машинна М36 зі вставними ножами Р6М5</v>
      </c>
      <c r="C110" s="59" t="s">
        <v>6</v>
      </c>
      <c r="D110" s="59">
        <v>2</v>
      </c>
      <c r="E110" s="91" t="s">
        <v>842</v>
      </c>
    </row>
    <row r="111" spans="1:5">
      <c r="A111" s="21">
        <f t="shared" si="1"/>
        <v>110</v>
      </c>
      <c r="B111" s="85" t="str">
        <f ca="1">IFERROR(__xludf.DUMMYFUNCTION("GOOGLETRANSLATE(B2260:B2275,""RU"",""UK"")"),"Розгортка конічна руч. 3 (1:50)")</f>
        <v>Розгортка конічна руч. 3 (1:50)</v>
      </c>
      <c r="C111" s="59" t="s">
        <v>6</v>
      </c>
      <c r="D111" s="59">
        <v>16</v>
      </c>
      <c r="E111" s="91" t="s">
        <v>614</v>
      </c>
    </row>
    <row r="112" spans="1:5">
      <c r="A112" s="21">
        <f t="shared" si="1"/>
        <v>111</v>
      </c>
      <c r="B112" s="85" t="str">
        <f ca="1">IFERROR(__xludf.DUMMYFUNCTION("GOOGLETRANSLATE(B2261:B2276,""RU"",""UK"")"),"Розгортка конічна руч. 4 (1:50)")</f>
        <v>Розгортка конічна руч. 4 (1:50)</v>
      </c>
      <c r="C112" s="59" t="s">
        <v>6</v>
      </c>
      <c r="D112" s="59">
        <v>154</v>
      </c>
      <c r="E112" s="91" t="s">
        <v>564</v>
      </c>
    </row>
    <row r="113" spans="1:5">
      <c r="A113" s="21">
        <f t="shared" si="1"/>
        <v>112</v>
      </c>
      <c r="B113" s="85" t="str">
        <f ca="1">IFERROR(__xludf.DUMMYFUNCTION("GOOGLETRANSLATE(B2262:B2277,""RU"",""UK"")"),"Розгортка конічна руч. 5 (1:50)")</f>
        <v>Розгортка конічна руч. 5 (1:50)</v>
      </c>
      <c r="C113" s="59" t="s">
        <v>6</v>
      </c>
      <c r="D113" s="59">
        <v>56</v>
      </c>
      <c r="E113" s="91" t="s">
        <v>185</v>
      </c>
    </row>
    <row r="114" spans="1:5">
      <c r="A114" s="21">
        <f t="shared" si="1"/>
        <v>113</v>
      </c>
      <c r="B114" s="169" t="str">
        <f ca="1">IFERROR(__xludf.DUMMYFUNCTION("GOOGLETRANSLATE(B2263:B2278,""RU"",""UK"")"),"Розгортка конічна руч. 6 (1:50)")</f>
        <v>Розгортка конічна руч. 6 (1:50)</v>
      </c>
      <c r="C114" s="59" t="s">
        <v>6</v>
      </c>
      <c r="D114" s="59">
        <v>10</v>
      </c>
      <c r="E114" s="91" t="s">
        <v>136</v>
      </c>
    </row>
    <row r="115" spans="1:5">
      <c r="A115" s="21">
        <f t="shared" si="1"/>
        <v>114</v>
      </c>
      <c r="B115" s="85" t="str">
        <f ca="1">IFERROR(__xludf.DUMMYFUNCTION("GOOGLETRANSLATE(B2264:B2279,""RU"",""UK"")"),"Розгортка конічна руч. 8 (1:50)")</f>
        <v>Розгортка конічна руч. 8 (1:50)</v>
      </c>
      <c r="C115" s="59" t="s">
        <v>6</v>
      </c>
      <c r="D115" s="59">
        <v>14</v>
      </c>
      <c r="E115" s="91">
        <v>138</v>
      </c>
    </row>
    <row r="116" spans="1:5">
      <c r="A116" s="21">
        <f t="shared" si="1"/>
        <v>115</v>
      </c>
      <c r="B116" s="85" t="str">
        <f ca="1">IFERROR(__xludf.DUMMYFUNCTION("GOOGLETRANSLATE(B2265:B2280,""RU"",""UK"")"),"Розгортка конічна руч. 10 (1:50)")</f>
        <v>Розгортка конічна руч. 10 (1:50)</v>
      </c>
      <c r="C116" s="59" t="s">
        <v>6</v>
      </c>
      <c r="D116" s="59">
        <v>101</v>
      </c>
      <c r="E116" s="91">
        <v>150</v>
      </c>
    </row>
    <row r="117" spans="1:5">
      <c r="A117" s="21">
        <f t="shared" si="1"/>
        <v>116</v>
      </c>
      <c r="B117" s="85" t="str">
        <f ca="1">IFERROR(__xludf.DUMMYFUNCTION("GOOGLETRANSLATE(B2266:B2281,""RU"",""UK"")"),"Розгортка конічна маш. 10 (1:50)")</f>
        <v>Розгортка конічна маш. 10 (1:50)</v>
      </c>
      <c r="C117" s="59" t="s">
        <v>6</v>
      </c>
      <c r="D117" s="59">
        <v>14</v>
      </c>
      <c r="E117" s="91">
        <v>150</v>
      </c>
    </row>
    <row r="118" spans="1:5">
      <c r="A118" s="21">
        <f t="shared" si="1"/>
        <v>117</v>
      </c>
      <c r="B118" s="85" t="str">
        <f ca="1">IFERROR(__xludf.DUMMYFUNCTION("GOOGLETRANSLATE(B2267:B2282,""RU"",""UK"")"),"Розгортка конічна маш. 12 (1:50)")</f>
        <v>Розгортка конічна маш. 12 (1:50)</v>
      </c>
      <c r="C118" s="59" t="s">
        <v>6</v>
      </c>
      <c r="D118" s="59">
        <v>5</v>
      </c>
      <c r="E118" s="91">
        <v>171</v>
      </c>
    </row>
    <row r="119" spans="1:5">
      <c r="A119" s="21">
        <f t="shared" si="1"/>
        <v>118</v>
      </c>
      <c r="B119" s="85" t="str">
        <f ca="1">IFERROR(__xludf.DUMMYFUNCTION("GOOGLETRANSLATE(B2267:B2282,""RU"",""UK"")"),"Розгортка конічна руч. 12 (1:50)")</f>
        <v>Розгортка конічна руч. 12 (1:50)</v>
      </c>
      <c r="C119" s="59" t="s">
        <v>6</v>
      </c>
      <c r="D119" s="59">
        <v>20</v>
      </c>
      <c r="E119" s="91">
        <v>185</v>
      </c>
    </row>
    <row r="120" spans="1:5">
      <c r="A120" s="21">
        <f t="shared" si="1"/>
        <v>119</v>
      </c>
      <c r="B120" s="85" t="str">
        <f ca="1">IFERROR(__xludf.DUMMYFUNCTION("GOOGLETRANSLATE(B2268:B2283,""RU"",""UK"")"),"Розгортка конічна руч. 13 (1:50)")</f>
        <v>Розгортка конічна руч. 13 (1:50)</v>
      </c>
      <c r="C120" s="59" t="s">
        <v>6</v>
      </c>
      <c r="D120" s="59">
        <v>14</v>
      </c>
      <c r="E120" s="91">
        <v>240</v>
      </c>
    </row>
    <row r="121" spans="1:5">
      <c r="A121" s="21">
        <f t="shared" si="1"/>
        <v>120</v>
      </c>
      <c r="B121" s="85" t="str">
        <f ca="1">IFERROR(__xludf.DUMMYFUNCTION("GOOGLETRANSLATE(B2268:B2283,""RU"",""UK"")"),"Розгортка конічна руч. 12-15мм (1:50)")</f>
        <v>Розгортка конічна руч. 12-15мм (1:50)</v>
      </c>
      <c r="C121" s="59" t="s">
        <v>6</v>
      </c>
      <c r="D121" s="59">
        <v>4</v>
      </c>
      <c r="E121" s="91">
        <v>270</v>
      </c>
    </row>
    <row r="122" spans="1:5">
      <c r="A122" s="21">
        <f t="shared" si="1"/>
        <v>121</v>
      </c>
      <c r="B122" s="85" t="str">
        <f ca="1">IFERROR(__xludf.DUMMYFUNCTION("GOOGLETRANSLATE(B2269:B2284,""RU"",""UK"")"),"Розгортка конічна руч. 16 (1:50)")</f>
        <v>Розгортка конічна руч. 16 (1:50)</v>
      </c>
      <c r="C122" s="59" t="s">
        <v>6</v>
      </c>
      <c r="D122" s="59">
        <v>47</v>
      </c>
      <c r="E122" s="91">
        <v>330</v>
      </c>
    </row>
    <row r="123" spans="1:5">
      <c r="A123" s="21">
        <f t="shared" si="1"/>
        <v>122</v>
      </c>
      <c r="B123" s="85" t="str">
        <f ca="1">IFERROR(__xludf.DUMMYFUNCTION("GOOGLETRANSLATE(B2269:B2284,""RU"",""UK"")"),"Розгортка конічна маш. 16 (1:50)")</f>
        <v>Розгортка конічна маш. 16 (1:50)</v>
      </c>
      <c r="C123" s="59" t="s">
        <v>6</v>
      </c>
      <c r="D123" s="59">
        <v>1</v>
      </c>
      <c r="E123" s="91">
        <v>330</v>
      </c>
    </row>
    <row r="124" spans="1:5">
      <c r="A124" s="21">
        <f t="shared" si="1"/>
        <v>123</v>
      </c>
      <c r="B124" s="85" t="str">
        <f ca="1">IFERROR(__xludf.DUMMYFUNCTION("GOOGLETRANSLATE(B2270:B2285,""RU"",""UK"")"),"Розгортка конічна руч. 20 (1:50)")</f>
        <v>Розгортка конічна руч. 20 (1:50)</v>
      </c>
      <c r="C124" s="59" t="s">
        <v>6</v>
      </c>
      <c r="D124" s="59">
        <v>12</v>
      </c>
      <c r="E124" s="91" t="s">
        <v>106</v>
      </c>
    </row>
    <row r="125" spans="1:5">
      <c r="A125" s="21">
        <f t="shared" si="1"/>
        <v>124</v>
      </c>
      <c r="B125" s="85" t="str">
        <f ca="1">IFERROR(__xludf.DUMMYFUNCTION("GOOGLETRANSLATE(B2271:B2286,""RU"",""UK"")"),"Розгортка конічна руч. 13 (1:30)")</f>
        <v>Розгортка конічна руч. 13 (1:30)</v>
      </c>
      <c r="C125" s="59" t="s">
        <v>6</v>
      </c>
      <c r="D125" s="59">
        <v>20</v>
      </c>
      <c r="E125" s="91" t="s">
        <v>319</v>
      </c>
    </row>
    <row r="126" spans="1:5">
      <c r="A126" s="21">
        <f t="shared" si="1"/>
        <v>125</v>
      </c>
      <c r="B126" s="85" t="str">
        <f ca="1">IFERROR(__xludf.DUMMYFUNCTION("GOOGLETRANSLATE(B2271:B2286,""RU"",""UK"")"),"Розгортка конічна руч. 14 (1:30)")</f>
        <v>Розгортка конічна руч. 14 (1:30)</v>
      </c>
      <c r="C126" s="59" t="s">
        <v>6</v>
      </c>
      <c r="D126" s="59">
        <v>1</v>
      </c>
      <c r="E126" s="91" t="s">
        <v>319</v>
      </c>
    </row>
    <row r="127" spans="1:5">
      <c r="A127" s="21">
        <f t="shared" si="1"/>
        <v>126</v>
      </c>
      <c r="B127" s="85" t="str">
        <f ca="1">IFERROR(__xludf.DUMMYFUNCTION("GOOGLETRANSLATE(B2272:B2287,""RU"",""UK"")"),"Розгортка конічна руч. 16 (1:30)")</f>
        <v>Розгортка конічна руч. 16 (1:30)</v>
      </c>
      <c r="C127" s="59" t="s">
        <v>6</v>
      </c>
      <c r="D127" s="59">
        <v>46</v>
      </c>
      <c r="E127" s="91" t="s">
        <v>263</v>
      </c>
    </row>
    <row r="128" spans="1:5">
      <c r="A128" s="21">
        <f t="shared" si="1"/>
        <v>127</v>
      </c>
      <c r="B128" s="85" t="str">
        <f ca="1">IFERROR(__xludf.DUMMYFUNCTION("GOOGLETRANSLATE(B2272:B2287,""RU"",""UK"")"),"Розгортка конічна маш. 16 (1:30)")</f>
        <v>Розгортка конічна маш. 16 (1:30)</v>
      </c>
      <c r="C128" s="59" t="s">
        <v>6</v>
      </c>
      <c r="D128" s="59">
        <v>3</v>
      </c>
      <c r="E128" s="91" t="s">
        <v>263</v>
      </c>
    </row>
    <row r="129" spans="1:5">
      <c r="A129" s="21">
        <f t="shared" si="1"/>
        <v>128</v>
      </c>
      <c r="B129" s="85" t="str">
        <f ca="1">IFERROR(__xludf.DUMMYFUNCTION("GOOGLETRANSLATE(B2273:B2288,""RU"",""UK"")"),"Розгортка конічна руч. 19 (1:30)")</f>
        <v>Розгортка конічна руч. 19 (1:30)</v>
      </c>
      <c r="C129" s="59" t="s">
        <v>6</v>
      </c>
      <c r="D129" s="59">
        <v>7</v>
      </c>
      <c r="E129" s="91" t="s">
        <v>119</v>
      </c>
    </row>
    <row r="130" spans="1:5">
      <c r="A130" s="21">
        <f t="shared" si="1"/>
        <v>129</v>
      </c>
      <c r="B130" s="85" t="str">
        <f ca="1">IFERROR(__xludf.DUMMYFUNCTION("GOOGLETRANSLATE(B2274:B2289,""RU"",""UK"")"),"Розгортка конічна руч. 22 (1:30)")</f>
        <v>Розгортка конічна руч. 22 (1:30)</v>
      </c>
      <c r="C130" s="59" t="s">
        <v>6</v>
      </c>
      <c r="D130" s="59">
        <v>13</v>
      </c>
      <c r="E130" s="91" t="s">
        <v>140</v>
      </c>
    </row>
    <row r="131" spans="1:5">
      <c r="A131" s="21">
        <f t="shared" ref="A131:A157" si="2">A130+1</f>
        <v>130</v>
      </c>
      <c r="B131" s="85" t="str">
        <f ca="1">IFERROR(__xludf.DUMMYFUNCTION("GOOGLETRANSLATE(B2275:B2290,""RU"",""UK"")"),"Розгортка конічна руч. 27 (1:30) d23-28мм")</f>
        <v>Розгортка конічна руч. 27 (1:30) d23-28мм</v>
      </c>
      <c r="C131" s="59" t="s">
        <v>6</v>
      </c>
      <c r="D131" s="59">
        <v>3</v>
      </c>
      <c r="E131" s="91" t="s">
        <v>20</v>
      </c>
    </row>
    <row r="132" spans="1:5">
      <c r="A132" s="21">
        <f t="shared" si="2"/>
        <v>131</v>
      </c>
      <c r="B132" s="85" t="str">
        <f ca="1">IFERROR(__xludf.DUMMYFUNCTION("GOOGLETRANSLATE(B2276:B2291,""RU"",""UK"")"),"Розгортка конічна руч. 32 (1:30) d28-32mm")</f>
        <v>Розгортка конічна руч. 32 (1:30) d28-32mm</v>
      </c>
      <c r="C132" s="59" t="s">
        <v>6</v>
      </c>
      <c r="D132" s="59">
        <v>2</v>
      </c>
      <c r="E132" s="91" t="s">
        <v>24</v>
      </c>
    </row>
    <row r="133" spans="1:5">
      <c r="A133" s="21">
        <f t="shared" si="2"/>
        <v>132</v>
      </c>
      <c r="B133" s="85" t="str">
        <f ca="1">IFERROR(__xludf.DUMMYFUNCTION("GOOGLETRANSLATE(B2277:B2292,""RU"",""UK"")"),"Розгортка конічна руч. 3/8"" (1:16)")</f>
        <v>Розгортка конічна руч. 3/8" (1:16)</v>
      </c>
      <c r="C133" s="59" t="s">
        <v>6</v>
      </c>
      <c r="D133" s="59">
        <v>1</v>
      </c>
      <c r="E133" s="91" t="s">
        <v>319</v>
      </c>
    </row>
    <row r="134" spans="1:5">
      <c r="A134" s="21">
        <f t="shared" si="2"/>
        <v>133</v>
      </c>
      <c r="B134" s="85" t="str">
        <f ca="1">IFERROR(__xludf.DUMMYFUNCTION("GOOGLETRANSLATE(B2277:B2292,""RU"",""UK"")"),"Розгортка конічна руч. ТрК1/2"" (1:16)")</f>
        <v>Розгортка конічна руч. ТрК1/2" (1:16)</v>
      </c>
      <c r="C134" s="59" t="s">
        <v>6</v>
      </c>
      <c r="D134" s="59">
        <v>1</v>
      </c>
      <c r="E134" s="91" t="s">
        <v>319</v>
      </c>
    </row>
    <row r="135" spans="1:5">
      <c r="A135" s="21">
        <f t="shared" si="2"/>
        <v>134</v>
      </c>
      <c r="B135" s="85" t="str">
        <f ca="1">IFERROR(__xludf.DUMMYFUNCTION("GOOGLETRANSLATE(B2278:B2293,""RU"",""UK"")"),"Розгортка конічна маш. ""Котельня"" 11 (1:10) (9-11мм)")</f>
        <v>Розгортка конічна маш. "Котельня" 11 (1:10) (9-11мм)</v>
      </c>
      <c r="C135" s="59" t="s">
        <v>6</v>
      </c>
      <c r="D135" s="59">
        <v>1</v>
      </c>
      <c r="E135" s="91" t="s">
        <v>119</v>
      </c>
    </row>
    <row r="136" spans="1:5">
      <c r="A136" s="21">
        <f t="shared" si="2"/>
        <v>135</v>
      </c>
      <c r="B136" s="164" t="str">
        <f ca="1">IFERROR(__xludf.DUMMYFUNCTION("GOOGLETRANSLATE(B2279:B2294,""RU"",""UK"")"),"Розгортка конічна маш. ""Котельня"" 13 (1:10) (10-13мм")</f>
        <v>Розгортка конічна маш. "Котельня" 13 (1:10) (10-13мм</v>
      </c>
      <c r="C136" s="59" t="s">
        <v>6</v>
      </c>
      <c r="D136" s="59">
        <v>0</v>
      </c>
      <c r="E136" s="91" t="s">
        <v>140</v>
      </c>
    </row>
    <row r="137" spans="1:5">
      <c r="A137" s="21">
        <f t="shared" si="2"/>
        <v>136</v>
      </c>
      <c r="B137" s="164" t="str">
        <f ca="1">IFERROR(__xludf.DUMMYFUNCTION("GOOGLETRANSLATE(B2280:B2295,""RU"",""UK"")"),"Розгортка конічна маш. ""Котельня"" 17 (1:10) (11-17мм)")</f>
        <v>Розгортка конічна маш. "Котельня" 17 (1:10) (11-17мм)</v>
      </c>
      <c r="C137" s="59" t="s">
        <v>6</v>
      </c>
      <c r="D137" s="59">
        <v>1</v>
      </c>
      <c r="E137" s="91">
        <v>350</v>
      </c>
    </row>
    <row r="138" spans="1:5">
      <c r="A138" s="21">
        <f t="shared" si="2"/>
        <v>137</v>
      </c>
      <c r="B138" s="169" t="str">
        <f ca="1">IFERROR(__xludf.DUMMYFUNCTION("GOOGLETRANSLATE(B2280:B2295,""RU"",""UK"")"),"Розгортка конічна маш. ""Котельня"" 21 (1:10) (14-21мм)")</f>
        <v>Розгортка конічна маш. "Котельня" 21 (1:10) (14-21мм)</v>
      </c>
      <c r="C138" s="59" t="s">
        <v>6</v>
      </c>
      <c r="D138" s="59">
        <v>3</v>
      </c>
      <c r="E138" s="91">
        <v>450</v>
      </c>
    </row>
    <row r="139" spans="1:5">
      <c r="A139" s="21">
        <f t="shared" si="2"/>
        <v>138</v>
      </c>
      <c r="B139" s="169" t="str">
        <f ca="1">IFERROR(__xludf.DUMMYFUNCTION("GOOGLETRANSLATE(B2281:B2296,""RU"",""UK"")"),"Розгортка конічна маш. ""Котельня"" 22 (1:10) (15-22мм)")</f>
        <v>Розгортка конічна маш. "Котельня" 22 (1:10) (15-22мм)</v>
      </c>
      <c r="C139" s="59" t="s">
        <v>6</v>
      </c>
      <c r="D139" s="59">
        <v>6</v>
      </c>
      <c r="E139" s="91">
        <v>470</v>
      </c>
    </row>
    <row r="140" spans="1:5">
      <c r="A140" s="21">
        <f t="shared" si="2"/>
        <v>139</v>
      </c>
      <c r="B140" s="85" t="str">
        <f ca="1">IFERROR(__xludf.DUMMYFUNCTION("GOOGLETRANSLATE(B2281:B2296,""RU"",""UK"")"),"Розгортка конічна маш. ""Котельня"" 23 (1:10) (16-23мм)")</f>
        <v>Розгортка конічна маш. "Котельня" 23 (1:10) (16-23мм)</v>
      </c>
      <c r="C140" s="59" t="s">
        <v>6</v>
      </c>
      <c r="D140" s="59">
        <v>8</v>
      </c>
      <c r="E140" s="91">
        <v>480</v>
      </c>
    </row>
    <row r="141" spans="1:5">
      <c r="A141" s="21">
        <f t="shared" si="2"/>
        <v>140</v>
      </c>
      <c r="B141" s="85" t="str">
        <f ca="1">IFERROR(__xludf.DUMMYFUNCTION("GOOGLETRANSLATE(B2282:B2297,""RU"",""UK"")"),"Розгортка конічна маш. ""Котельня"" 25 (1:10) (18-25мм)")</f>
        <v>Розгортка конічна маш. "Котельня" 25 (1:10) (18-25мм)</v>
      </c>
      <c r="C141" s="59" t="s">
        <v>6</v>
      </c>
      <c r="D141" s="59">
        <v>2</v>
      </c>
      <c r="E141" s="91">
        <v>540</v>
      </c>
    </row>
    <row r="142" spans="1:5">
      <c r="A142" s="21">
        <f t="shared" si="2"/>
        <v>141</v>
      </c>
      <c r="B142" s="85" t="str">
        <f ca="1">IFERROR(__xludf.DUMMYFUNCTION("GOOGLETRANSLATE(B2283:B2298,""RU"",""UK"")"),"Розгортка конічна КМ0")</f>
        <v>Розгортка конічна КМ0</v>
      </c>
      <c r="C142" s="59" t="s">
        <v>6</v>
      </c>
      <c r="D142" s="59">
        <v>87</v>
      </c>
      <c r="E142" s="91">
        <v>90</v>
      </c>
    </row>
    <row r="143" spans="1:5">
      <c r="A143" s="21">
        <f t="shared" si="2"/>
        <v>142</v>
      </c>
      <c r="B143" s="85" t="str">
        <f ca="1">IFERROR(__xludf.DUMMYFUNCTION("GOOGLETRANSLATE(B2283:B2298,""RU"",""UK"")"),"Розгортка конічна КМ1")</f>
        <v>Розгортка конічна КМ1</v>
      </c>
      <c r="C143" s="59" t="s">
        <v>6</v>
      </c>
      <c r="D143" s="59">
        <v>16</v>
      </c>
      <c r="E143" s="91">
        <v>180</v>
      </c>
    </row>
    <row r="144" spans="1:5">
      <c r="A144" s="21">
        <f t="shared" si="2"/>
        <v>143</v>
      </c>
      <c r="B144" s="85" t="s">
        <v>6405</v>
      </c>
      <c r="C144" s="59" t="s">
        <v>6</v>
      </c>
      <c r="D144" s="59">
        <v>1</v>
      </c>
      <c r="E144" s="91">
        <v>210</v>
      </c>
    </row>
    <row r="145" spans="1:5">
      <c r="A145" s="21">
        <f t="shared" si="2"/>
        <v>144</v>
      </c>
      <c r="B145" s="85" t="str">
        <f ca="1">IFERROR(__xludf.DUMMYFUNCTION("GOOGLETRANSLATE(B2284:B2299,""RU"",""UK"")"),"Розгортка конічна КМ0")</f>
        <v>Розгортка конічна КМ0</v>
      </c>
      <c r="C145" s="59" t="s">
        <v>3118</v>
      </c>
      <c r="D145" s="59">
        <v>3</v>
      </c>
      <c r="E145" s="91">
        <v>180</v>
      </c>
    </row>
    <row r="146" spans="1:5">
      <c r="A146" s="21">
        <f t="shared" si="2"/>
        <v>145</v>
      </c>
      <c r="B146" s="85" t="str">
        <f ca="1">IFERROR(__xludf.DUMMYFUNCTION("GOOGLETRANSLATE(B2284:B2299,""RU"",""UK"")"),"Розгортка конічна КМ1")</f>
        <v>Розгортка конічна КМ1</v>
      </c>
      <c r="C146" s="59" t="s">
        <v>3118</v>
      </c>
      <c r="D146" s="59">
        <v>1</v>
      </c>
      <c r="E146" s="91">
        <v>330</v>
      </c>
    </row>
    <row r="147" spans="1:5">
      <c r="A147" s="21">
        <f t="shared" si="2"/>
        <v>146</v>
      </c>
      <c r="B147" s="85" t="s">
        <v>6405</v>
      </c>
      <c r="C147" s="59" t="s">
        <v>3118</v>
      </c>
      <c r="D147" s="59">
        <v>1</v>
      </c>
      <c r="E147" s="91">
        <v>360</v>
      </c>
    </row>
    <row r="148" spans="1:5">
      <c r="A148" s="21">
        <f t="shared" si="2"/>
        <v>147</v>
      </c>
      <c r="B148" s="85" t="str">
        <f ca="1">IFERROR(__xludf.DUMMYFUNCTION("GOOGLETRANSLATE(B2285:B2300,""RU"",""UK"")"),"Розгортка конічна КМ2")</f>
        <v>Розгортка конічна КМ2</v>
      </c>
      <c r="C148" s="59" t="s">
        <v>6</v>
      </c>
      <c r="D148" s="59">
        <v>26</v>
      </c>
      <c r="E148" s="91">
        <v>330</v>
      </c>
    </row>
    <row r="149" spans="1:5">
      <c r="A149" s="21">
        <f t="shared" si="2"/>
        <v>148</v>
      </c>
      <c r="B149" s="169" t="str">
        <f ca="1">IFERROR(__xludf.DUMMYFUNCTION("GOOGLETRANSLATE(B2286:B2301,""RU"",""UK"")"),"Розгортка конічна КМ2")</f>
        <v>Розгортка конічна КМ2</v>
      </c>
      <c r="C149" s="59" t="s">
        <v>3118</v>
      </c>
      <c r="D149" s="59">
        <v>1</v>
      </c>
      <c r="E149" s="91" t="s">
        <v>16</v>
      </c>
    </row>
    <row r="150" spans="1:5">
      <c r="A150" s="21">
        <f t="shared" si="2"/>
        <v>149</v>
      </c>
      <c r="B150" s="85" t="str">
        <f ca="1">IFERROR(__xludf.DUMMYFUNCTION("GOOGLETRANSLATE(B2287:B2302,""RU"",""UK"")"),"Розгортка конічна КМ3")</f>
        <v>Розгортка конічна КМ3</v>
      </c>
      <c r="C150" s="59" t="s">
        <v>6</v>
      </c>
      <c r="D150" s="59">
        <v>7</v>
      </c>
      <c r="E150" s="91">
        <v>300</v>
      </c>
    </row>
    <row r="151" spans="1:5">
      <c r="A151" s="21">
        <f t="shared" si="2"/>
        <v>150</v>
      </c>
      <c r="B151" s="85" t="str">
        <f ca="1">IFERROR(__xludf.DUMMYFUNCTION("GOOGLETRANSLATE(B2288:B2303,""RU"",""UK"")"),"Розгортка конічна КМ3")</f>
        <v>Розгортка конічна КМ3</v>
      </c>
      <c r="C151" s="59" t="s">
        <v>3118</v>
      </c>
      <c r="D151" s="59">
        <v>14</v>
      </c>
      <c r="E151" s="91">
        <v>450</v>
      </c>
    </row>
    <row r="152" spans="1:5">
      <c r="A152" s="21">
        <f t="shared" si="2"/>
        <v>151</v>
      </c>
      <c r="B152" s="85" t="str">
        <f ca="1">IFERROR(__xludf.DUMMYFUNCTION("GOOGLETRANSLATE(B2289:B2304,""RU"",""UK"")"),"Розгортка конічна КМ4")</f>
        <v>Розгортка конічна КМ4</v>
      </c>
      <c r="C152" s="59" t="s">
        <v>3118</v>
      </c>
      <c r="D152" s="59">
        <v>3</v>
      </c>
      <c r="E152" s="91">
        <v>690</v>
      </c>
    </row>
    <row r="153" spans="1:5">
      <c r="A153" s="21">
        <f t="shared" si="2"/>
        <v>152</v>
      </c>
      <c r="B153" s="85" t="str">
        <f ca="1">IFERROR(__xludf.DUMMYFUNCTION("GOOGLETRANSLATE(B2289:B2304,""RU"",""UK"")"),"Розгортка конічна КМ5")</f>
        <v>Розгортка конічна КМ5</v>
      </c>
      <c r="C153" s="59" t="s">
        <v>3118</v>
      </c>
      <c r="D153" s="59">
        <v>1</v>
      </c>
      <c r="E153" s="91">
        <v>750</v>
      </c>
    </row>
    <row r="154" spans="1:5">
      <c r="A154" s="21">
        <f t="shared" si="2"/>
        <v>153</v>
      </c>
      <c r="B154" s="85" t="str">
        <f ca="1">IFERROR(__xludf.DUMMYFUNCTION("GOOGLETRANSLATE(B2289:B2304,""RU"",""UK"")"),"Розгортка конічна КМ6")</f>
        <v>Розгортка конічна КМ6</v>
      </c>
      <c r="C154" s="59" t="s">
        <v>3118</v>
      </c>
      <c r="D154" s="59">
        <v>1</v>
      </c>
      <c r="E154" s="91">
        <v>810</v>
      </c>
    </row>
    <row r="155" spans="1:5">
      <c r="A155" s="21">
        <f t="shared" si="2"/>
        <v>154</v>
      </c>
      <c r="B155" s="200" t="str">
        <f ca="1">IFERROR(__xludf.DUMMYFUNCTION("GOOGLETRANSLATE(B2290:B2305,""RU"",""UK"")"),"Розгортка розсувна М 10,0 - 10,75 мм")</f>
        <v>Розгортка розсувна М 10,0 - 10,75 мм</v>
      </c>
      <c r="C155" s="59" t="s">
        <v>6</v>
      </c>
      <c r="D155" s="59">
        <v>0</v>
      </c>
      <c r="E155" s="91" t="s">
        <v>327</v>
      </c>
    </row>
    <row r="156" spans="1:5">
      <c r="A156" s="21">
        <f t="shared" si="2"/>
        <v>155</v>
      </c>
      <c r="B156" s="164" t="str">
        <f ca="1">IFERROR(__xludf.DUMMYFUNCTION("GOOGLETRANSLATE(B2291:B2306,""RU"",""UK"")"),"Розгортка розсувна М 10,75 - 11,75 мм")</f>
        <v>Розгортка розсувна М 10,75 - 11,75 мм</v>
      </c>
      <c r="C156" s="59" t="s">
        <v>6</v>
      </c>
      <c r="D156" s="59">
        <v>0</v>
      </c>
      <c r="E156" s="91" t="s">
        <v>506</v>
      </c>
    </row>
    <row r="157" spans="1:5">
      <c r="A157" s="21">
        <f t="shared" si="2"/>
        <v>156</v>
      </c>
      <c r="B157" s="85" t="str">
        <f ca="1">IFERROR(__xludf.DUMMYFUNCTION("GOOGLETRANSLATE(B2292:B2307,""RU"",""UK"")"),"Розгортка розсувна М 12,0 - 13,5 мм")</f>
        <v>Розгортка розсувна М 12,0 - 13,5 мм</v>
      </c>
      <c r="C157" s="59" t="s">
        <v>6</v>
      </c>
      <c r="D157" s="59">
        <v>3</v>
      </c>
      <c r="E157" s="91" t="s">
        <v>140</v>
      </c>
    </row>
    <row r="158" spans="1:5">
      <c r="A158" s="21">
        <f t="shared" ref="A158:A204" si="3">A157+1</f>
        <v>157</v>
      </c>
      <c r="B158" s="85" t="str">
        <f ca="1">IFERROR(__xludf.DUMMYFUNCTION("GOOGLETRANSLATE(B2293:B2308,""RU"",""UK"")"),"Розгортка розсувна М 15,25 - 17,25 мм")</f>
        <v>Розгортка розсувна М 15,25 - 17,25 мм</v>
      </c>
      <c r="C158" s="59" t="s">
        <v>6</v>
      </c>
      <c r="D158" s="59">
        <v>25</v>
      </c>
      <c r="E158" s="91">
        <v>290</v>
      </c>
    </row>
    <row r="159" spans="1:5">
      <c r="A159" s="21">
        <f t="shared" si="3"/>
        <v>158</v>
      </c>
      <c r="B159" s="85" t="str">
        <f ca="1">IFERROR(__xludf.DUMMYFUNCTION("GOOGLETRANSLATE(B2294:B2309,""RU"",""UK"")"),"Розгортка розсувна М 17,25 - 19мм")</f>
        <v>Розгортка розсувна М 17,25 - 19мм</v>
      </c>
      <c r="C159" s="59" t="s">
        <v>6</v>
      </c>
      <c r="D159" s="59">
        <v>19</v>
      </c>
      <c r="E159" s="91">
        <v>330</v>
      </c>
    </row>
    <row r="160" spans="1:5">
      <c r="A160" s="21">
        <f t="shared" si="3"/>
        <v>159</v>
      </c>
      <c r="B160" s="85" t="str">
        <f ca="1">IFERROR(__xludf.DUMMYFUNCTION("GOOGLETRANSLATE(B2295:B2310,""RU"",""UK"")"),"Розгортка розсувна М 19 - 21мм")</f>
        <v>Розгортка розсувна М 19 - 21мм</v>
      </c>
      <c r="C160" s="59" t="s">
        <v>6</v>
      </c>
      <c r="D160" s="59">
        <v>10</v>
      </c>
      <c r="E160" s="91">
        <v>390</v>
      </c>
    </row>
    <row r="161" spans="1:5">
      <c r="A161" s="21">
        <f t="shared" si="3"/>
        <v>160</v>
      </c>
      <c r="B161" s="85" t="str">
        <f ca="1">IFERROR(__xludf.DUMMYFUNCTION("GOOGLETRANSLATE(B2296:B2311,""RU"",""UK"")"),"Розгортка розсувна М 21 - 23мм")</f>
        <v>Розгортка розсувна М 21 - 23мм</v>
      </c>
      <c r="C161" s="59" t="s">
        <v>6</v>
      </c>
      <c r="D161" s="59">
        <v>43</v>
      </c>
      <c r="E161" s="91">
        <v>390</v>
      </c>
    </row>
    <row r="162" spans="1:5">
      <c r="A162" s="21">
        <f t="shared" si="3"/>
        <v>161</v>
      </c>
      <c r="B162" s="85" t="str">
        <f ca="1">IFERROR(__xludf.DUMMYFUNCTION("GOOGLETRANSLATE(B2297:B2312,""RU"",""UK"")"),"Розгортка розсувна М 23 - 26мм")</f>
        <v>Розгортка розсувна М 23 - 26мм</v>
      </c>
      <c r="C162" s="59" t="s">
        <v>6</v>
      </c>
      <c r="D162" s="59">
        <v>26</v>
      </c>
      <c r="E162" s="91" t="s">
        <v>272</v>
      </c>
    </row>
    <row r="163" spans="1:5">
      <c r="A163" s="21">
        <f t="shared" si="3"/>
        <v>162</v>
      </c>
      <c r="B163" s="85" t="str">
        <f ca="1">IFERROR(__xludf.DUMMYFUNCTION("GOOGLETRANSLATE(B2298:B2313,""RU"",""UK"")"),"Розгортка розсувна М 26 - 29,5 мм")</f>
        <v>Розгортка розсувна М 26 - 29,5 мм</v>
      </c>
      <c r="C163" s="59" t="s">
        <v>6</v>
      </c>
      <c r="D163" s="59">
        <v>20</v>
      </c>
      <c r="E163" s="91" t="s">
        <v>413</v>
      </c>
    </row>
    <row r="164" spans="1:5">
      <c r="A164" s="21">
        <f t="shared" si="3"/>
        <v>163</v>
      </c>
      <c r="B164" s="164" t="str">
        <f ca="1">IFERROR(__xludf.DUMMYFUNCTION("GOOGLETRANSLATE(B2299:B2314,""RU"",""UK"")"),"Розгортка розсувна М 29,5 - 33,5 мм")</f>
        <v>Розгортка розсувна М 29,5 - 33,5 мм</v>
      </c>
      <c r="C164" s="59" t="s">
        <v>6</v>
      </c>
      <c r="D164" s="59">
        <v>0</v>
      </c>
      <c r="E164" s="91" t="s">
        <v>78</v>
      </c>
    </row>
    <row r="165" spans="1:5">
      <c r="A165" s="21">
        <f t="shared" si="3"/>
        <v>164</v>
      </c>
      <c r="B165" s="85" t="str">
        <f ca="1">IFERROR(__xludf.DUMMYFUNCTION("GOOGLETRANSLATE(B2300:B2315,""RU"",""UK"")"),"Розгортка розсувна М 33,5 - 38мм")</f>
        <v>Розгортка розсувна М 33,5 - 38мм</v>
      </c>
      <c r="C165" s="59" t="s">
        <v>6</v>
      </c>
      <c r="D165" s="59">
        <v>16</v>
      </c>
      <c r="E165" s="91">
        <v>810</v>
      </c>
    </row>
    <row r="166" spans="1:5">
      <c r="A166" s="21">
        <f t="shared" si="3"/>
        <v>165</v>
      </c>
      <c r="B166" s="85" t="str">
        <f ca="1">IFERROR(__xludf.DUMMYFUNCTION("GOOGLETRANSLATE(B2301:B2316,""RU"",""UK"")"),"Розгортка розтискна кулькова М8")</f>
        <v>Розгортка розтискна кулькова М8</v>
      </c>
      <c r="C166" s="59" t="s">
        <v>6</v>
      </c>
      <c r="D166" s="59">
        <v>1</v>
      </c>
      <c r="E166" s="91" t="s">
        <v>319</v>
      </c>
    </row>
    <row r="167" spans="1:5">
      <c r="A167" s="21">
        <f t="shared" si="3"/>
        <v>166</v>
      </c>
      <c r="B167" s="85" t="str">
        <f ca="1">IFERROR(__xludf.DUMMYFUNCTION("GOOGLETRANSLATE(B2301:B2316,""RU"",""UK"")"),"Розгортка розтискна кулькова М9")</f>
        <v>Розгортка розтискна кулькова М9</v>
      </c>
      <c r="C167" s="59" t="s">
        <v>6</v>
      </c>
      <c r="D167" s="59">
        <v>4</v>
      </c>
      <c r="E167" s="91">
        <v>162</v>
      </c>
    </row>
    <row r="168" spans="1:5">
      <c r="A168" s="21">
        <f t="shared" si="3"/>
        <v>167</v>
      </c>
      <c r="B168" s="85" t="str">
        <f ca="1">IFERROR(__xludf.DUMMYFUNCTION("GOOGLETRANSLATE(B2302:B2317,""RU"",""UK"")"),"Розгортка розтискна кулькова М10")</f>
        <v>Розгортка розтискна кулькова М10</v>
      </c>
      <c r="C168" s="59" t="s">
        <v>6</v>
      </c>
      <c r="D168" s="59">
        <v>9</v>
      </c>
      <c r="E168" s="91" t="s">
        <v>3135</v>
      </c>
    </row>
    <row r="169" spans="1:5">
      <c r="A169" s="21">
        <f t="shared" si="3"/>
        <v>168</v>
      </c>
      <c r="B169" s="164" t="str">
        <f ca="1">IFERROR(__xludf.DUMMYFUNCTION("GOOGLETRANSLATE(B2303:B2318,""RU"",""UK"")"),"Розгортка розтискна кулькова М13/М14/М15")</f>
        <v>Розгортка розтискна кулькова М13/М14/М15</v>
      </c>
      <c r="C169" s="59" t="s">
        <v>6</v>
      </c>
      <c r="D169" s="59">
        <v>0</v>
      </c>
      <c r="E169" s="91" t="s">
        <v>24</v>
      </c>
    </row>
    <row r="170" spans="1:5">
      <c r="A170" s="21">
        <f t="shared" si="3"/>
        <v>169</v>
      </c>
      <c r="B170" s="164" t="str">
        <f ca="1">IFERROR(__xludf.DUMMYFUNCTION("GOOGLETRANSLATE(B2303:B2318,""RU"",""UK"")"),"Розгортка розтискна кулькова М15")</f>
        <v>Розгортка розтискна кулькова М15</v>
      </c>
      <c r="C170" s="59" t="s">
        <v>6</v>
      </c>
      <c r="D170" s="59">
        <v>0</v>
      </c>
      <c r="E170" s="91" t="s">
        <v>24</v>
      </c>
    </row>
    <row r="171" spans="1:5">
      <c r="A171" s="21">
        <f t="shared" si="3"/>
        <v>170</v>
      </c>
      <c r="B171" s="85" t="str">
        <f ca="1">IFERROR(__xludf.DUMMYFUNCTION("GOOGLETRANSLATE(B2304:B2319,""RU"",""UK"")"),"Розгортка розтискна кулькова М16")</f>
        <v>Розгортка розтискна кулькова М16</v>
      </c>
      <c r="C171" s="59" t="s">
        <v>6</v>
      </c>
      <c r="D171" s="59">
        <v>3</v>
      </c>
      <c r="E171" s="91" t="s">
        <v>106</v>
      </c>
    </row>
    <row r="172" spans="1:5">
      <c r="A172" s="21">
        <f t="shared" si="3"/>
        <v>171</v>
      </c>
      <c r="B172" s="85" t="str">
        <f ca="1">IFERROR(__xludf.DUMMYFUNCTION("GOOGLETRANSLATE(B2304:B2319,""RU"",""UK"")"),"Розгортка розтискна кулькова М17")</f>
        <v>Розгортка розтискна кулькова М17</v>
      </c>
      <c r="C172" s="59" t="s">
        <v>6</v>
      </c>
      <c r="D172" s="59">
        <v>25</v>
      </c>
      <c r="E172" s="91" t="s">
        <v>106</v>
      </c>
    </row>
    <row r="173" spans="1:5">
      <c r="A173" s="21">
        <f t="shared" si="3"/>
        <v>172</v>
      </c>
      <c r="B173" s="85" t="str">
        <f ca="1">IFERROR(__xludf.DUMMYFUNCTION("GOOGLETRANSLATE(B2305:B2320,""RU"",""UK"")"),"Розгортка розтискна кулькова М18")</f>
        <v>Розгортка розтискна кулькова М18</v>
      </c>
      <c r="C173" s="59" t="s">
        <v>6</v>
      </c>
      <c r="D173" s="160">
        <v>3</v>
      </c>
      <c r="E173" s="91">
        <v>420</v>
      </c>
    </row>
    <row r="174" spans="1:5">
      <c r="A174" s="21">
        <f t="shared" si="3"/>
        <v>173</v>
      </c>
      <c r="B174" s="85" t="str">
        <f ca="1">IFERROR(__xludf.DUMMYFUNCTION("GOOGLETRANSLATE(B2305:B2320,""RU"",""UK"")"),"Розгортка розтискна кулькова М19")</f>
        <v>Розгортка розтискна кулькова М19</v>
      </c>
      <c r="C174" s="59" t="s">
        <v>6</v>
      </c>
      <c r="D174" s="160">
        <v>6</v>
      </c>
      <c r="E174" s="91">
        <v>420</v>
      </c>
    </row>
    <row r="175" spans="1:5">
      <c r="A175" s="21">
        <f t="shared" si="3"/>
        <v>174</v>
      </c>
      <c r="B175" s="85" t="str">
        <f ca="1">IFERROR(__xludf.DUMMYFUNCTION("GOOGLETRANSLATE(B2306:B2321,""RU"",""UK"")"),"Розгортка розтискна кулькова М20")</f>
        <v>Розгортка розтискна кулькова М20</v>
      </c>
      <c r="C175" s="59" t="s">
        <v>6</v>
      </c>
      <c r="D175" s="59">
        <v>8</v>
      </c>
      <c r="E175" s="91">
        <v>450</v>
      </c>
    </row>
    <row r="176" spans="1:5">
      <c r="A176" s="21">
        <f t="shared" si="3"/>
        <v>175</v>
      </c>
      <c r="B176" s="85" t="str">
        <f ca="1">IFERROR(__xludf.DUMMYFUNCTION("GOOGLETRANSLATE(B2306:B2321,""RU"",""UK"")"),"Розгортка розтискна кулькова М21")</f>
        <v>Розгортка розтискна кулькова М21</v>
      </c>
      <c r="C176" s="59" t="s">
        <v>6</v>
      </c>
      <c r="D176" s="59">
        <v>5</v>
      </c>
      <c r="E176" s="91">
        <v>450</v>
      </c>
    </row>
    <row r="177" spans="1:5">
      <c r="A177" s="21">
        <f t="shared" si="3"/>
        <v>176</v>
      </c>
      <c r="B177" s="85" t="str">
        <f ca="1">IFERROR(__xludf.DUMMYFUNCTION("GOOGLETRANSLATE(B2307:B2322,""RU"",""UK"")"),"Розгортка розтискна кулькова М22")</f>
        <v>Розгортка розтискна кулькова М22</v>
      </c>
      <c r="C177" s="59" t="s">
        <v>6</v>
      </c>
      <c r="D177" s="160">
        <v>17</v>
      </c>
      <c r="E177" s="91">
        <v>480</v>
      </c>
    </row>
    <row r="178" spans="1:5">
      <c r="A178" s="21">
        <f t="shared" si="3"/>
        <v>177</v>
      </c>
      <c r="B178" s="85" t="str">
        <f ca="1">IFERROR(__xludf.DUMMYFUNCTION("GOOGLETRANSLATE(B2307:B2322,""RU"",""UK"")"),"Розгортка розтискна кулькова М23")</f>
        <v>Розгортка розтискна кулькова М23</v>
      </c>
      <c r="C178" s="59" t="s">
        <v>6</v>
      </c>
      <c r="D178" s="160">
        <v>5</v>
      </c>
      <c r="E178" s="91">
        <v>492</v>
      </c>
    </row>
    <row r="179" spans="1:5">
      <c r="A179" s="21">
        <f t="shared" si="3"/>
        <v>178</v>
      </c>
      <c r="B179" s="85" t="str">
        <f ca="1">IFERROR(__xludf.DUMMYFUNCTION("GOOGLETRANSLATE(B2308:B2323,""RU"",""UK"")"),"Розгортка розтискна кулькова М24")</f>
        <v>Розгортка розтискна кулькова М24</v>
      </c>
      <c r="C179" s="59" t="s">
        <v>6</v>
      </c>
      <c r="D179" s="59">
        <v>5</v>
      </c>
      <c r="E179" s="91">
        <v>510</v>
      </c>
    </row>
    <row r="180" spans="1:5">
      <c r="A180" s="21">
        <f t="shared" si="3"/>
        <v>179</v>
      </c>
      <c r="B180" s="164" t="str">
        <f ca="1">IFERROR(__xludf.DUMMYFUNCTION("GOOGLETRANSLATE(B2308:B2323,""RU"",""UK"")"),"Розгортка розтискна кулькова М25 ")</f>
        <v xml:space="preserve">Розгортка розтискна кулькова М25 </v>
      </c>
      <c r="C180" s="59" t="s">
        <v>6</v>
      </c>
      <c r="D180" s="59">
        <v>0</v>
      </c>
      <c r="E180" s="91">
        <v>400</v>
      </c>
    </row>
    <row r="181" spans="1:5">
      <c r="A181" s="21">
        <f t="shared" si="3"/>
        <v>180</v>
      </c>
      <c r="B181" s="85" t="str">
        <f ca="1">IFERROR(__xludf.DUMMYFUNCTION("GOOGLETRANSLATE(B2308:B2323,""RU"",""UK"")"),"Розгортка розтискна кулькова М26")</f>
        <v>Розгортка розтискна кулькова М26</v>
      </c>
      <c r="C181" s="59" t="s">
        <v>6</v>
      </c>
      <c r="D181" s="59">
        <v>6</v>
      </c>
      <c r="E181" s="91">
        <v>540</v>
      </c>
    </row>
    <row r="182" spans="1:5">
      <c r="A182" s="21">
        <f t="shared" si="3"/>
        <v>181</v>
      </c>
      <c r="B182" s="85" t="str">
        <f ca="1">IFERROR(__xludf.DUMMYFUNCTION("GOOGLETRANSLATE(B2309:B2324,""RU"",""UK"")"),"Розгортка розтискна кулькова М27")</f>
        <v>Розгортка розтискна кулькова М27</v>
      </c>
      <c r="C182" s="59" t="s">
        <v>6</v>
      </c>
      <c r="D182" s="59">
        <v>9</v>
      </c>
      <c r="E182" s="91">
        <v>600</v>
      </c>
    </row>
    <row r="183" spans="1:5">
      <c r="A183" s="21">
        <f t="shared" si="3"/>
        <v>182</v>
      </c>
      <c r="B183" s="85" t="str">
        <f ca="1">IFERROR(__xludf.DUMMYFUNCTION("GOOGLETRANSLATE(B2309:B2324,""RU"",""UK"")"),"Розгортка розтискна кулькова М28")</f>
        <v>Розгортка розтискна кулькова М28</v>
      </c>
      <c r="C183" s="59" t="s">
        <v>6</v>
      </c>
      <c r="D183" s="59">
        <v>17</v>
      </c>
      <c r="E183" s="91">
        <v>630</v>
      </c>
    </row>
    <row r="184" spans="1:5">
      <c r="A184" s="21">
        <f t="shared" si="3"/>
        <v>183</v>
      </c>
      <c r="B184" s="85" t="str">
        <f ca="1">IFERROR(__xludf.DUMMYFUNCTION("GOOGLETRANSLATE(B2309:B2324,""RU"",""UK"")"),"Розгортка розтискна кулькова М28,5 Р11 нова, ржава")</f>
        <v>Розгортка розтискна кулькова М28,5 Р11 нова, ржава</v>
      </c>
      <c r="C184" s="59" t="s">
        <v>6</v>
      </c>
      <c r="D184" s="59">
        <v>1</v>
      </c>
      <c r="E184" s="91">
        <v>400</v>
      </c>
    </row>
    <row r="185" spans="1:5">
      <c r="A185" s="21">
        <f t="shared" si="3"/>
        <v>184</v>
      </c>
      <c r="B185" s="164" t="str">
        <f ca="1">IFERROR(__xludf.DUMMYFUNCTION("GOOGLETRANSLATE(B2310:B2325,""RU"",""UK"")"),"Розгортка розтискна кулькова М30 ")</f>
        <v xml:space="preserve">Розгортка розтискна кулькова М30 </v>
      </c>
      <c r="C185" s="59" t="s">
        <v>6</v>
      </c>
      <c r="D185" s="59">
        <v>1</v>
      </c>
      <c r="E185" s="91">
        <v>800</v>
      </c>
    </row>
    <row r="186" spans="1:5">
      <c r="A186" s="21">
        <f t="shared" si="3"/>
        <v>185</v>
      </c>
      <c r="B186" s="85" t="str">
        <f ca="1">IFERROR(__xludf.DUMMYFUNCTION("GOOGLETRANSLATE(B2311:B2326,""RU"",""UK"")"),"Розгортка розтискна кулькова М34")</f>
        <v>Розгортка розтискна кулькова М34</v>
      </c>
      <c r="C186" s="59" t="s">
        <v>6</v>
      </c>
      <c r="D186" s="59">
        <v>7</v>
      </c>
      <c r="E186" s="91" t="s">
        <v>27</v>
      </c>
    </row>
    <row r="187" spans="1:5">
      <c r="A187" s="21">
        <f t="shared" si="3"/>
        <v>186</v>
      </c>
      <c r="B187" s="85" t="str">
        <f ca="1">IFERROR(__xludf.DUMMYFUNCTION("GOOGLETRANSLATE(B2312:B2327,""RU"",""UK"")"),"Розгортка розтискна кулькова М35")</f>
        <v>Розгортка розтискна кулькова М35</v>
      </c>
      <c r="C187" s="59" t="s">
        <v>6</v>
      </c>
      <c r="D187" s="59">
        <v>3</v>
      </c>
      <c r="E187" s="91" t="s">
        <v>80</v>
      </c>
    </row>
    <row r="188" spans="1:5">
      <c r="A188" s="21">
        <f t="shared" si="3"/>
        <v>187</v>
      </c>
      <c r="B188" s="85" t="str">
        <f ca="1">IFERROR(__xludf.DUMMYFUNCTION("GOOGLETRANSLATE(B2313:B2328,""RU"",""UK"")"),"Розгортка розтискна кулькова М36")</f>
        <v>Розгортка розтискна кулькова М36</v>
      </c>
      <c r="C188" s="59" t="s">
        <v>6</v>
      </c>
      <c r="D188" s="59">
        <v>7</v>
      </c>
      <c r="E188" s="91">
        <v>750</v>
      </c>
    </row>
    <row r="189" spans="1:5">
      <c r="A189" s="21">
        <f t="shared" si="3"/>
        <v>188</v>
      </c>
      <c r="B189" s="198" t="str">
        <f ca="1">IFERROR(__xludf.DUMMYFUNCTION("GOOGLETRANSLATE(B2313:B2328,""RU"",""UK"")"),"Розгортка розтискна кулькова М38")</f>
        <v>Розгортка розтискна кулькова М38</v>
      </c>
      <c r="C189" s="59" t="s">
        <v>6</v>
      </c>
      <c r="D189" s="59">
        <v>1</v>
      </c>
      <c r="E189" s="91">
        <v>750</v>
      </c>
    </row>
    <row r="190" spans="1:5">
      <c r="A190" s="21">
        <f t="shared" si="3"/>
        <v>189</v>
      </c>
      <c r="B190" s="85" t="str">
        <f ca="1">IFERROR(__xludf.DUMMYFUNCTION("GOOGLETRANSLATE(B2314:B2329,""RU"",""UK"")"),"Розгортка розтискна кулькова М40")</f>
        <v>Розгортка розтискна кулькова М40</v>
      </c>
      <c r="C190" s="59" t="s">
        <v>6</v>
      </c>
      <c r="D190" s="171">
        <v>6</v>
      </c>
      <c r="E190" s="91" t="s">
        <v>1088</v>
      </c>
    </row>
    <row r="191" spans="1:5">
      <c r="A191" s="21">
        <f t="shared" si="3"/>
        <v>190</v>
      </c>
      <c r="B191" s="85" t="str">
        <f ca="1">IFERROR(__xludf.DUMMYFUNCTION("GOOGLETRANSLATE(B2315:B2330,""RU"",""UK"")"),"Розгортка розтискна кулькова М42")</f>
        <v>Розгортка розтискна кулькова М42</v>
      </c>
      <c r="C191" s="59" t="s">
        <v>6</v>
      </c>
      <c r="D191" s="59">
        <v>2</v>
      </c>
      <c r="E191" s="91" t="s">
        <v>38</v>
      </c>
    </row>
    <row r="192" spans="1:5">
      <c r="A192" s="21">
        <f t="shared" si="3"/>
        <v>191</v>
      </c>
      <c r="B192" s="85" t="str">
        <f ca="1">IFERROR(__xludf.DUMMYFUNCTION("GOOGLETRANSLATE(B2316:B2331,""RU"",""UK"")"),"Розгортка розтискна кулькова М48")</f>
        <v>Розгортка розтискна кулькова М48</v>
      </c>
      <c r="C192" s="59" t="s">
        <v>6</v>
      </c>
      <c r="D192" s="59">
        <v>4</v>
      </c>
      <c r="E192" s="91" t="s">
        <v>10</v>
      </c>
    </row>
    <row r="193" spans="1:5">
      <c r="A193" s="21">
        <f t="shared" si="3"/>
        <v>192</v>
      </c>
      <c r="B193" s="85" t="str">
        <f ca="1">IFERROR(__xludf.DUMMYFUNCTION("GOOGLETRANSLATE(B2316:B2331,""RU"",""UK"")"),"Розгортка розтискна кулькова М50")</f>
        <v>Розгортка розтискна кулькова М50</v>
      </c>
      <c r="C193" s="59" t="s">
        <v>6</v>
      </c>
      <c r="D193" s="59">
        <v>1</v>
      </c>
      <c r="E193" s="91">
        <v>1950</v>
      </c>
    </row>
    <row r="194" spans="1:5">
      <c r="A194" s="21">
        <f t="shared" si="3"/>
        <v>193</v>
      </c>
      <c r="B194" s="85" t="str">
        <f ca="1">IFERROR(__xludf.DUMMYFUNCTION("GOOGLETRANSLATE(B2317:B2332,""RU"",""UK"")"),"Розгортка розтискна кулькова М50 б/в з тріщиною на 3х пластинах")</f>
        <v>Розгортка розтискна кулькова М50 б/в з тріщиною на 3х пластинах</v>
      </c>
      <c r="C194" s="59" t="s">
        <v>6</v>
      </c>
      <c r="D194" s="59">
        <v>1</v>
      </c>
      <c r="E194" s="91" t="s">
        <v>63</v>
      </c>
    </row>
    <row r="195" spans="1:5">
      <c r="A195" s="21">
        <f t="shared" si="3"/>
        <v>194</v>
      </c>
      <c r="B195" s="85" t="str">
        <f ca="1">IFERROR(__xludf.DUMMYFUNCTION("GOOGLETRANSLATE(B2318:B2333,""RU"",""UK"")"),"Розгортка розтискна кулькова М60 Р19")</f>
        <v>Розгортка розтискна кулькова М60 Р19</v>
      </c>
      <c r="C195" s="59" t="s">
        <v>6</v>
      </c>
      <c r="D195" s="59">
        <v>7</v>
      </c>
      <c r="E195" s="91">
        <v>4500</v>
      </c>
    </row>
    <row r="196" spans="1:5">
      <c r="A196" s="21">
        <f t="shared" si="3"/>
        <v>195</v>
      </c>
      <c r="B196" s="85" t="str">
        <f ca="1">IFERROR(__xludf.DUMMYFUNCTION("GOOGLETRANSLATE(B2318:B2333,""RU"",""UK"")"),"Розгортка розтискна кулькова М62")</f>
        <v>Розгортка розтискна кулькова М62</v>
      </c>
      <c r="C196" s="59" t="s">
        <v>6</v>
      </c>
      <c r="D196" s="59">
        <v>2</v>
      </c>
      <c r="E196" s="91" t="s">
        <v>59</v>
      </c>
    </row>
    <row r="197" spans="1:5">
      <c r="A197" s="21">
        <f t="shared" si="3"/>
        <v>196</v>
      </c>
      <c r="B197" s="85" t="str">
        <f ca="1">IFERROR(__xludf.DUMMYFUNCTION("GOOGLETRANSLATE(B2319:B2334,""RU"",""UK"")"),"Розгортка насадна М18")</f>
        <v>Розгортка насадна М18</v>
      </c>
      <c r="C197" s="59" t="s">
        <v>6</v>
      </c>
      <c r="D197" s="59">
        <v>2</v>
      </c>
      <c r="E197" s="91">
        <v>120</v>
      </c>
    </row>
    <row r="198" spans="1:5">
      <c r="A198" s="21">
        <f t="shared" si="3"/>
        <v>197</v>
      </c>
      <c r="B198" s="85" t="str">
        <f ca="1">IFERROR(__xludf.DUMMYFUNCTION("GOOGLETRANSLATE(B2320:B2335,""RU"",""UK"")"),"Розгортка насадна М25")</f>
        <v>Розгортка насадна М25</v>
      </c>
      <c r="C198" s="59" t="s">
        <v>6</v>
      </c>
      <c r="D198" s="59">
        <v>10</v>
      </c>
      <c r="E198" s="91" t="s">
        <v>348</v>
      </c>
    </row>
    <row r="199" spans="1:5">
      <c r="A199" s="21">
        <f t="shared" si="3"/>
        <v>198</v>
      </c>
      <c r="B199" s="85" t="str">
        <f ca="1">IFERROR(__xludf.DUMMYFUNCTION("GOOGLETRANSLATE(B2320:B2335,""RU"",""UK"")"),"Розгортка насадна М26")</f>
        <v>Розгортка насадна М26</v>
      </c>
      <c r="C199" s="59" t="s">
        <v>6</v>
      </c>
      <c r="D199" s="59">
        <v>5</v>
      </c>
      <c r="E199" s="91">
        <v>144</v>
      </c>
    </row>
    <row r="200" spans="1:5">
      <c r="A200" s="21">
        <f t="shared" si="3"/>
        <v>199</v>
      </c>
      <c r="B200" s="85" t="str">
        <f ca="1">IFERROR(__xludf.DUMMYFUNCTION("GOOGLETRANSLATE(B2321:B2336,""RU"",""UK"")"),"Розгортка насадна М28")</f>
        <v>Розгортка насадна М28</v>
      </c>
      <c r="C200" s="59" t="s">
        <v>6</v>
      </c>
      <c r="D200" s="59">
        <v>22</v>
      </c>
      <c r="E200" s="91" t="s">
        <v>567</v>
      </c>
    </row>
    <row r="201" spans="1:5">
      <c r="A201" s="21">
        <f t="shared" si="3"/>
        <v>200</v>
      </c>
      <c r="B201" s="85" t="str">
        <f ca="1">IFERROR(__xludf.DUMMYFUNCTION("GOOGLETRANSLATE(B2322:B2337,""RU"",""UK"")"),"Розгортка насадна М30")</f>
        <v>Розгортка насадна М30</v>
      </c>
      <c r="C201" s="59" t="s">
        <v>6</v>
      </c>
      <c r="D201" s="59">
        <v>14</v>
      </c>
      <c r="E201" s="91" t="s">
        <v>263</v>
      </c>
    </row>
    <row r="202" spans="1:5">
      <c r="A202" s="21">
        <f t="shared" si="3"/>
        <v>201</v>
      </c>
      <c r="B202" s="85" t="str">
        <f ca="1">IFERROR(__xludf.DUMMYFUNCTION("GOOGLETRANSLATE(B2322:B2337,""RU"",""UK"")"),"Розгортка насадна М32")</f>
        <v>Розгортка насадна М32</v>
      </c>
      <c r="C202" s="59" t="s">
        <v>6</v>
      </c>
      <c r="D202" s="59">
        <v>6</v>
      </c>
      <c r="E202" s="91">
        <v>180</v>
      </c>
    </row>
    <row r="203" spans="1:5">
      <c r="A203" s="21">
        <f t="shared" si="3"/>
        <v>202</v>
      </c>
      <c r="B203" s="85" t="str">
        <f ca="1">IFERROR(__xludf.DUMMYFUNCTION("GOOGLETRANSLATE(B2332:B2347,""RU"",""UK"")"),"Розгортка насадна М32вст.ніж")</f>
        <v>Розгортка насадна М32вст.ніж</v>
      </c>
      <c r="C203" s="59" t="s">
        <v>6</v>
      </c>
      <c r="D203" s="59">
        <v>1</v>
      </c>
      <c r="E203" s="91">
        <v>180</v>
      </c>
    </row>
    <row r="204" spans="1:5">
      <c r="A204" s="21">
        <f t="shared" si="3"/>
        <v>203</v>
      </c>
      <c r="B204" s="85" t="str">
        <f ca="1">IFERROR(__xludf.DUMMYFUNCTION("GOOGLETRANSLATE(B2323:B2338,""RU"",""UK"")"),"Розгортка насадна М32Т5К10")</f>
        <v>Розгортка насадна М32Т5К10</v>
      </c>
      <c r="C204" s="59" t="s">
        <v>6</v>
      </c>
      <c r="D204" s="59">
        <v>1</v>
      </c>
      <c r="E204" s="91" t="s">
        <v>24</v>
      </c>
    </row>
    <row r="205" spans="1:5">
      <c r="A205" s="21">
        <f t="shared" ref="A205:A247" si="4">A204+1</f>
        <v>204</v>
      </c>
      <c r="B205" s="85" t="str">
        <f ca="1">IFERROR(__xludf.DUMMYFUNCTION("GOOGLETRANSLATE(B2323:B2338,""RU"",""UK"")"),"Розгортка насадна М32ВК8")</f>
        <v>Розгортка насадна М32ВК8</v>
      </c>
      <c r="C205" s="59" t="s">
        <v>6</v>
      </c>
      <c r="D205" s="59">
        <v>2</v>
      </c>
      <c r="E205" s="91" t="s">
        <v>24</v>
      </c>
    </row>
    <row r="206" spans="1:5">
      <c r="A206" s="21">
        <f t="shared" si="4"/>
        <v>205</v>
      </c>
      <c r="B206" s="85" t="str">
        <f ca="1">IFERROR(__xludf.DUMMYFUNCTION("GOOGLETRANSLATE(B2324:B2339,""RU"",""UK"")"),"Розгортка насадна М34")</f>
        <v>Розгортка насадна М34</v>
      </c>
      <c r="C206" s="59" t="s">
        <v>6</v>
      </c>
      <c r="D206" s="59">
        <v>20</v>
      </c>
      <c r="E206" s="91">
        <v>210</v>
      </c>
    </row>
    <row r="207" spans="1:5">
      <c r="A207" s="21">
        <f t="shared" si="4"/>
        <v>206</v>
      </c>
      <c r="B207" s="85" t="str">
        <f ca="1">IFERROR(__xludf.DUMMYFUNCTION("GOOGLETRANSLATE(B2324:B2339,""RU"",""UK"")"),"Розгортка насадна М34 Н8")</f>
        <v>Розгортка насадна М34 Н8</v>
      </c>
      <c r="C207" s="59" t="s">
        <v>6</v>
      </c>
      <c r="D207" s="59">
        <v>4</v>
      </c>
      <c r="E207" s="91">
        <v>210</v>
      </c>
    </row>
    <row r="208" spans="1:5">
      <c r="A208" s="21">
        <f t="shared" si="4"/>
        <v>207</v>
      </c>
      <c r="B208" s="85" t="str">
        <f ca="1">IFERROR(__xludf.DUMMYFUNCTION("GOOGLETRANSLATE(B2326:B2341,""RU"",""UK"")"),"Розгортка насадна М34 ВК8")</f>
        <v>Розгортка насадна М34 ВК8</v>
      </c>
      <c r="C208" s="59" t="s">
        <v>6</v>
      </c>
      <c r="D208" s="59">
        <v>3</v>
      </c>
      <c r="E208" s="91">
        <v>310</v>
      </c>
    </row>
    <row r="209" spans="1:5">
      <c r="A209" s="21">
        <f t="shared" si="4"/>
        <v>208</v>
      </c>
      <c r="B209" s="85" t="str">
        <f ca="1">IFERROR(__xludf.DUMMYFUNCTION("GOOGLETRANSLATE(B2325:B2340,""RU"",""UK"")"),"Розгортка насадна М35")</f>
        <v>Розгортка насадна М35</v>
      </c>
      <c r="C209" s="59" t="s">
        <v>6</v>
      </c>
      <c r="D209" s="59">
        <v>19</v>
      </c>
      <c r="E209" s="91">
        <v>270</v>
      </c>
    </row>
    <row r="210" spans="1:5">
      <c r="A210" s="21">
        <f t="shared" si="4"/>
        <v>209</v>
      </c>
      <c r="B210" s="85" t="str">
        <f ca="1">IFERROR(__xludf.DUMMYFUNCTION("GOOGLETRANSLATE(B2325:B2340,""RU"",""UK"")"),"Розгортка насадна М36Р6М5")</f>
        <v>Розгортка насадна М36Р6М5</v>
      </c>
      <c r="C210" s="59" t="s">
        <v>6</v>
      </c>
      <c r="D210" s="59">
        <v>16</v>
      </c>
      <c r="E210" s="91">
        <v>270</v>
      </c>
    </row>
    <row r="211" spans="1:5">
      <c r="A211" s="21">
        <f t="shared" si="4"/>
        <v>210</v>
      </c>
      <c r="B211" s="85" t="str">
        <f ca="1">IFERROR(__xludf.DUMMYFUNCTION("GOOGLETRANSLATE(B2325:B2340,""RU"",""UK"")"),"Розгортка насадна М36Р18")</f>
        <v>Розгортка насадна М36Р18</v>
      </c>
      <c r="C211" s="59" t="s">
        <v>6</v>
      </c>
      <c r="D211" s="59">
        <v>7</v>
      </c>
      <c r="E211" s="91">
        <v>300</v>
      </c>
    </row>
    <row r="212" spans="1:5">
      <c r="A212" s="21">
        <f t="shared" si="4"/>
        <v>211</v>
      </c>
      <c r="B212" s="85" t="str">
        <f ca="1">IFERROR(__xludf.DUMMYFUNCTION("GOOGLETRANSLATE(B2326:B2341,""RU"",""UK"")"),"Розгортка насадна М35ВК8")</f>
        <v>Розгортка насадна М35ВК8</v>
      </c>
      <c r="C212" s="59" t="s">
        <v>6</v>
      </c>
      <c r="D212" s="59">
        <v>3</v>
      </c>
      <c r="E212" s="91" t="s">
        <v>106</v>
      </c>
    </row>
    <row r="213" spans="1:5">
      <c r="A213" s="21">
        <f t="shared" si="4"/>
        <v>212</v>
      </c>
      <c r="B213" s="85" t="str">
        <f ca="1">IFERROR(__xludf.DUMMYFUNCTION("GOOGLETRANSLATE(B2326:B2341,""RU"",""UK"")"),"Розгортка насадна М36ВК8")</f>
        <v>Розгортка насадна М36ВК8</v>
      </c>
      <c r="C213" s="59" t="s">
        <v>6</v>
      </c>
      <c r="D213" s="59">
        <v>3</v>
      </c>
      <c r="E213" s="91">
        <v>390</v>
      </c>
    </row>
    <row r="214" spans="1:5">
      <c r="A214" s="21">
        <f t="shared" si="4"/>
        <v>213</v>
      </c>
      <c r="B214" s="85" t="str">
        <f ca="1">IFERROR(__xludf.DUMMYFUNCTION("GOOGLETRANSLATE(B2327:B2342,""RU"",""UK"")"),"Розгортка насадна М36ВК8 з оправкою КМ4")</f>
        <v>Розгортка насадна М36ВК8 з оправкою КМ4</v>
      </c>
      <c r="C214" s="59" t="s">
        <v>6</v>
      </c>
      <c r="D214" s="59">
        <v>1</v>
      </c>
      <c r="E214" s="91" t="s">
        <v>18</v>
      </c>
    </row>
    <row r="215" spans="1:5">
      <c r="A215" s="21">
        <f t="shared" si="4"/>
        <v>214</v>
      </c>
      <c r="B215" s="85" t="str">
        <f ca="1">IFERROR(__xludf.DUMMYFUNCTION("GOOGLETRANSLATE(B2328:B2343,""RU"",""UK"")"),"Розгортка насадна М37 Н9")</f>
        <v>Розгортка насадна М37 Н9</v>
      </c>
      <c r="C215" s="59" t="s">
        <v>6</v>
      </c>
      <c r="D215" s="59">
        <v>3</v>
      </c>
      <c r="E215" s="91" t="s">
        <v>16</v>
      </c>
    </row>
    <row r="216" spans="1:5">
      <c r="A216" s="21">
        <f t="shared" si="4"/>
        <v>215</v>
      </c>
      <c r="B216" s="85" t="str">
        <f ca="1">IFERROR(__xludf.DUMMYFUNCTION("GOOGLETRANSLATE(B2328:B2343,""RU"",""UK"")"),"Розгортка насадна М37 №3")</f>
        <v>Розгортка насадна М37 №3</v>
      </c>
      <c r="C216" s="59" t="s">
        <v>6</v>
      </c>
      <c r="D216" s="59">
        <v>1</v>
      </c>
      <c r="E216" s="91" t="s">
        <v>16</v>
      </c>
    </row>
    <row r="217" spans="1:5">
      <c r="A217" s="21">
        <f t="shared" si="4"/>
        <v>216</v>
      </c>
      <c r="B217" s="85" t="str">
        <f ca="1">IFERROR(__xludf.DUMMYFUNCTION("GOOGLETRANSLATE(B2328:B2343,""RU"",""UK"")"),"Розгортка насадна М38 Р6М5 Н8")</f>
        <v>Розгортка насадна М38 Р6М5 Н8</v>
      </c>
      <c r="C217" s="59" t="s">
        <v>6</v>
      </c>
      <c r="D217" s="59">
        <v>4</v>
      </c>
      <c r="E217" s="91" t="s">
        <v>16</v>
      </c>
    </row>
    <row r="218" spans="1:5">
      <c r="A218" s="21">
        <f>A217+1</f>
        <v>217</v>
      </c>
      <c r="B218" s="85" t="str">
        <f ca="1">IFERROR(__xludf.DUMMYFUNCTION("GOOGLETRANSLATE(B2329:B2344,""RU"",""UK"")"),"Розгортка насадна М38ВК8")</f>
        <v>Розгортка насадна М38ВК8</v>
      </c>
      <c r="C218" s="59" t="s">
        <v>6</v>
      </c>
      <c r="D218" s="59">
        <v>1</v>
      </c>
      <c r="E218" s="91" t="s">
        <v>272</v>
      </c>
    </row>
    <row r="219" spans="1:5">
      <c r="A219" s="21">
        <f t="shared" si="4"/>
        <v>218</v>
      </c>
      <c r="B219" s="85" t="str">
        <f ca="1">IFERROR(__xludf.DUMMYFUNCTION("GOOGLETRANSLATE(B2329:B2344,""RU"",""UK"")"),"Розгортка насадна М39ВК8")</f>
        <v>Розгортка насадна М39ВК8</v>
      </c>
      <c r="C219" s="59" t="s">
        <v>6</v>
      </c>
      <c r="D219" s="59">
        <v>1</v>
      </c>
      <c r="E219" s="91" t="s">
        <v>272</v>
      </c>
    </row>
    <row r="220" spans="1:5">
      <c r="A220" s="21">
        <f t="shared" si="4"/>
        <v>219</v>
      </c>
      <c r="B220" s="85" t="str">
        <f ca="1">IFERROR(__xludf.DUMMYFUNCTION("GOOGLETRANSLATE(B2330:B2345,""RU"",""UK"")"),"Розгортка насадна М40Р6М5")</f>
        <v>Розгортка насадна М40Р6М5</v>
      </c>
      <c r="C220" s="59" t="s">
        <v>6</v>
      </c>
      <c r="D220" s="59">
        <v>15</v>
      </c>
      <c r="E220" s="91" t="s">
        <v>272</v>
      </c>
    </row>
    <row r="221" spans="1:5">
      <c r="A221" s="21">
        <f t="shared" si="4"/>
        <v>220</v>
      </c>
      <c r="B221" s="85" t="str">
        <f ca="1">IFERROR(__xludf.DUMMYFUNCTION("GOOGLETRANSLATE(B2325:B2340,""RU"",""UK"")"),"Розгортка насадна М40Р18 №1")</f>
        <v>Розгортка насадна М40Р18 №1</v>
      </c>
      <c r="C221" s="59" t="s">
        <v>6</v>
      </c>
      <c r="D221" s="59">
        <v>6</v>
      </c>
      <c r="E221" s="91">
        <v>470</v>
      </c>
    </row>
    <row r="222" spans="1:5">
      <c r="A222" s="21">
        <f t="shared" si="4"/>
        <v>221</v>
      </c>
      <c r="B222" s="85" t="str">
        <f ca="1">IFERROR(__xludf.DUMMYFUNCTION("GOOGLETRANSLATE(B2330:B2345,""RU"",""UK"")"),"Розгортка насадна М42 Н8")</f>
        <v>Розгортка насадна М42 Н8</v>
      </c>
      <c r="C222" s="59" t="s">
        <v>6</v>
      </c>
      <c r="D222" s="59">
        <v>2</v>
      </c>
      <c r="E222" s="91" t="s">
        <v>272</v>
      </c>
    </row>
    <row r="223" spans="1:5">
      <c r="A223" s="21">
        <f t="shared" si="4"/>
        <v>222</v>
      </c>
      <c r="B223" s="85" t="str">
        <f ca="1">IFERROR(__xludf.DUMMYFUNCTION("GOOGLETRANSLATE(B2331:B2346,""RU"",""UK"")"),"Розгортка насадна М45н7")</f>
        <v>Розгортка насадна М45н7</v>
      </c>
      <c r="C223" s="59" t="s">
        <v>6</v>
      </c>
      <c r="D223" s="59">
        <v>1</v>
      </c>
      <c r="E223" s="91" t="s">
        <v>18</v>
      </c>
    </row>
    <row r="224" spans="1:5">
      <c r="A224" s="21">
        <f t="shared" si="4"/>
        <v>223</v>
      </c>
      <c r="B224" s="85" t="str">
        <f ca="1">IFERROR(__xludf.DUMMYFUNCTION("GOOGLETRANSLATE(B2332:B2347,""RU"",""UK"")"),"Розгортка насадна М45вст.ніж")</f>
        <v>Розгортка насадна М45вст.ніж</v>
      </c>
      <c r="C224" s="59" t="s">
        <v>6</v>
      </c>
      <c r="D224" s="59">
        <v>1</v>
      </c>
      <c r="E224" s="91">
        <v>450</v>
      </c>
    </row>
    <row r="225" spans="1:5">
      <c r="A225" s="21">
        <f t="shared" si="4"/>
        <v>224</v>
      </c>
      <c r="B225" s="85" t="str">
        <f ca="1">IFERROR(__xludf.DUMMYFUNCTION("GOOGLETRANSLATE(B2332:B2347,""RU"",""UK"")"),"Розгортка насадна М46вст.ніж")</f>
        <v>Розгортка насадна М46вст.ніж</v>
      </c>
      <c r="C225" s="59" t="s">
        <v>6</v>
      </c>
      <c r="D225" s="59">
        <v>1</v>
      </c>
      <c r="E225" s="91" t="s">
        <v>272</v>
      </c>
    </row>
    <row r="226" spans="1:5">
      <c r="A226" s="21">
        <f t="shared" si="4"/>
        <v>225</v>
      </c>
      <c r="B226" s="85" t="str">
        <f ca="1">IFERROR(__xludf.DUMMYFUNCTION("GOOGLETRANSLATE(B2333:B2348,""RU"",""UK"")"),"Розгортка насадна М46ВК8")</f>
        <v>Розгортка насадна М46ВК8</v>
      </c>
      <c r="C226" s="59" t="s">
        <v>6</v>
      </c>
      <c r="D226" s="59">
        <v>1</v>
      </c>
      <c r="E226" s="91" t="s">
        <v>413</v>
      </c>
    </row>
    <row r="227" spans="1:5">
      <c r="A227" s="21">
        <f t="shared" si="4"/>
        <v>226</v>
      </c>
      <c r="B227" s="85" t="str">
        <f ca="1">IFERROR(__xludf.DUMMYFUNCTION("GOOGLETRANSLATE(B2334:B2349,""RU"",""UK"")"),"Розгортка насадна М47")</f>
        <v>Розгортка насадна М47</v>
      </c>
      <c r="C227" s="59" t="s">
        <v>6</v>
      </c>
      <c r="D227" s="59">
        <v>3</v>
      </c>
      <c r="E227" s="91" t="s">
        <v>53</v>
      </c>
    </row>
    <row r="228" spans="1:5">
      <c r="A228" s="21">
        <f t="shared" si="4"/>
        <v>227</v>
      </c>
      <c r="B228" s="85" t="str">
        <f ca="1">IFERROR(__xludf.DUMMYFUNCTION("GOOGLETRANSLATE(B2334:B2349,""RU"",""UK"")"),"Розгортка насадна М48")</f>
        <v>Розгортка насадна М48</v>
      </c>
      <c r="C228" s="59" t="s">
        <v>6</v>
      </c>
      <c r="D228" s="59">
        <v>2</v>
      </c>
      <c r="E228" s="91" t="s">
        <v>53</v>
      </c>
    </row>
    <row r="229" spans="1:5">
      <c r="A229" s="21">
        <f t="shared" si="4"/>
        <v>228</v>
      </c>
      <c r="B229" s="85" t="str">
        <f ca="1">IFERROR(__xludf.DUMMYFUNCTION("GOOGLETRANSLATE(B2335:B2350,""RU"",""UK"")"),"Розгортка насадна М50н7")</f>
        <v>Розгортка насадна М50н7</v>
      </c>
      <c r="C229" s="59" t="s">
        <v>6</v>
      </c>
      <c r="D229" s="59">
        <v>3</v>
      </c>
      <c r="E229" s="91">
        <v>810</v>
      </c>
    </row>
    <row r="230" spans="1:5">
      <c r="A230" s="21">
        <f t="shared" si="4"/>
        <v>229</v>
      </c>
      <c r="B230" s="85" t="str">
        <f ca="1">IFERROR(__xludf.DUMMYFUNCTION("GOOGLETRANSLATE(B2336:B2351,""RU"",""UK"")"),"Розгортка насадна М52н7 Р6М5")</f>
        <v>Розгортка насадна М52н7 Р6М5</v>
      </c>
      <c r="C230" s="59" t="s">
        <v>6</v>
      </c>
      <c r="D230" s="59">
        <v>2</v>
      </c>
      <c r="E230" s="91" t="s">
        <v>27</v>
      </c>
    </row>
    <row r="231" spans="1:5">
      <c r="A231" s="21">
        <f t="shared" si="4"/>
        <v>230</v>
      </c>
      <c r="B231" s="85" t="str">
        <f ca="1">IFERROR(__xludf.DUMMYFUNCTION("GOOGLETRANSLATE(B2336:B2351,""RU"",""UK"")"),"Розгортка насадна М52н9вст.ніж Р6М5")</f>
        <v>Розгортка насадна М52н9вст.ніж Р6М5</v>
      </c>
      <c r="C231" s="59" t="s">
        <v>6</v>
      </c>
      <c r="D231" s="59">
        <v>1</v>
      </c>
      <c r="E231" s="91" t="s">
        <v>27</v>
      </c>
    </row>
    <row r="232" spans="1:5">
      <c r="A232" s="21">
        <f t="shared" si="4"/>
        <v>231</v>
      </c>
      <c r="B232" s="85" t="str">
        <f ca="1">IFERROR(__xludf.DUMMYFUNCTION("GOOGLETRANSLATE(B2336:B2351,""RU"",""UK"")"),"Розгортка насадна М55вст.ніж")</f>
        <v>Розгортка насадна М55вст.ніж</v>
      </c>
      <c r="C232" s="59" t="s">
        <v>6</v>
      </c>
      <c r="D232" s="59">
        <v>2</v>
      </c>
      <c r="E232" s="91" t="s">
        <v>27</v>
      </c>
    </row>
    <row r="233" spans="1:5">
      <c r="A233" s="21">
        <f t="shared" si="4"/>
        <v>232</v>
      </c>
      <c r="B233" s="85" t="str">
        <f ca="1">IFERROR(__xludf.DUMMYFUNCTION("GOOGLETRANSLATE(B2337:B2352,""RU"",""UK"")"),"Розгортка насадна М58 Р6М5")</f>
        <v>Розгортка насадна М58 Р6М5</v>
      </c>
      <c r="C233" s="59" t="s">
        <v>6</v>
      </c>
      <c r="D233" s="59">
        <v>1</v>
      </c>
      <c r="E233" s="91" t="s">
        <v>27</v>
      </c>
    </row>
    <row r="234" spans="1:5">
      <c r="A234" s="21">
        <f t="shared" si="4"/>
        <v>233</v>
      </c>
      <c r="B234" s="85" t="str">
        <f ca="1">IFERROR(__xludf.DUMMYFUNCTION("GOOGLETRANSLATE(B2337:B2352,""RU"",""UK"")"),"Розгортка насадна М58вст.ніж Р6М5")</f>
        <v>Розгортка насадна М58вст.ніж Р6М5</v>
      </c>
      <c r="C234" s="59" t="s">
        <v>6</v>
      </c>
      <c r="D234" s="59">
        <v>5</v>
      </c>
      <c r="E234" s="91" t="s">
        <v>27</v>
      </c>
    </row>
    <row r="235" spans="1:5">
      <c r="A235" s="21">
        <f t="shared" si="4"/>
        <v>234</v>
      </c>
      <c r="B235" s="85" t="str">
        <f ca="1">IFERROR(__xludf.DUMMYFUNCTION("GOOGLETRANSLATE(B2338:B2353,""RU"",""UK"")"),"Розгортка насадна М60вст.ніж  Р6М5")</f>
        <v>Розгортка насадна М60вст.ніж  Р6М5</v>
      </c>
      <c r="C235" s="59" t="s">
        <v>6</v>
      </c>
      <c r="D235" s="59">
        <v>2</v>
      </c>
      <c r="E235" s="91">
        <v>810</v>
      </c>
    </row>
    <row r="236" spans="1:5">
      <c r="A236" s="21">
        <f t="shared" si="4"/>
        <v>235</v>
      </c>
      <c r="B236" s="85" t="str">
        <f ca="1">IFERROR(__xludf.DUMMYFUNCTION("GOOGLETRANSLATE(B2339:B2354,""RU"",""UK"")"),"Розгортка насадна вст.нож М62")</f>
        <v>Розгортка насадна вст.нож М62</v>
      </c>
      <c r="C236" s="59" t="s">
        <v>6</v>
      </c>
      <c r="D236" s="59">
        <v>2</v>
      </c>
      <c r="E236" s="91">
        <v>900</v>
      </c>
    </row>
    <row r="237" spans="1:5">
      <c r="A237" s="21">
        <f t="shared" si="4"/>
        <v>236</v>
      </c>
      <c r="B237" s="85" t="str">
        <f ca="1">IFERROR(__xludf.DUMMYFUNCTION("GOOGLETRANSLATE(B2339:B2354,""RU"",""UK"")"),"Розгортка насадна вст.нож М65")</f>
        <v>Розгортка насадна вст.нож М65</v>
      </c>
      <c r="C237" s="59" t="s">
        <v>6</v>
      </c>
      <c r="D237" s="59">
        <v>4</v>
      </c>
      <c r="E237" s="91">
        <v>1050</v>
      </c>
    </row>
    <row r="238" spans="1:5">
      <c r="A238" s="21">
        <f t="shared" si="4"/>
        <v>237</v>
      </c>
      <c r="B238" s="85" t="str">
        <f ca="1">IFERROR(__xludf.DUMMYFUNCTION("GOOGLETRANSLATE(B2339:B2354,""RU"",""UK"")"),"Розгортка насадна М65 9ХС")</f>
        <v>Розгортка насадна М65 9ХС</v>
      </c>
      <c r="C238" s="59" t="s">
        <v>6</v>
      </c>
      <c r="D238" s="59">
        <v>1</v>
      </c>
      <c r="E238" s="91">
        <v>790</v>
      </c>
    </row>
    <row r="239" spans="1:5">
      <c r="A239" s="21">
        <f t="shared" si="4"/>
        <v>238</v>
      </c>
      <c r="B239" s="85" t="str">
        <f ca="1">IFERROR(__xludf.DUMMYFUNCTION("GOOGLETRANSLATE(B2339:B2354,""RU"",""UK"")"),"Розгортка насадна вст.нож М68")</f>
        <v>Розгортка насадна вст.нож М68</v>
      </c>
      <c r="C239" s="59" t="s">
        <v>6</v>
      </c>
      <c r="D239" s="59">
        <v>1</v>
      </c>
      <c r="E239" s="91">
        <v>1050</v>
      </c>
    </row>
    <row r="240" spans="1:5">
      <c r="A240" s="21">
        <f t="shared" si="4"/>
        <v>239</v>
      </c>
      <c r="B240" s="85" t="str">
        <f ca="1">IFERROR(__xludf.DUMMYFUNCTION("GOOGLETRANSLATE(B2340:B2355,""RU"",""UK"")"),"Розгортка насадна вст.нож М70Н9")</f>
        <v>Розгортка насадна вст.нож М70Н9</v>
      </c>
      <c r="C240" s="59" t="s">
        <v>6</v>
      </c>
      <c r="D240" s="59">
        <v>3</v>
      </c>
      <c r="E240" s="91">
        <v>1050</v>
      </c>
    </row>
    <row r="241" spans="1:5">
      <c r="A241" s="21">
        <f t="shared" si="4"/>
        <v>240</v>
      </c>
      <c r="B241" s="85" t="str">
        <f ca="1">IFERROR(__xludf.DUMMYFUNCTION("GOOGLETRANSLATE(B2340:B2355,""RU"",""UK"")"),"Розгортка насадна М72 Н3(№3) Р6М5")</f>
        <v>Розгортка насадна М72 Н3(№3) Р6М5</v>
      </c>
      <c r="C241" s="59" t="s">
        <v>6</v>
      </c>
      <c r="D241" s="59">
        <v>1</v>
      </c>
      <c r="E241" s="91">
        <v>800</v>
      </c>
    </row>
    <row r="242" spans="1:5">
      <c r="A242" s="21">
        <f t="shared" si="4"/>
        <v>241</v>
      </c>
      <c r="B242" s="85" t="str">
        <f ca="1">IFERROR(__xludf.DUMMYFUNCTION("GOOGLETRANSLATE(B2340:B2355,""RU"",""UK"")"),"Розгортка насадна вст.нож М72Н9")</f>
        <v>Розгортка насадна вст.нож М72Н9</v>
      </c>
      <c r="C242" s="59" t="s">
        <v>6</v>
      </c>
      <c r="D242" s="59">
        <v>1</v>
      </c>
      <c r="E242" s="91">
        <v>1050</v>
      </c>
    </row>
    <row r="243" spans="1:5">
      <c r="A243" s="21">
        <f t="shared" si="4"/>
        <v>242</v>
      </c>
      <c r="B243" s="85" t="str">
        <f ca="1">IFERROR(__xludf.DUMMYFUNCTION("GOOGLETRANSLATE(B2341:B2356,""RU"",""UK"")"),"Розгортка насадна вст.нож М75Н9")</f>
        <v>Розгортка насадна вст.нож М75Н9</v>
      </c>
      <c r="C243" s="59" t="s">
        <v>6</v>
      </c>
      <c r="D243" s="59">
        <v>3</v>
      </c>
      <c r="E243" s="91">
        <v>1050</v>
      </c>
    </row>
    <row r="244" spans="1:5">
      <c r="A244" s="21">
        <f t="shared" si="4"/>
        <v>243</v>
      </c>
      <c r="B244" s="85" t="str">
        <f ca="1">IFERROR(__xludf.DUMMYFUNCTION("GOOGLETRANSLATE(B2341:B2356,""RU"",""UK"")"),"Розгортка насадна вст.нож М80")</f>
        <v>Розгортка насадна вст.нож М80</v>
      </c>
      <c r="C244" s="59" t="s">
        <v>6</v>
      </c>
      <c r="D244" s="59">
        <v>3</v>
      </c>
      <c r="E244" s="91">
        <v>1050</v>
      </c>
    </row>
    <row r="245" spans="1:5">
      <c r="A245" s="21">
        <f t="shared" si="4"/>
        <v>244</v>
      </c>
      <c r="B245" s="85" t="str">
        <f ca="1">IFERROR(__xludf.DUMMYFUNCTION("GOOGLETRANSLATE(B2341:B2356,""RU"",""UK"")"),"Розгортка насадна М85 А3 Р6М5")</f>
        <v>Розгортка насадна М85 А3 Р6М5</v>
      </c>
      <c r="C245" s="59" t="s">
        <v>6</v>
      </c>
      <c r="D245" s="59">
        <v>1</v>
      </c>
      <c r="E245" s="91">
        <v>750</v>
      </c>
    </row>
    <row r="246" spans="1:5">
      <c r="A246" s="21">
        <f t="shared" si="4"/>
        <v>245</v>
      </c>
      <c r="B246" s="85" t="str">
        <f ca="1">IFERROR(__xludf.DUMMYFUNCTION("GOOGLETRANSLATE(B2342:B2357,""RU"",""UK"")"),"Розгортка насадна вст.нож М90")</f>
        <v>Розгортка насадна вст.нож М90</v>
      </c>
      <c r="C246" s="59" t="s">
        <v>6</v>
      </c>
      <c r="D246" s="59">
        <v>1</v>
      </c>
      <c r="E246" s="91">
        <v>1050</v>
      </c>
    </row>
    <row r="247" spans="1:5">
      <c r="A247" s="21">
        <f t="shared" si="4"/>
        <v>246</v>
      </c>
      <c r="B247" s="85" t="str">
        <f ca="1">IFERROR(__xludf.DUMMYFUNCTION("GOOGLETRANSLATE(B2342:B2357,""RU"",""UK"")"),"Розгортка насадна вст.нож М95")</f>
        <v>Розгортка насадна вст.нож М95</v>
      </c>
      <c r="C247" s="59" t="s">
        <v>6</v>
      </c>
      <c r="D247" s="59">
        <v>1</v>
      </c>
      <c r="E247" s="91">
        <v>1050</v>
      </c>
    </row>
  </sheetData>
  <pageMargins left="0.7" right="0.7" top="0.75" bottom="0.75" header="0.3" footer="0.3"/>
  <pageSetup paperSize="9" orientation="portrait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1"/>
  <sheetViews>
    <sheetView topLeftCell="A43" zoomScale="190" zoomScaleNormal="190" workbookViewId="0">
      <selection activeCell="B7" sqref="B7:E7"/>
    </sheetView>
  </sheetViews>
  <sheetFormatPr defaultRowHeight="12.75"/>
  <cols>
    <col min="2" max="2" width="47.5703125" customWidth="1"/>
    <col min="4" max="4" width="10.42578125" customWidth="1"/>
    <col min="5" max="5" width="11.5703125" customWidth="1"/>
  </cols>
  <sheetData>
    <row r="1" spans="1:5">
      <c r="A1" s="27"/>
      <c r="B1" s="110" t="s">
        <v>6052</v>
      </c>
      <c r="C1" s="28"/>
      <c r="D1" s="28"/>
      <c r="E1" s="94"/>
    </row>
    <row r="2" spans="1:5">
      <c r="A2" s="21">
        <v>1</v>
      </c>
      <c r="B2" s="85" t="str">
        <f ca="1">IFERROR(__xludf.DUMMYFUNCTION("GOOGLETRANSLATE(B3795:B3810,""RU"",""UK"")"),"Вентиль лат. 25мм")</f>
        <v>Вентиль лат. 25мм</v>
      </c>
      <c r="C2" s="59" t="s">
        <v>6</v>
      </c>
      <c r="D2" s="59">
        <v>5</v>
      </c>
      <c r="E2" s="91">
        <v>75</v>
      </c>
    </row>
    <row r="3" spans="1:5">
      <c r="A3" s="21">
        <f t="shared" ref="A3:A34" si="0">A2+1</f>
        <v>2</v>
      </c>
      <c r="B3" s="85" t="str">
        <f ca="1">IFERROR(__xludf.DUMMYFUNCTION("GOOGLETRANSLATE(B3796:B3811,""RU"",""UK"")"),"Вентиль лат. 50мм - 2""РУ16")</f>
        <v>Вентиль лат. 50мм - 2"РУ16</v>
      </c>
      <c r="C3" s="59" t="s">
        <v>6</v>
      </c>
      <c r="D3" s="59">
        <v>1</v>
      </c>
      <c r="E3" s="91">
        <v>420</v>
      </c>
    </row>
    <row r="4" spans="1:5">
      <c r="A4" s="21">
        <f t="shared" si="0"/>
        <v>3</v>
      </c>
      <c r="B4" s="85" t="str">
        <f ca="1">IFERROR(__xludf.DUMMYFUNCTION("GOOGLETRANSLATE(B3797:B3812,""RU"",""UK"")"),"Вентиль чавун. 50мм - 2""")</f>
        <v>Вентиль чавун. 50мм - 2"</v>
      </c>
      <c r="C4" s="59" t="s">
        <v>6</v>
      </c>
      <c r="D4" s="59">
        <v>1</v>
      </c>
      <c r="E4" s="91" t="s">
        <v>140</v>
      </c>
    </row>
    <row r="5" spans="1:5">
      <c r="A5" s="21">
        <f t="shared" si="0"/>
        <v>4</v>
      </c>
      <c r="B5" s="85" t="str">
        <f ca="1">IFERROR(__xludf.DUMMYFUNCTION("GOOGLETRANSLATE(B3798:B3813,""RU"",""UK"")"),"Вентиль чавун. 65мм")</f>
        <v>Вентиль чавун. 65мм</v>
      </c>
      <c r="C5" s="59" t="s">
        <v>6</v>
      </c>
      <c r="D5" s="59">
        <v>1</v>
      </c>
      <c r="E5" s="91" t="s">
        <v>482</v>
      </c>
    </row>
    <row r="6" spans="1:5">
      <c r="A6" s="21">
        <f t="shared" si="0"/>
        <v>5</v>
      </c>
      <c r="B6" s="85" t="str">
        <f ca="1">IFERROR(__xludf.DUMMYFUNCTION("GOOGLETRANSLATE(B3799:B3814,""RU"",""UK"")"),"Вентиль чуг.фланц.ел.магн. СВМ 25мм РУ16")</f>
        <v>Вентиль чуг.фланц.ел.магн. СВМ 25мм РУ16</v>
      </c>
      <c r="C6" s="59" t="s">
        <v>6</v>
      </c>
      <c r="D6" s="59">
        <v>1</v>
      </c>
      <c r="E6" s="91" t="s">
        <v>80</v>
      </c>
    </row>
    <row r="7" spans="1:5">
      <c r="A7" s="21">
        <f t="shared" si="0"/>
        <v>6</v>
      </c>
      <c r="B7" s="85" t="str">
        <f ca="1">IFERROR(__xludf.DUMMYFUNCTION("GOOGLETRANSLATE(B3800:B3815,""RU"",""UK"")"),"Вентиль чуг.фланц. 32мм РУ16")</f>
        <v>Вентиль чуг.фланц. 32мм РУ16</v>
      </c>
      <c r="C7" s="59" t="s">
        <v>6</v>
      </c>
      <c r="D7" s="59">
        <v>15</v>
      </c>
      <c r="E7" s="91" t="s">
        <v>27</v>
      </c>
    </row>
    <row r="8" spans="1:5">
      <c r="A8" s="21">
        <f t="shared" si="0"/>
        <v>7</v>
      </c>
      <c r="B8" s="85" t="str">
        <f ca="1">IFERROR(__xludf.DUMMYFUNCTION("GOOGLETRANSLATE(B3801:B3816,""RU"",""UK"")"),"Вентиль чуг.фланц. 40мм РУ16")</f>
        <v>Вентиль чуг.фланц. 40мм РУ16</v>
      </c>
      <c r="C8" s="59" t="s">
        <v>6</v>
      </c>
      <c r="D8" s="59">
        <v>23</v>
      </c>
      <c r="E8" s="91" t="s">
        <v>100</v>
      </c>
    </row>
    <row r="9" spans="1:5">
      <c r="A9" s="21">
        <f t="shared" si="0"/>
        <v>8</v>
      </c>
      <c r="B9" s="85" t="str">
        <f ca="1">IFERROR(__xludf.DUMMYFUNCTION("GOOGLETRANSLATE(B3802:B3817,""RU"",""UK"")"),"Вентиль чуг.фланц. 40мм РУ25")</f>
        <v>Вентиль чуг.фланц. 40мм РУ25</v>
      </c>
      <c r="C9" s="59" t="s">
        <v>6</v>
      </c>
      <c r="D9" s="59">
        <v>2</v>
      </c>
      <c r="E9" s="91" t="s">
        <v>88</v>
      </c>
    </row>
    <row r="10" spans="1:5">
      <c r="A10" s="21">
        <f t="shared" si="0"/>
        <v>9</v>
      </c>
      <c r="B10" s="85" t="str">
        <f ca="1">IFERROR(__xludf.DUMMYFUNCTION("GOOGLETRANSLATE(B3803:B3818,""RU"",""UK"")"),"Вентиль чуг.фланц. 50мм РУ16")</f>
        <v>Вентиль чуг.фланц. 50мм РУ16</v>
      </c>
      <c r="C10" s="59" t="s">
        <v>6</v>
      </c>
      <c r="D10" s="59">
        <v>1</v>
      </c>
      <c r="E10" s="91" t="s">
        <v>1086</v>
      </c>
    </row>
    <row r="11" spans="1:5">
      <c r="A11" s="21">
        <f t="shared" si="0"/>
        <v>10</v>
      </c>
      <c r="B11" s="85" t="str">
        <f ca="1">IFERROR(__xludf.DUMMYFUNCTION("GOOGLETRANSLATE(B3804:B3819,""RU"",""UK"")"),"Вентиль футерований фланц. 15Ч75П1-50мм РУ10")</f>
        <v>Вентиль футерований фланц. 15Ч75П1-50мм РУ10</v>
      </c>
      <c r="C11" s="59" t="s">
        <v>6</v>
      </c>
      <c r="D11" s="59">
        <v>1</v>
      </c>
      <c r="E11" s="91" t="s">
        <v>71</v>
      </c>
    </row>
    <row r="12" spans="1:5">
      <c r="A12" s="21">
        <f t="shared" si="0"/>
        <v>11</v>
      </c>
      <c r="B12" s="85" t="str">
        <f ca="1">IFERROR(__xludf.DUMMYFUNCTION("GOOGLETRANSLATE(B3805:B3820,""RU"",""UK"")"),"Вентиль нержавіюча сталь фланц. 25мм РУ16")</f>
        <v>Вентиль нержавіюча сталь фланц. 25мм РУ16</v>
      </c>
      <c r="C12" s="59" t="s">
        <v>6</v>
      </c>
      <c r="D12" s="59">
        <v>3</v>
      </c>
      <c r="E12" s="91" t="s">
        <v>1088</v>
      </c>
    </row>
    <row r="13" spans="1:5">
      <c r="A13" s="21">
        <f t="shared" si="0"/>
        <v>12</v>
      </c>
      <c r="B13" s="85" t="str">
        <f ca="1">IFERROR(__xludf.DUMMYFUNCTION("GOOGLETRANSLATE(B3806:B3821,""RU"",""UK"")"),"Вентиль нержавіюча сталь фланц. 32мм РУ16")</f>
        <v>Вентиль нержавіюча сталь фланц. 32мм РУ16</v>
      </c>
      <c r="C13" s="59" t="s">
        <v>6</v>
      </c>
      <c r="D13" s="59">
        <v>4</v>
      </c>
      <c r="E13" s="91" t="s">
        <v>1901</v>
      </c>
    </row>
    <row r="14" spans="1:5">
      <c r="A14" s="21">
        <f t="shared" si="0"/>
        <v>13</v>
      </c>
      <c r="B14" s="85" t="str">
        <f ca="1">IFERROR(__xludf.DUMMYFUNCTION("GOOGLETRANSLATE(B3807:B3822,""RU"",""UK"")"),"Вентиль нержавіюча сталь фланц. 40мм РУ16")</f>
        <v>Вентиль нержавіюча сталь фланц. 40мм РУ16</v>
      </c>
      <c r="C14" s="59" t="s">
        <v>6</v>
      </c>
      <c r="D14" s="59">
        <v>1</v>
      </c>
      <c r="E14" s="91" t="s">
        <v>75</v>
      </c>
    </row>
    <row r="15" spans="1:5">
      <c r="A15" s="21">
        <f t="shared" si="0"/>
        <v>14</v>
      </c>
      <c r="B15" s="85" t="str">
        <f ca="1">IFERROR(__xludf.DUMMYFUNCTION("GOOGLETRANSLATE(B3808:B3823,""RU"",""UK"")"),"Кран шаровий 15мм - 1/2"" (ст.в.)")</f>
        <v>Кран шаровий 15мм - 1/2" (ст.в.)</v>
      </c>
      <c r="C15" s="59" t="s">
        <v>6</v>
      </c>
      <c r="D15" s="59">
        <v>0</v>
      </c>
      <c r="E15" s="91">
        <v>0</v>
      </c>
    </row>
    <row r="16" spans="1:5">
      <c r="A16" s="21">
        <f t="shared" si="0"/>
        <v>15</v>
      </c>
      <c r="B16" s="85" t="str">
        <f ca="1">IFERROR(__xludf.DUMMYFUNCTION("GOOGLETRANSLATE(B3809:B3824,""RU"",""UK"")"),"Кран шаровий 20мм - 3/4"" (ст.в.)")</f>
        <v>Кран шаровий 20мм - 3/4" (ст.в.)</v>
      </c>
      <c r="C16" s="59" t="s">
        <v>6</v>
      </c>
      <c r="D16" s="59">
        <v>0</v>
      </c>
      <c r="E16" s="91">
        <v>0</v>
      </c>
    </row>
    <row r="17" spans="1:5">
      <c r="A17" s="21">
        <f t="shared" si="0"/>
        <v>16</v>
      </c>
      <c r="B17" s="85" t="str">
        <f ca="1">IFERROR(__xludf.DUMMYFUNCTION("GOOGLETRANSLATE(B3810:B3825,""RU"",""UK"")"),"Кран шаровий 25мм - 1"" (ст.в.)")</f>
        <v>Кран шаровий 25мм - 1" (ст.в.)</v>
      </c>
      <c r="C17" s="59" t="s">
        <v>6</v>
      </c>
      <c r="D17" s="59">
        <v>0</v>
      </c>
      <c r="E17" s="99">
        <v>0</v>
      </c>
    </row>
    <row r="18" spans="1:5">
      <c r="A18" s="21">
        <f t="shared" si="0"/>
        <v>17</v>
      </c>
      <c r="B18" s="85" t="str">
        <f ca="1">IFERROR(__xludf.DUMMYFUNCTION("GOOGLETRANSLATE(B3811:B3826,""RU"",""UK"")"),"Кран шаровий 32мм - 1 1/4"" (в.н.)")</f>
        <v>Кран шаровий 32мм - 1 1/4" (в.н.)</v>
      </c>
      <c r="C18" s="59" t="s">
        <v>6</v>
      </c>
      <c r="D18" s="59">
        <v>4</v>
      </c>
      <c r="E18" s="91" t="s">
        <v>327</v>
      </c>
    </row>
    <row r="19" spans="1:5">
      <c r="A19" s="21">
        <f t="shared" si="0"/>
        <v>18</v>
      </c>
      <c r="B19" s="85" t="str">
        <f ca="1">IFERROR(__xludf.DUMMYFUNCTION("GOOGLETRANSLATE(B3812:B3827,""RU"",""UK"")"),"Кран шаровий фланцевий нержавіюча сталь 40мм РУ 40")</f>
        <v>Кран шаровий фланцевий нержавіюча сталь 40мм РУ 40</v>
      </c>
      <c r="C19" s="59" t="s">
        <v>6</v>
      </c>
      <c r="D19" s="59">
        <v>2</v>
      </c>
      <c r="E19" s="91">
        <v>1260</v>
      </c>
    </row>
    <row r="20" spans="1:5">
      <c r="A20" s="21">
        <f t="shared" si="0"/>
        <v>19</v>
      </c>
      <c r="B20" s="85" t="str">
        <f ca="1">IFERROR(__xludf.DUMMYFUNCTION("GOOGLETRANSLATE(B3813:B3828,""RU"",""UK"")"),"Кран шаровий 65мм - 2 1/2"" (ст.в.)")</f>
        <v>Кран шаровий 65мм - 2 1/2" (ст.в.)</v>
      </c>
      <c r="C20" s="59" t="s">
        <v>6</v>
      </c>
      <c r="D20" s="59">
        <v>1</v>
      </c>
      <c r="E20" s="91">
        <v>756</v>
      </c>
    </row>
    <row r="21" spans="1:5">
      <c r="A21" s="21">
        <f t="shared" si="0"/>
        <v>20</v>
      </c>
      <c r="B21" s="85" t="str">
        <f ca="1">IFERROR(__xludf.DUMMYFUNCTION("GOOGLETRANSLATE(B3814:B3829,""RU"",""UK"")"),"Кран маєвського автом. 15мм")</f>
        <v>Кран маєвського автом. 15мм</v>
      </c>
      <c r="C21" s="59" t="s">
        <v>6</v>
      </c>
      <c r="D21" s="59">
        <v>10</v>
      </c>
      <c r="E21" s="91" t="s">
        <v>5076</v>
      </c>
    </row>
    <row r="22" spans="1:5">
      <c r="A22" s="21">
        <f t="shared" si="0"/>
        <v>21</v>
      </c>
      <c r="B22" s="85" t="str">
        <f ca="1">IFERROR(__xludf.DUMMYFUNCTION("GOOGLETRANSLATE(B3815:B3830,""RU"",""UK"")"),"Кран корковий бр. фланц. 40мм")</f>
        <v>Кран корковий бр. фланц. 40мм</v>
      </c>
      <c r="C22" s="59" t="s">
        <v>6</v>
      </c>
      <c r="D22" s="59">
        <v>1</v>
      </c>
      <c r="E22" s="91" t="s">
        <v>5078</v>
      </c>
    </row>
    <row r="23" spans="1:5">
      <c r="A23" s="21">
        <f t="shared" si="0"/>
        <v>22</v>
      </c>
      <c r="B23" s="85" t="str">
        <f ca="1">IFERROR(__xludf.DUMMYFUNCTION("GOOGLETRANSLATE(B3816:B3831,""RU"",""UK"")"),"Кран поплавковий 15мм (нижній)")</f>
        <v>Кран поплавковий 15мм (нижній)</v>
      </c>
      <c r="C23" s="59" t="s">
        <v>6</v>
      </c>
      <c r="D23" s="59">
        <v>1</v>
      </c>
      <c r="E23" s="91">
        <v>84</v>
      </c>
    </row>
    <row r="24" spans="1:5">
      <c r="A24" s="21">
        <f t="shared" si="0"/>
        <v>23</v>
      </c>
      <c r="B24" s="85" t="str">
        <f ca="1">IFERROR(__xludf.DUMMYFUNCTION("GOOGLETRANSLATE(B3817:B3832,""RU"",""UK"")"),"Кран лат. пробковий 3х ходовий 15мм/20мм")</f>
        <v>Кран лат. пробковий 3х ходовий 15мм/20мм</v>
      </c>
      <c r="C24" s="59" t="s">
        <v>6</v>
      </c>
      <c r="D24" s="59" t="s">
        <v>793</v>
      </c>
      <c r="E24" s="91" t="s">
        <v>5081</v>
      </c>
    </row>
    <row r="25" spans="1:5">
      <c r="A25" s="21">
        <f t="shared" si="0"/>
        <v>24</v>
      </c>
      <c r="B25" s="85" t="str">
        <f ca="1">IFERROR(__xludf.DUMMYFUNCTION("GOOGLETRANSLATE(B3818:B3833,""RU"",""UK"")"),"Кран лат. 3х ходовий манометричний 15мм")</f>
        <v>Кран лат. 3х ходовий манометричний 15мм</v>
      </c>
      <c r="C25" s="59" t="s">
        <v>6</v>
      </c>
      <c r="D25" s="59">
        <v>4</v>
      </c>
      <c r="E25" s="91">
        <v>84</v>
      </c>
    </row>
    <row r="26" spans="1:5">
      <c r="A26" s="21">
        <f t="shared" si="0"/>
        <v>25</v>
      </c>
      <c r="B26" s="85" t="str">
        <f ca="1">IFERROR(__xludf.DUMMYFUNCTION("GOOGLETRANSLATE(B3819:B3834,""RU"",""UK"")"),"Засувка – клінкет бронз. муфти. РУ 16 100мм")</f>
        <v>Засувка – клінкет бронз. муфти. РУ 16 100мм</v>
      </c>
      <c r="C26" s="59" t="s">
        <v>6</v>
      </c>
      <c r="D26" s="59">
        <v>1</v>
      </c>
      <c r="E26" s="91" t="s">
        <v>102</v>
      </c>
    </row>
    <row r="27" spans="1:5">
      <c r="A27" s="21">
        <f t="shared" si="0"/>
        <v>26</v>
      </c>
      <c r="B27" s="85" t="str">
        <f ca="1">IFERROR(__xludf.DUMMYFUNCTION("GOOGLETRANSLATE(B3820:B3835,""RU"",""UK"")"),"Засувка чуг. фл. 30ч6бр-РУ 10 50мм")</f>
        <v>Засувка чуг. фл. 30ч6бр-РУ 10 50мм</v>
      </c>
      <c r="C27" s="59" t="s">
        <v>6</v>
      </c>
      <c r="D27" s="59">
        <v>2</v>
      </c>
      <c r="E27" s="91">
        <v>1850</v>
      </c>
    </row>
    <row r="28" spans="1:5">
      <c r="A28" s="21">
        <f t="shared" si="0"/>
        <v>27</v>
      </c>
      <c r="B28" s="85" t="str">
        <f ca="1">IFERROR(__xludf.DUMMYFUNCTION("GOOGLETRANSLATE(B3821:B3836,""RU"",""UK"")"),"Засувка броз.муфт. 100мм")</f>
        <v>Засувка броз.муфт. 100мм</v>
      </c>
      <c r="C28" s="59" t="s">
        <v>6</v>
      </c>
      <c r="D28" s="59">
        <v>1</v>
      </c>
      <c r="E28" s="91" t="s">
        <v>71</v>
      </c>
    </row>
    <row r="29" spans="1:5">
      <c r="A29" s="21">
        <f t="shared" si="0"/>
        <v>28</v>
      </c>
      <c r="B29" s="85" t="str">
        <f ca="1">IFERROR(__xludf.DUMMYFUNCTION("GOOGLETRANSLATE(B3822:B3837,""RU"",""UK"")"),"Фланець ДУ80")</f>
        <v>Фланець ДУ80</v>
      </c>
      <c r="C29" s="59" t="s">
        <v>6</v>
      </c>
      <c r="D29" s="59">
        <v>2</v>
      </c>
      <c r="E29" s="91">
        <v>138</v>
      </c>
    </row>
    <row r="30" spans="1:5">
      <c r="A30" s="21">
        <f t="shared" si="0"/>
        <v>29</v>
      </c>
      <c r="B30" s="85" t="str">
        <f ca="1">IFERROR(__xludf.DUMMYFUNCTION("GOOGLETRANSLATE(B3823:B3838,""RU"",""UK"")"),"Фланець ДУ125")</f>
        <v>Фланець ДУ125</v>
      </c>
      <c r="C30" s="59" t="s">
        <v>6</v>
      </c>
      <c r="D30" s="59">
        <v>2</v>
      </c>
      <c r="E30" s="91">
        <v>162</v>
      </c>
    </row>
    <row r="31" spans="1:5">
      <c r="A31" s="21">
        <f t="shared" si="0"/>
        <v>30</v>
      </c>
      <c r="B31" s="85" t="str">
        <f ca="1">IFERROR(__xludf.DUMMYFUNCTION("GOOGLETRANSLATE(B3824:B3839,""RU"",""UK"")"),"Фільтр сітчастий бр. 20мм - 3/4""")</f>
        <v>Фільтр сітчастий бр. 20мм - 3/4"</v>
      </c>
      <c r="C31" s="59" t="s">
        <v>6</v>
      </c>
      <c r="D31" s="59">
        <v>1</v>
      </c>
      <c r="E31" s="91" t="s">
        <v>5089</v>
      </c>
    </row>
    <row r="32" spans="1:5">
      <c r="A32" s="21">
        <f t="shared" si="0"/>
        <v>31</v>
      </c>
      <c r="B32" s="85" t="str">
        <f ca="1">IFERROR(__xludf.DUMMYFUNCTION("GOOGLETRANSLATE(B3825:B3840,""RU"",""UK"")"),"Фільтр сітчастий бр. 25мм - 1""")</f>
        <v>Фільтр сітчастий бр. 25мм - 1"</v>
      </c>
      <c r="C32" s="59" t="s">
        <v>6</v>
      </c>
      <c r="D32" s="59">
        <v>2</v>
      </c>
      <c r="E32" s="91">
        <v>54</v>
      </c>
    </row>
    <row r="33" spans="1:5">
      <c r="A33" s="21">
        <f t="shared" si="0"/>
        <v>32</v>
      </c>
      <c r="B33" s="85" t="str">
        <f ca="1">IFERROR(__xludf.DUMMYFUNCTION("GOOGLETRANSLATE(B3826:B3841,""RU"",""UK"")"),"Конденсатовідвідник чавун 32мм")</f>
        <v>Конденсатовідвідник чавун 32мм</v>
      </c>
      <c r="C33" s="59" t="s">
        <v>6</v>
      </c>
      <c r="D33" s="59">
        <v>2</v>
      </c>
      <c r="E33" s="91">
        <v>84</v>
      </c>
    </row>
    <row r="34" spans="1:5">
      <c r="A34" s="21">
        <f t="shared" si="0"/>
        <v>33</v>
      </c>
      <c r="B34" s="85" t="str">
        <f ca="1">IFERROR(__xludf.DUMMYFUNCTION("GOOGLETRANSLATE(B3827:B3842,""RU"",""UK"")"),"Конденсатовідвідник чавун 40мм")</f>
        <v>Конденсатовідвідник чавун 40мм</v>
      </c>
      <c r="C34" s="59" t="s">
        <v>6</v>
      </c>
      <c r="D34" s="59">
        <v>2</v>
      </c>
      <c r="E34" s="91">
        <v>90</v>
      </c>
    </row>
    <row r="35" spans="1:5">
      <c r="A35" s="21">
        <f t="shared" ref="A35:A66" si="1">A34+1</f>
        <v>34</v>
      </c>
      <c r="B35" s="85" t="str">
        <f ca="1">IFERROR(__xludf.DUMMYFUNCTION("GOOGLETRANSLATE(B3828:B3843,""RU"",""UK"")"),"Шланг підводки нерж. М10х1,2"" н.в. 400мм")</f>
        <v>Шланг підводки нерж. М10х1,2" н.в. 400мм</v>
      </c>
      <c r="C35" s="59" t="s">
        <v>6</v>
      </c>
      <c r="D35" s="59">
        <v>3</v>
      </c>
      <c r="E35" s="91" t="s">
        <v>5089</v>
      </c>
    </row>
    <row r="36" spans="1:5">
      <c r="A36" s="21">
        <f t="shared" si="1"/>
        <v>35</v>
      </c>
      <c r="B36" s="85" t="str">
        <f ca="1">IFERROR(__xludf.DUMMYFUNCTION("GOOGLETRANSLATE(B3829:B3844,""RU"",""UK"")"),"Шланг підводки нерж. М10х1,2"" н.в. 800мм")</f>
        <v>Шланг підводки нерж. М10х1,2" н.в. 800мм</v>
      </c>
      <c r="C36" s="59" t="s">
        <v>6</v>
      </c>
      <c r="D36" s="59">
        <v>18</v>
      </c>
      <c r="E36" s="91" t="s">
        <v>5095</v>
      </c>
    </row>
    <row r="37" spans="1:5">
      <c r="A37" s="21">
        <f t="shared" si="1"/>
        <v>36</v>
      </c>
      <c r="B37" s="85" t="str">
        <f ca="1">IFERROR(__xludf.DUMMYFUNCTION("GOOGLETRANSLATE(B3830:B3845,""RU"",""UK"")"),"Шланг підводки нерж. 1,2 ""х1, 2"" н.в. 400мм/500мм")</f>
        <v>Шланг підводки нерж. 1,2 "х1, 2" н.в. 400мм/500мм</v>
      </c>
      <c r="C37" s="59" t="s">
        <v>6</v>
      </c>
      <c r="D37" s="59">
        <v>5</v>
      </c>
      <c r="E37" s="91">
        <v>42</v>
      </c>
    </row>
    <row r="38" spans="1:5">
      <c r="A38" s="21">
        <f t="shared" si="1"/>
        <v>37</v>
      </c>
      <c r="B38" s="85" t="str">
        <f ca="1">IFERROR(__xludf.DUMMYFUNCTION("GOOGLETRANSLATE(B3831:B3846,""RU"",""UK"")"),"Шланг підводки нерж. 1,2 ""х1, 2"" н.в. 600мм")</f>
        <v>Шланг підводки нерж. 1,2 "х1, 2" н.в. 600мм</v>
      </c>
      <c r="C38" s="59" t="s">
        <v>6</v>
      </c>
      <c r="D38" s="59">
        <v>4</v>
      </c>
      <c r="E38" s="91" t="s">
        <v>5098</v>
      </c>
    </row>
    <row r="39" spans="1:5">
      <c r="A39" s="21">
        <f t="shared" si="1"/>
        <v>38</v>
      </c>
      <c r="B39" s="85" t="str">
        <f ca="1">IFERROR(__xludf.DUMMYFUNCTION("GOOGLETRANSLATE(B3832:B3847,""RU"",""UK"")"),"Шланг підводки нерж. 1,2 ""х1,2"" ст. 400мм")</f>
        <v>Шланг підводки нерж. 1,2 "х1,2" ст. 400мм</v>
      </c>
      <c r="C39" s="59" t="s">
        <v>6</v>
      </c>
      <c r="D39" s="59">
        <v>35</v>
      </c>
      <c r="E39" s="91" t="s">
        <v>5089</v>
      </c>
    </row>
    <row r="40" spans="1:5">
      <c r="A40" s="21">
        <f t="shared" si="1"/>
        <v>39</v>
      </c>
      <c r="B40" s="85" t="str">
        <f ca="1">IFERROR(__xludf.DUMMYFUNCTION("GOOGLETRANSLATE(B3833:B3848,""RU"",""UK"")"),"Шланг підводки нерж. 1,2 ""х1,2"" ст. 1000мм")</f>
        <v>Шланг підводки нерж. 1,2 "х1,2" ст. 1000мм</v>
      </c>
      <c r="C40" s="59" t="s">
        <v>6</v>
      </c>
      <c r="D40" s="59">
        <v>3</v>
      </c>
      <c r="E40" s="91" t="s">
        <v>5101</v>
      </c>
    </row>
    <row r="41" spans="1:5">
      <c r="A41" s="21">
        <f t="shared" si="1"/>
        <v>40</v>
      </c>
      <c r="B41" s="85" t="str">
        <f ca="1">IFERROR(__xludf.DUMMYFUNCTION("GOOGLETRANSLATE(B3834:B3849,""RU"",""UK"")"),"Зганяння у зборі 1/2""")</f>
        <v>Зганяння у зборі 1/2"</v>
      </c>
      <c r="C41" s="59" t="s">
        <v>6</v>
      </c>
      <c r="D41" s="59">
        <v>1</v>
      </c>
      <c r="E41" s="91">
        <v>12</v>
      </c>
    </row>
    <row r="42" spans="1:5">
      <c r="A42" s="21">
        <f t="shared" si="1"/>
        <v>41</v>
      </c>
      <c r="B42" s="85" t="str">
        <f ca="1">IFERROR(__xludf.DUMMYFUNCTION("GOOGLETRANSLATE(B3835:B3850,""RU"",""UK"")"),"Контрогайка ст. 2""")</f>
        <v>Контрогайка ст. 2"</v>
      </c>
      <c r="C42" s="59" t="s">
        <v>6</v>
      </c>
      <c r="D42" s="59">
        <v>18</v>
      </c>
      <c r="E42" s="91" t="s">
        <v>5104</v>
      </c>
    </row>
    <row r="43" spans="1:5">
      <c r="A43" s="21">
        <f t="shared" si="1"/>
        <v>42</v>
      </c>
      <c r="B43" s="85" t="str">
        <f ca="1">IFERROR(__xludf.DUMMYFUNCTION("GOOGLETRANSLATE(B3836:B3851,""RU"",""UK"")"),"Барило 1/2""")</f>
        <v>Барило 1/2"</v>
      </c>
      <c r="C43" s="59" t="s">
        <v>6</v>
      </c>
      <c r="D43" s="59">
        <v>12</v>
      </c>
      <c r="E43" s="91" t="s">
        <v>5106</v>
      </c>
    </row>
    <row r="44" spans="1:5">
      <c r="A44" s="21">
        <f t="shared" si="1"/>
        <v>43</v>
      </c>
      <c r="B44" s="85" t="str">
        <f ca="1">IFERROR(__xludf.DUMMYFUNCTION("GOOGLETRANSLATE(B3837:B3852,""RU"",""UK"")"),"Американка пряма 1 1/4""")</f>
        <v>Американка пряма 1 1/4"</v>
      </c>
      <c r="C44" s="59" t="s">
        <v>6</v>
      </c>
      <c r="D44" s="59">
        <v>3</v>
      </c>
      <c r="E44" s="91" t="s">
        <v>5108</v>
      </c>
    </row>
    <row r="45" spans="1:5">
      <c r="A45" s="21">
        <f t="shared" si="1"/>
        <v>44</v>
      </c>
      <c r="B45" s="85" t="str">
        <f ca="1">IFERROR(__xludf.DUMMYFUNCTION("GOOGLETRANSLATE(B3838:B3853,""RU"",""UK"")"),"Американка пряма 1 1/2""")</f>
        <v>Американка пряма 1 1/2"</v>
      </c>
      <c r="C45" s="59" t="s">
        <v>6</v>
      </c>
      <c r="D45" s="59">
        <v>1</v>
      </c>
      <c r="E45" s="91">
        <v>129</v>
      </c>
    </row>
    <row r="46" spans="1:5">
      <c r="A46" s="21">
        <f t="shared" si="1"/>
        <v>45</v>
      </c>
      <c r="B46" s="85" t="str">
        <f ca="1">IFERROR(__xludf.DUMMYFUNCTION("GOOGLETRANSLATE(B3839:B3854,""RU"",""UK"")"),"Різьблення коротке 1/2""")</f>
        <v>Різьблення коротке 1/2"</v>
      </c>
      <c r="C46" s="59" t="s">
        <v>6</v>
      </c>
      <c r="D46" s="59">
        <v>5</v>
      </c>
      <c r="E46" s="91" t="s">
        <v>5111</v>
      </c>
    </row>
    <row r="47" spans="1:5">
      <c r="A47" s="21">
        <f t="shared" si="1"/>
        <v>46</v>
      </c>
      <c r="B47" s="85" t="str">
        <f ca="1">IFERROR(__xludf.DUMMYFUNCTION("GOOGLETRANSLATE(B3840:B3855,""RU"",""UK"")"),"Кутник лат. 1/2"" в.в./1/2"" в.н.")</f>
        <v>Кутник лат. 1/2" в.в./1/2" в.н.</v>
      </c>
      <c r="C47" s="59" t="s">
        <v>6</v>
      </c>
      <c r="D47" s="59" t="s">
        <v>5113</v>
      </c>
      <c r="E47" s="91" t="s">
        <v>5106</v>
      </c>
    </row>
    <row r="48" spans="1:5">
      <c r="A48" s="21">
        <f t="shared" si="1"/>
        <v>47</v>
      </c>
      <c r="B48" s="85" t="str">
        <f ca="1">IFERROR(__xludf.DUMMYFUNCTION("GOOGLETRANSLATE(B3841:B3856,""RU"",""UK"")"),"Кутник лат. нік. 3/4"" в.в./3/4"" в.н.")</f>
        <v>Кутник лат. нік. 3/4" в.в./3/4" в.н.</v>
      </c>
      <c r="C48" s="59" t="s">
        <v>6</v>
      </c>
      <c r="D48" s="59" t="s">
        <v>4014</v>
      </c>
      <c r="E48" s="91" t="s">
        <v>5115</v>
      </c>
    </row>
    <row r="49" spans="1:5">
      <c r="A49" s="21">
        <f t="shared" si="1"/>
        <v>48</v>
      </c>
      <c r="B49" s="85" t="str">
        <f ca="1">IFERROR(__xludf.DUMMYFUNCTION("GOOGLETRANSLATE(B3842:B3857,""RU"",""UK"")"),"Кутник лат. 3/4"" ст.ст.")</f>
        <v>Кутник лат. 3/4" ст.ст.</v>
      </c>
      <c r="C49" s="59" t="s">
        <v>6</v>
      </c>
      <c r="D49" s="59">
        <v>2</v>
      </c>
      <c r="E49" s="91" t="s">
        <v>5117</v>
      </c>
    </row>
    <row r="50" spans="1:5">
      <c r="A50" s="21">
        <f t="shared" si="1"/>
        <v>49</v>
      </c>
      <c r="B50" s="85" t="str">
        <f ca="1">IFERROR(__xludf.DUMMYFUNCTION("GOOGLETRANSLATE(B3843:B3858,""RU"",""UK"")"),"Кутник лат. 1"" в.в./в.н.")</f>
        <v>Кутник лат. 1" в.в./в.н.</v>
      </c>
      <c r="C50" s="59" t="s">
        <v>6</v>
      </c>
      <c r="D50" s="59" t="s">
        <v>899</v>
      </c>
      <c r="E50" s="91">
        <v>15</v>
      </c>
    </row>
    <row r="51" spans="1:5">
      <c r="A51" s="21">
        <f t="shared" si="1"/>
        <v>50</v>
      </c>
      <c r="B51" s="85" t="str">
        <f ca="1">IFERROR(__xludf.DUMMYFUNCTION("GOOGLETRANSLATE(B3844:B3859,""RU"",""UK"")"),"Куточок 2"" (ст.в.)")</f>
        <v>Куточок 2" (ст.в.)</v>
      </c>
      <c r="C51" s="59" t="s">
        <v>6</v>
      </c>
      <c r="D51" s="59">
        <v>2</v>
      </c>
      <c r="E51" s="91" t="s">
        <v>5120</v>
      </c>
    </row>
    <row r="52" spans="1:5">
      <c r="A52" s="21">
        <f t="shared" si="1"/>
        <v>51</v>
      </c>
      <c r="B52" s="85" t="str">
        <f ca="1">IFERROR(__xludf.DUMMYFUNCTION("GOOGLETRANSLATE(B3845:B3860,""RU"",""UK"")"),"Контргайка 1/2"" бр.")</f>
        <v>Контргайка 1/2" бр.</v>
      </c>
      <c r="C52" s="59" t="s">
        <v>6</v>
      </c>
      <c r="D52" s="59">
        <v>53</v>
      </c>
      <c r="E52" s="91" t="s">
        <v>1292</v>
      </c>
    </row>
    <row r="53" spans="1:5">
      <c r="A53" s="21">
        <f t="shared" si="1"/>
        <v>52</v>
      </c>
      <c r="B53" s="85" t="str">
        <f ca="1">IFERROR(__xludf.DUMMYFUNCTION("GOOGLETRANSLATE(B3846:B3861,""RU"",""UK"")"),"Контргайка 3/4"" бр./3/4"" ст.")</f>
        <v>Контргайка 3/4" бр./3/4" ст.</v>
      </c>
      <c r="C53" s="59" t="s">
        <v>6</v>
      </c>
      <c r="D53" s="59" t="s">
        <v>5123</v>
      </c>
      <c r="E53" s="91" t="s">
        <v>5124</v>
      </c>
    </row>
    <row r="54" spans="1:5">
      <c r="A54" s="21">
        <f t="shared" si="1"/>
        <v>53</v>
      </c>
      <c r="B54" s="85" t="str">
        <f ca="1">IFERROR(__xludf.DUMMYFUNCTION("GOOGLETRANSLATE(B3847:B3862,""RU"",""UK"")"),"Трійник лат. 1/2 ""(15) в.в.в. / 1/2"" (15) в.н.в. / 1/2 ""(15) н.н.н.")</f>
        <v>Трійник лат. 1/2 "(15) в.в.в. / 1/2" (15) в.н.в. / 1/2 "(15) н.н.н.</v>
      </c>
      <c r="C54" s="59" t="s">
        <v>6</v>
      </c>
      <c r="D54" s="59" t="s">
        <v>5126</v>
      </c>
      <c r="E54" s="91" t="s">
        <v>5120</v>
      </c>
    </row>
    <row r="55" spans="1:5">
      <c r="A55" s="21">
        <f t="shared" si="1"/>
        <v>54</v>
      </c>
      <c r="B55" s="85" t="str">
        <f ca="1">IFERROR(__xludf.DUMMYFUNCTION("GOOGLETRANSLATE(B3848:B3863,""RU"",""UK"")"),"Трійник лат. 3/4"" (20х20х20) ст.ст.")</f>
        <v>Трійник лат. 3/4" (20х20х20) ст.ст.</v>
      </c>
      <c r="C55" s="59" t="s">
        <v>6</v>
      </c>
      <c r="D55" s="59">
        <v>2</v>
      </c>
      <c r="E55" s="91" t="s">
        <v>5115</v>
      </c>
    </row>
    <row r="56" spans="1:5">
      <c r="A56" s="21">
        <f t="shared" si="1"/>
        <v>55</v>
      </c>
      <c r="B56" s="85" t="str">
        <f ca="1">IFERROR(__xludf.DUMMYFUNCTION("GOOGLETRANSLATE(B3849:B3864,""RU"",""UK"")"),"Трійник бр. 1"" в.в.в.")</f>
        <v>Трійник бр. 1" в.в.в.</v>
      </c>
      <c r="C56" s="59" t="s">
        <v>6</v>
      </c>
      <c r="D56" s="59">
        <v>4</v>
      </c>
      <c r="E56" s="91" t="s">
        <v>5129</v>
      </c>
    </row>
    <row r="57" spans="1:5">
      <c r="A57" s="21">
        <f t="shared" si="1"/>
        <v>56</v>
      </c>
      <c r="B57" s="85" t="str">
        <f ca="1">IFERROR(__xludf.DUMMYFUNCTION("GOOGLETRANSLATE(B3850:B3865,""RU"",""UK"")"),"Муфта ТК 16 (1/2"") з вн.рез./нар.рез.")</f>
        <v>Муфта ТК 16 (1/2") з вн.рез./нар.рез.</v>
      </c>
      <c r="C57" s="59" t="s">
        <v>6</v>
      </c>
      <c r="D57" s="59" t="s">
        <v>700</v>
      </c>
      <c r="E57" s="91" t="s">
        <v>5131</v>
      </c>
    </row>
    <row r="58" spans="1:5">
      <c r="A58" s="21">
        <f t="shared" si="1"/>
        <v>57</v>
      </c>
      <c r="B58" s="85" t="str">
        <f ca="1">IFERROR(__xludf.DUMMYFUNCTION("GOOGLETRANSLATE(B3851:B3866,""RU"",""UK"")"),"Муфта ТК 20х3/4""вн.р. ТК 20х3/4"" нар.р.")</f>
        <v>Муфта ТК 20х3/4"вн.р. ТК 20х3/4" нар.р.</v>
      </c>
      <c r="C58" s="59" t="s">
        <v>6</v>
      </c>
      <c r="D58" s="59" t="s">
        <v>1235</v>
      </c>
      <c r="E58" s="91" t="s">
        <v>5133</v>
      </c>
    </row>
    <row r="59" spans="1:5">
      <c r="A59" s="21">
        <f t="shared" si="1"/>
        <v>58</v>
      </c>
      <c r="B59" s="85" t="str">
        <f ca="1">IFERROR(__xludf.DUMMYFUNCTION("GOOGLETRANSLATE(B3852:B3867,""RU"",""UK"")"),"Муфта ТК 26х1""вн./26х3/4""вн. / 26х3/4""нар.")</f>
        <v>Муфта ТК 26х1"вн./26х3/4"вн. / 26х3/4"нар.</v>
      </c>
      <c r="C59" s="59" t="s">
        <v>6</v>
      </c>
      <c r="D59" s="59" t="s">
        <v>5126</v>
      </c>
      <c r="E59" s="91" t="s">
        <v>5135</v>
      </c>
    </row>
    <row r="60" spans="1:5">
      <c r="A60" s="21">
        <f t="shared" si="1"/>
        <v>59</v>
      </c>
      <c r="B60" s="85" t="str">
        <f ca="1">IFERROR(__xludf.DUMMYFUNCTION("GOOGLETRANSLATE(B3853:B3868,""RU"",""UK"")"),"Трійник пром. ТК 16")</f>
        <v>Трійник пром. ТК 16</v>
      </c>
      <c r="C60" s="59" t="s">
        <v>6</v>
      </c>
      <c r="D60" s="59">
        <v>6</v>
      </c>
      <c r="E60" s="91">
        <v>21</v>
      </c>
    </row>
    <row r="61" spans="1:5">
      <c r="A61" s="21">
        <f t="shared" si="1"/>
        <v>60</v>
      </c>
      <c r="B61" s="85" t="str">
        <f ca="1">IFERROR(__xludf.DUMMYFUNCTION("GOOGLETRANSLATE(B3854:B3869,""RU"",""UK"")"),"Трійник пром. ПП 20")</f>
        <v>Трійник пром. ПП 20</v>
      </c>
      <c r="C61" s="59" t="s">
        <v>6</v>
      </c>
      <c r="D61" s="59">
        <v>12</v>
      </c>
      <c r="E61" s="91" t="s">
        <v>5138</v>
      </c>
    </row>
    <row r="62" spans="1:5">
      <c r="A62" s="21">
        <f t="shared" si="1"/>
        <v>61</v>
      </c>
      <c r="B62" s="85" t="str">
        <f ca="1">IFERROR(__xludf.DUMMYFUNCTION("GOOGLETRANSLATE(B3855:B3870,""RU"",""UK"")"),"Хрестовина ТК 16")</f>
        <v>Хрестовина ТК 16</v>
      </c>
      <c r="C62" s="59" t="s">
        <v>6</v>
      </c>
      <c r="D62" s="59">
        <v>5</v>
      </c>
      <c r="E62" s="91" t="s">
        <v>5140</v>
      </c>
    </row>
    <row r="63" spans="1:5">
      <c r="A63" s="21">
        <f t="shared" si="1"/>
        <v>62</v>
      </c>
      <c r="B63" s="85" t="str">
        <f ca="1">IFERROR(__xludf.DUMMYFUNCTION("GOOGLETRANSLATE(B3856:B3871,""RU"",""UK"")"),"Кутник муфта ТК 16")</f>
        <v>Кутник муфта ТК 16</v>
      </c>
      <c r="C63" s="59" t="s">
        <v>6</v>
      </c>
      <c r="D63" s="59">
        <v>10</v>
      </c>
      <c r="E63" s="91" t="s">
        <v>5142</v>
      </c>
    </row>
    <row r="64" spans="1:5">
      <c r="A64" s="21">
        <f t="shared" si="1"/>
        <v>63</v>
      </c>
      <c r="B64" s="85" t="str">
        <f ca="1">IFERROR(__xludf.DUMMYFUNCTION("GOOGLETRANSLATE(B3857:B3872,""RU"",""UK"")"),"Кутник муфта з крепл. ТК 16х1/2""")</f>
        <v>Кутник муфта з крепл. ТК 16х1/2"</v>
      </c>
      <c r="C64" s="59" t="s">
        <v>6</v>
      </c>
      <c r="D64" s="59">
        <v>18</v>
      </c>
      <c r="E64" s="91" t="s">
        <v>5144</v>
      </c>
    </row>
    <row r="65" spans="1:5">
      <c r="A65" s="21">
        <f t="shared" si="1"/>
        <v>64</v>
      </c>
      <c r="B65" s="85" t="str">
        <f ca="1">IFERROR(__xludf.DUMMYFUNCTION("GOOGLETRANSLATE(B3858:B3873,""RU"",""UK"")"),"Кутник муфта ТК 20")</f>
        <v>Кутник муфта ТК 20</v>
      </c>
      <c r="C65" s="59" t="s">
        <v>6</v>
      </c>
      <c r="D65" s="59">
        <v>6</v>
      </c>
      <c r="E65" s="91" t="s">
        <v>5146</v>
      </c>
    </row>
    <row r="66" spans="1:5">
      <c r="A66" s="21">
        <f t="shared" si="1"/>
        <v>65</v>
      </c>
      <c r="B66" s="85" t="str">
        <f ca="1">IFERROR(__xludf.DUMMYFUNCTION("GOOGLETRANSLATE(B3859:B3874,""RU"",""UK"")"),"Муфта перехідна бр. 1""х3/4"" / 1""х1/2""")</f>
        <v>Муфта перехідна бр. 1"х3/4" / 1"х1/2"</v>
      </c>
      <c r="C66" s="59" t="s">
        <v>6</v>
      </c>
      <c r="D66" s="59" t="s">
        <v>700</v>
      </c>
      <c r="E66" s="91" t="s">
        <v>5104</v>
      </c>
    </row>
    <row r="67" spans="1:5">
      <c r="A67" s="21">
        <f t="shared" ref="A67:A101" si="2">A66+1</f>
        <v>66</v>
      </c>
      <c r="B67" s="85" t="str">
        <f ca="1">IFERROR(__xludf.DUMMYFUNCTION("GOOGLETRANSLATE(B3860:B3875,""RU"",""UK"")"),"Муфта бр. 15мм")</f>
        <v>Муфта бр. 15мм</v>
      </c>
      <c r="C67" s="59" t="s">
        <v>6</v>
      </c>
      <c r="D67" s="59">
        <v>10</v>
      </c>
      <c r="E67" s="91" t="s">
        <v>5106</v>
      </c>
    </row>
    <row r="68" spans="1:5">
      <c r="A68" s="21">
        <f t="shared" si="2"/>
        <v>67</v>
      </c>
      <c r="B68" s="85" t="str">
        <f ca="1">IFERROR(__xludf.DUMMYFUNCTION("GOOGLETRANSLATE(B3861:B3876,""RU"",""UK"")"),"Муфта бр. 20мм")</f>
        <v>Муфта бр. 20мм</v>
      </c>
      <c r="C68" s="59" t="s">
        <v>6</v>
      </c>
      <c r="D68" s="59">
        <v>11</v>
      </c>
      <c r="E68" s="91">
        <v>6</v>
      </c>
    </row>
    <row r="69" spans="1:5">
      <c r="A69" s="21">
        <f t="shared" si="2"/>
        <v>68</v>
      </c>
      <c r="B69" s="85" t="str">
        <f ca="1">IFERROR(__xludf.DUMMYFUNCTION("GOOGLETRANSLATE(B3862:B3877,""RU"",""UK"")"),"Муфта 25мм")</f>
        <v>Муфта 25мм</v>
      </c>
      <c r="C69" s="59" t="s">
        <v>6</v>
      </c>
      <c r="D69" s="59">
        <v>6</v>
      </c>
      <c r="E69" s="91" t="s">
        <v>1391</v>
      </c>
    </row>
    <row r="70" spans="1:5">
      <c r="A70" s="21">
        <f t="shared" si="2"/>
        <v>69</v>
      </c>
      <c r="B70" s="85" t="str">
        <f ca="1">IFERROR(__xludf.DUMMYFUNCTION("GOOGLETRANSLATE(B3863:B3878,""RU"",""UK"")"),"Корок 1/2вн. / 1/2нар.")</f>
        <v>Корок 1/2вн. / 1/2нар.</v>
      </c>
      <c r="C70" s="59" t="s">
        <v>6</v>
      </c>
      <c r="D70" s="59" t="s">
        <v>5152</v>
      </c>
      <c r="E70" s="91">
        <v>3</v>
      </c>
    </row>
    <row r="71" spans="1:5">
      <c r="A71" s="21">
        <f t="shared" si="2"/>
        <v>70</v>
      </c>
      <c r="B71" s="85" t="str">
        <f ca="1">IFERROR(__xludf.DUMMYFUNCTION("GOOGLETRANSLATE(B3864:B3879,""RU"",""UK"")"),"Корок бронза 1/2вн. / 1/2нар.")</f>
        <v>Корок бронза 1/2вн. / 1/2нар.</v>
      </c>
      <c r="C71" s="59" t="s">
        <v>6</v>
      </c>
      <c r="D71" s="59" t="s">
        <v>5154</v>
      </c>
      <c r="E71" s="91" t="s">
        <v>5155</v>
      </c>
    </row>
    <row r="72" spans="1:5">
      <c r="A72" s="21">
        <f t="shared" si="2"/>
        <v>71</v>
      </c>
      <c r="B72" s="85" t="str">
        <f ca="1">IFERROR(__xludf.DUMMYFUNCTION("GOOGLETRANSLATE(B3865:B3880,""RU"",""UK"")"),"Пробка радіаторна (футорка глуха) пр./лев.")</f>
        <v>Пробка радіаторна (футорка глуха) пр./лев.</v>
      </c>
      <c r="C72" s="59" t="s">
        <v>6</v>
      </c>
      <c r="D72" s="59" t="s">
        <v>1005</v>
      </c>
      <c r="E72" s="91" t="s">
        <v>5157</v>
      </c>
    </row>
    <row r="73" spans="1:5">
      <c r="A73" s="21">
        <f t="shared" si="2"/>
        <v>72</v>
      </c>
      <c r="B73" s="85" t="str">
        <f ca="1">IFERROR(__xludf.DUMMYFUNCTION("GOOGLETRANSLATE(B3866:B3881,""RU"",""UK"")"),"Ніпель радіаторний 32мм")</f>
        <v>Ніпель радіаторний 32мм</v>
      </c>
      <c r="C73" s="59" t="s">
        <v>6</v>
      </c>
      <c r="D73" s="59">
        <v>20</v>
      </c>
      <c r="E73" s="91" t="s">
        <v>5159</v>
      </c>
    </row>
    <row r="74" spans="1:5">
      <c r="A74" s="21">
        <f t="shared" si="2"/>
        <v>73</v>
      </c>
      <c r="B74" s="85" t="str">
        <f ca="1">IFERROR(__xludf.DUMMYFUNCTION("GOOGLETRANSLATE(B3867:B3882,""RU"",""UK"")"),"Відведення 15мм кован.")</f>
        <v>Відведення 15мм кован.</v>
      </c>
      <c r="C74" s="59" t="s">
        <v>6</v>
      </c>
      <c r="D74" s="59">
        <v>6</v>
      </c>
      <c r="E74" s="91" t="s">
        <v>286</v>
      </c>
    </row>
    <row r="75" spans="1:5">
      <c r="A75" s="21">
        <f t="shared" si="2"/>
        <v>74</v>
      </c>
      <c r="B75" s="85" t="str">
        <f ca="1">IFERROR(__xludf.DUMMYFUNCTION("GOOGLETRANSLATE(B3868:B3883,""RU"",""UK"")"),"Перехід сталевих. 108х89/135х108")</f>
        <v>Перехід сталевих. 108х89/135х108</v>
      </c>
      <c r="C75" s="59" t="s">
        <v>6</v>
      </c>
      <c r="D75" s="59" t="s">
        <v>1005</v>
      </c>
      <c r="E75" s="91" t="s">
        <v>5162</v>
      </c>
    </row>
    <row r="76" spans="1:5">
      <c r="A76" s="21">
        <f t="shared" si="2"/>
        <v>75</v>
      </c>
      <c r="B76" s="85" t="str">
        <f ca="1">IFERROR(__xludf.DUMMYFUNCTION("GOOGLETRANSLATE(B3869:B3884,""RU"",""UK"")"),"Клапан муфт. бр. 3/4""")</f>
        <v>Клапан муфт. бр. 3/4"</v>
      </c>
      <c r="C76" s="59" t="s">
        <v>6</v>
      </c>
      <c r="D76" s="59">
        <v>1</v>
      </c>
      <c r="E76" s="91" t="s">
        <v>253</v>
      </c>
    </row>
    <row r="77" spans="1:5">
      <c r="A77" s="21">
        <f t="shared" si="2"/>
        <v>76</v>
      </c>
      <c r="B77" s="85" t="str">
        <f ca="1">IFERROR(__xludf.DUMMYFUNCTION("GOOGLETRANSLATE(B3870:B3885,""RU"",""UK"")"),"Клапан муфт. бр. 1"" / 1 1/2""")</f>
        <v>Клапан муфт. бр. 1" / 1 1/2"</v>
      </c>
      <c r="C77" s="59" t="s">
        <v>6</v>
      </c>
      <c r="D77" s="59" t="s">
        <v>749</v>
      </c>
      <c r="E77" s="91" t="s">
        <v>5165</v>
      </c>
    </row>
    <row r="78" spans="1:5">
      <c r="A78" s="21">
        <f t="shared" si="2"/>
        <v>77</v>
      </c>
      <c r="B78" s="85" t="str">
        <f ca="1">IFERROR(__xludf.DUMMYFUNCTION("GOOGLETRANSLATE(B3871:B3886,""RU"",""UK"")"),"Клапан муфт. бр. підйомний 40мм 1 1/2""")</f>
        <v>Клапан муфт. бр. підйомний 40мм 1 1/2"</v>
      </c>
      <c r="C78" s="59" t="s">
        <v>6</v>
      </c>
      <c r="D78" s="59">
        <v>1</v>
      </c>
      <c r="E78" s="91" t="s">
        <v>327</v>
      </c>
    </row>
    <row r="79" spans="1:5">
      <c r="A79" s="21">
        <f t="shared" si="2"/>
        <v>78</v>
      </c>
      <c r="B79" s="85" t="str">
        <f ca="1">IFERROR(__xludf.DUMMYFUNCTION("GOOGLETRANSLATE(B3872:B3887,""RU"",""UK"")"),"Клапан флан. чуг. підйомний 32мм РУ25/40мм РУ25")</f>
        <v>Клапан флан. чуг. підйомний 32мм РУ25/40мм РУ25</v>
      </c>
      <c r="C79" s="59" t="s">
        <v>6</v>
      </c>
      <c r="D79" s="59" t="s">
        <v>1200</v>
      </c>
      <c r="E79" s="91" t="s">
        <v>63</v>
      </c>
    </row>
    <row r="80" spans="1:5">
      <c r="A80" s="21">
        <f t="shared" si="2"/>
        <v>79</v>
      </c>
      <c r="B80" s="85" t="str">
        <f ca="1">IFERROR(__xludf.DUMMYFUNCTION("GOOGLETRANSLATE(B3873:B3888,""RU"",""UK"")"),"Клапан флан. чуг. підйомний 40мм РУ16/50мм 2"" РУ16")</f>
        <v>Клапан флан. чуг. підйомний 40мм РУ16/50мм 2" РУ16</v>
      </c>
      <c r="C80" s="59" t="s">
        <v>6</v>
      </c>
      <c r="D80" s="59" t="s">
        <v>774</v>
      </c>
      <c r="E80" s="91" t="s">
        <v>102</v>
      </c>
    </row>
    <row r="81" spans="1:5">
      <c r="A81" s="21">
        <f t="shared" si="2"/>
        <v>80</v>
      </c>
      <c r="B81" s="85" t="str">
        <f ca="1">IFERROR(__xludf.DUMMYFUNCTION("GOOGLETRANSLATE(B3874:B3889,""RU"",""UK"")"),"Клапан флан. чуг. підйомний 50мм 2"" РУ40")</f>
        <v>Клапан флан. чуг. підйомний 50мм 2" РУ40</v>
      </c>
      <c r="C81" s="59" t="s">
        <v>6</v>
      </c>
      <c r="D81" s="59">
        <v>1</v>
      </c>
      <c r="E81" s="91" t="s">
        <v>80</v>
      </c>
    </row>
    <row r="82" spans="1:5">
      <c r="A82" s="21">
        <f t="shared" si="2"/>
        <v>81</v>
      </c>
      <c r="B82" s="85" t="str">
        <f ca="1">IFERROR(__xludf.DUMMYFUNCTION("GOOGLETRANSLATE(B3875:B3890,""RU"",""UK"")"),"Труба PPR 20х3, 4 (dy-15)")</f>
        <v>Труба PPR 20х3, 4 (dy-15)</v>
      </c>
      <c r="C82" s="59" t="s">
        <v>634</v>
      </c>
      <c r="D82" s="59">
        <v>12</v>
      </c>
      <c r="E82" s="91" t="s">
        <v>5171</v>
      </c>
    </row>
    <row r="83" spans="1:5">
      <c r="A83" s="21">
        <f t="shared" si="2"/>
        <v>82</v>
      </c>
      <c r="B83" s="85" t="str">
        <f ca="1">IFERROR(__xludf.DUMMYFUNCTION("GOOGLETRANSLATE(B3876:B3891,""RU"",""UK"")"),"Коліно РР 110х90""/110х45""")</f>
        <v>Коліно РР 110х90"/110х45"</v>
      </c>
      <c r="C83" s="59" t="s">
        <v>6</v>
      </c>
      <c r="D83" s="59">
        <v>20</v>
      </c>
      <c r="E83" s="91">
        <v>9</v>
      </c>
    </row>
    <row r="84" spans="1:5">
      <c r="A84" s="21">
        <f t="shared" si="2"/>
        <v>83</v>
      </c>
      <c r="B84" s="85" t="str">
        <f ca="1">IFERROR(__xludf.DUMMYFUNCTION("GOOGLETRANSLATE(B3877:B3892,""RU"",""UK"")"),"Коліно РР 50х90""/50х45""")</f>
        <v>Коліно РР 50х90"/50х45"</v>
      </c>
      <c r="C84" s="59" t="s">
        <v>6</v>
      </c>
      <c r="D84" s="59">
        <v>20</v>
      </c>
      <c r="E84" s="91" t="s">
        <v>5174</v>
      </c>
    </row>
    <row r="85" spans="1:5">
      <c r="A85" s="21">
        <f t="shared" si="2"/>
        <v>84</v>
      </c>
      <c r="B85" s="85" t="str">
        <f ca="1">IFERROR(__xludf.DUMMYFUNCTION("GOOGLETRANSLATE(B3878:B3893,""RU"",""UK"")"),"Редукції (чуг./пл.) 124х110")</f>
        <v>Редукції (чуг./пл.) 124х110</v>
      </c>
      <c r="C85" s="59" t="s">
        <v>6</v>
      </c>
      <c r="D85" s="59">
        <v>1</v>
      </c>
      <c r="E85" s="91" t="s">
        <v>5106</v>
      </c>
    </row>
    <row r="86" spans="1:5">
      <c r="A86" s="21">
        <f t="shared" si="2"/>
        <v>85</v>
      </c>
      <c r="B86" s="85" t="str">
        <f ca="1">IFERROR(__xludf.DUMMYFUNCTION("GOOGLETRANSLATE(B3879:B3894,""RU"",""UK"")"),"Трійник РР 110х110х90")</f>
        <v>Трійник РР 110х110х90</v>
      </c>
      <c r="C86" s="59" t="s">
        <v>6</v>
      </c>
      <c r="D86" s="59">
        <v>2</v>
      </c>
      <c r="E86" s="91" t="s">
        <v>5177</v>
      </c>
    </row>
    <row r="87" spans="1:5">
      <c r="A87" s="21">
        <f t="shared" si="2"/>
        <v>86</v>
      </c>
      <c r="B87" s="85" t="str">
        <f ca="1">IFERROR(__xludf.DUMMYFUNCTION("GOOGLETRANSLATE(B3880:B3895,""RU"",""UK"")"),"Трійник РР 110х50х90")</f>
        <v>Трійник РР 110х50х90</v>
      </c>
      <c r="C87" s="59" t="s">
        <v>6</v>
      </c>
      <c r="D87" s="59">
        <v>1</v>
      </c>
      <c r="E87" s="91">
        <v>12</v>
      </c>
    </row>
    <row r="88" spans="1:5">
      <c r="A88" s="21">
        <f t="shared" si="2"/>
        <v>87</v>
      </c>
      <c r="B88" s="85" t="str">
        <f ca="1">IFERROR(__xludf.DUMMYFUNCTION("GOOGLETRANSLATE(B3881:B3896,""RU"",""UK"")"),"Трійник РР 110х110х45")</f>
        <v>Трійник РР 110х110х45</v>
      </c>
      <c r="C88" s="59" t="s">
        <v>6</v>
      </c>
      <c r="D88" s="59">
        <v>1</v>
      </c>
      <c r="E88" s="91" t="s">
        <v>5133</v>
      </c>
    </row>
    <row r="89" spans="1:5">
      <c r="A89" s="21">
        <f t="shared" si="2"/>
        <v>88</v>
      </c>
      <c r="B89" s="85" t="str">
        <f ca="1">IFERROR(__xludf.DUMMYFUNCTION("GOOGLETRANSLATE(B3882:B3897,""RU"",""UK"")"),"Трійник РР 50х50х90/50х50х45")</f>
        <v>Трійник РР 50х50х90/50х50х45</v>
      </c>
      <c r="C89" s="59" t="s">
        <v>6</v>
      </c>
      <c r="D89" s="59" t="s">
        <v>2589</v>
      </c>
      <c r="E89" s="91" t="s">
        <v>5159</v>
      </c>
    </row>
    <row r="90" spans="1:5">
      <c r="A90" s="21">
        <f t="shared" si="2"/>
        <v>89</v>
      </c>
      <c r="B90" s="85" t="str">
        <f ca="1">IFERROR(__xludf.DUMMYFUNCTION("GOOGLETRANSLATE(B3883:B3898,""RU"",""UK"")"),"Хрестовина 50х50х90")</f>
        <v>Хрестовина 50х50х90</v>
      </c>
      <c r="C90" s="59" t="s">
        <v>6</v>
      </c>
      <c r="D90" s="59">
        <v>2</v>
      </c>
      <c r="E90" s="91" t="s">
        <v>5133</v>
      </c>
    </row>
    <row r="91" spans="1:5">
      <c r="A91" s="21">
        <f t="shared" si="2"/>
        <v>90</v>
      </c>
      <c r="B91" s="85" t="str">
        <f ca="1">IFERROR(__xludf.DUMMYFUNCTION("GOOGLETRANSLATE(B3884:B3899,""RU"",""UK"")"),"Хрестовина РР 110х110х90")</f>
        <v>Хрестовина РР 110х110х90</v>
      </c>
      <c r="C91" s="59" t="s">
        <v>6</v>
      </c>
      <c r="D91" s="59">
        <v>2</v>
      </c>
      <c r="E91" s="91" t="s">
        <v>5183</v>
      </c>
    </row>
    <row r="92" spans="1:5">
      <c r="A92" s="21">
        <f t="shared" si="2"/>
        <v>91</v>
      </c>
      <c r="B92" s="85" t="str">
        <f ca="1">IFERROR(__xludf.DUMMYFUNCTION("GOOGLETRANSLATE(B3885:B3900,""RU"",""UK"")"),"Заглушка РР 110мм/50мм")</f>
        <v>Заглушка РР 110мм/50мм</v>
      </c>
      <c r="C92" s="59" t="s">
        <v>6</v>
      </c>
      <c r="D92" s="59" t="s">
        <v>3202</v>
      </c>
      <c r="E92" s="91" t="s">
        <v>5185</v>
      </c>
    </row>
    <row r="93" spans="1:5">
      <c r="A93" s="21">
        <f t="shared" si="2"/>
        <v>92</v>
      </c>
      <c r="B93" s="85" t="str">
        <f ca="1">IFERROR(__xludf.DUMMYFUNCTION("GOOGLETRANSLATE(B3886:B3901,""RU"",""UK"")"),"Кріплення для умивальника / унітазу")</f>
        <v>Кріплення для умивальника / унітазу</v>
      </c>
      <c r="C93" s="59" t="s">
        <v>4370</v>
      </c>
      <c r="D93" s="59" t="s">
        <v>5187</v>
      </c>
      <c r="E93" s="91" t="s">
        <v>5188</v>
      </c>
    </row>
    <row r="94" spans="1:5">
      <c r="A94" s="21">
        <f t="shared" si="2"/>
        <v>93</v>
      </c>
      <c r="B94" s="85" t="str">
        <f ca="1">IFERROR(__xludf.DUMMYFUNCTION("GOOGLETRANSLATE(B3887:B3902,""RU"",""UK"")"),"Кріплення для труб ПХВ 110мм (компл.) / 50мм (компл.)")</f>
        <v>Кріплення для труб ПХВ 110мм (компл.) / 50мм (компл.)</v>
      </c>
      <c r="C94" s="59" t="s">
        <v>6</v>
      </c>
      <c r="D94" s="59">
        <v>1</v>
      </c>
      <c r="E94" s="91" t="s">
        <v>5190</v>
      </c>
    </row>
    <row r="95" spans="1:5">
      <c r="A95" s="21">
        <f t="shared" si="2"/>
        <v>94</v>
      </c>
      <c r="B95" s="85" t="str">
        <f ca="1">IFERROR(__xludf.DUMMYFUNCTION("GOOGLETRANSLATE(B3888:B3903,""RU"",""UK"")"),"Кріплення труб метал. 110 (компл.) / 50мм (компл.)")</f>
        <v>Кріплення труб метал. 110 (компл.) / 50мм (компл.)</v>
      </c>
      <c r="C95" s="59" t="s">
        <v>6</v>
      </c>
      <c r="D95" s="59" t="s">
        <v>749</v>
      </c>
      <c r="E95" s="91" t="s">
        <v>5192</v>
      </c>
    </row>
    <row r="96" spans="1:5">
      <c r="A96" s="21">
        <f t="shared" si="2"/>
        <v>95</v>
      </c>
      <c r="B96" s="85" t="str">
        <f ca="1">IFERROR(__xludf.DUMMYFUNCTION("GOOGLETRANSLATE(B3889:B3904,""RU"",""UK"")"),"Штуцер бр. 3/4 (20мм) н./вн.")</f>
        <v>Штуцер бр. 3/4 (20мм) н./вн.</v>
      </c>
      <c r="C96" s="59" t="s">
        <v>6</v>
      </c>
      <c r="D96" s="59" t="s">
        <v>3140</v>
      </c>
      <c r="E96" s="91" t="s">
        <v>5194</v>
      </c>
    </row>
    <row r="97" spans="1:5">
      <c r="A97" s="21">
        <f t="shared" si="2"/>
        <v>96</v>
      </c>
      <c r="B97" s="85" t="str">
        <f ca="1">IFERROR(__xludf.DUMMYFUNCTION("GOOGLETRANSLATE(B3890:B3905,""RU"",""UK"")"),"Штуцер бр. 1/2 (20мм) н.")</f>
        <v>Штуцер бр. 1/2 (20мм) н.</v>
      </c>
      <c r="C97" s="59" t="s">
        <v>6</v>
      </c>
      <c r="D97" s="59">
        <v>7</v>
      </c>
      <c r="E97" s="91" t="s">
        <v>5159</v>
      </c>
    </row>
    <row r="98" spans="1:5">
      <c r="A98" s="21">
        <f t="shared" si="2"/>
        <v>97</v>
      </c>
      <c r="B98" s="85" t="str">
        <f ca="1">IFERROR(__xludf.DUMMYFUNCTION("GOOGLETRANSLATE(B3891:B3906,""RU"",""UK"")"),"Штуцер бр. 1/2 (16мм) н.")</f>
        <v>Штуцер бр. 1/2 (16мм) н.</v>
      </c>
      <c r="C98" s="59" t="s">
        <v>6</v>
      </c>
      <c r="D98" s="59">
        <v>16</v>
      </c>
      <c r="E98" s="91" t="s">
        <v>5197</v>
      </c>
    </row>
    <row r="99" spans="1:5">
      <c r="A99" s="21">
        <f t="shared" si="2"/>
        <v>98</v>
      </c>
      <c r="B99" s="85" t="str">
        <f ca="1">IFERROR(__xludf.DUMMYFUNCTION("GOOGLETRANSLATE(B3892:B3907,""RU"",""UK"")"),"Штуцер бр. 1/2 (12мм) н. /внутр. Р.")</f>
        <v>Штуцер бр. 1/2 (12мм) н. /внутр. Р.</v>
      </c>
      <c r="C99" s="59" t="s">
        <v>6</v>
      </c>
      <c r="D99" s="59" t="s">
        <v>942</v>
      </c>
      <c r="E99" s="91" t="s">
        <v>5197</v>
      </c>
    </row>
    <row r="100" spans="1:5">
      <c r="A100" s="21">
        <f t="shared" si="2"/>
        <v>99</v>
      </c>
      <c r="B100" s="85" t="str">
        <f ca="1">IFERROR(__xludf.DUMMYFUNCTION("GOOGLETRANSLATE(B3893:B3908,""RU"",""UK"")"),"Штуцер бр. 1/2 (10мм) нар. Різьблення. /внутр.")</f>
        <v>Штуцер бр. 1/2 (10мм) нар. Різьблення. /внутр.</v>
      </c>
      <c r="C100" s="59" t="s">
        <v>6</v>
      </c>
      <c r="D100" s="59" t="s">
        <v>5154</v>
      </c>
      <c r="E100" s="91" t="s">
        <v>5197</v>
      </c>
    </row>
    <row r="101" spans="1:5">
      <c r="A101" s="21">
        <f t="shared" si="2"/>
        <v>100</v>
      </c>
      <c r="B101" s="115" t="str">
        <f ca="1">IFERROR(__xludf.DUMMYFUNCTION("GOOGLETRANSLATE(B3894:B3909,""RU"",""UK"")"),"Штуцер бр. 1/2 (8мм) нар. Різьблення. /внутр.")</f>
        <v>Штуцер бр. 1/2 (8мм) нар. Різьблення. /внутр.</v>
      </c>
      <c r="C101" s="59" t="s">
        <v>6</v>
      </c>
      <c r="D101" s="59" t="s">
        <v>3140</v>
      </c>
      <c r="E101" s="91" t="s">
        <v>5197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4"/>
  <sheetViews>
    <sheetView tabSelected="1" topLeftCell="A208" zoomScale="230" zoomScaleNormal="230" workbookViewId="0">
      <selection activeCell="D221" sqref="D221"/>
    </sheetView>
  </sheetViews>
  <sheetFormatPr defaultRowHeight="12.75"/>
  <cols>
    <col min="2" max="2" width="56.85546875" customWidth="1"/>
  </cols>
  <sheetData>
    <row r="1" spans="1:5">
      <c r="A1" s="43"/>
      <c r="B1" s="110" t="str">
        <f ca="1">IFERROR(__xludf.DUMMYFUNCTION("GOOGLETRANSLATE(B906:B921,""RU"",""UK"")"),"10. С В Е Р Д Л А  Т/С  ПО Б Е Т О Н У, Ц Е Г Л І")</f>
        <v>10. С В Е Р Д Л А  Т/С  ПО Б Е Т О Н У, Ц Е Г Л І</v>
      </c>
      <c r="C1" s="33"/>
      <c r="D1" s="33"/>
      <c r="E1" s="95"/>
    </row>
    <row r="2" spans="1:5">
      <c r="A2" s="21">
        <v>1</v>
      </c>
      <c r="B2" s="85" t="str">
        <f ca="1">IFERROR(__xludf.DUMMYFUNCTION("GOOGLETRANSLATE(B907:B922,""RU"",""UK"")"),"Свердло цил. хв. 3,3/4,0")</f>
        <v>Свердло цил. хв. 3,3/4,0</v>
      </c>
      <c r="C2" s="59" t="s">
        <v>6</v>
      </c>
      <c r="D2" s="59" t="s">
        <v>1235</v>
      </c>
      <c r="E2" s="91" t="s">
        <v>1236</v>
      </c>
    </row>
    <row r="3" spans="1:5">
      <c r="A3" s="21">
        <v>2</v>
      </c>
      <c r="B3" s="85" t="str">
        <f ca="1">IFERROR(__xludf.DUMMYFUNCTION("GOOGLETRANSLATE(B908:B923,""RU"",""UK"")"),"Свердло цил. хв. 8,0х100")</f>
        <v>Свердло цил. хв. 8,0х100</v>
      </c>
      <c r="C3" s="59" t="s">
        <v>6</v>
      </c>
      <c r="D3" s="59">
        <v>6</v>
      </c>
      <c r="E3" s="91" t="s">
        <v>165</v>
      </c>
    </row>
    <row r="4" spans="1:5">
      <c r="A4" s="21">
        <v>3</v>
      </c>
      <c r="B4" s="85" t="str">
        <f ca="1">IFERROR(__xludf.DUMMYFUNCTION("GOOGLETRANSLATE(B909:B924,""RU"",""UK"")"),"Свердло цил. хв. 10,0х100")</f>
        <v>Свердло цил. хв. 10,0х100</v>
      </c>
      <c r="C4" s="59" t="s">
        <v>6</v>
      </c>
      <c r="D4" s="59">
        <v>5</v>
      </c>
      <c r="E4" s="91" t="s">
        <v>1239</v>
      </c>
    </row>
    <row r="5" spans="1:5">
      <c r="A5" s="21">
        <v>4</v>
      </c>
      <c r="B5" s="85" t="str">
        <f ca="1">IFERROR(__xludf.DUMMYFUNCTION("GOOGLETRANSLATE(B910:B925,""RU"",""UK"")"),"Свердло т/с 25 к/хв")</f>
        <v>Свердло т/с 25 к/хв</v>
      </c>
      <c r="C5" s="59" t="s">
        <v>6</v>
      </c>
      <c r="D5" s="59">
        <v>1</v>
      </c>
      <c r="E5" s="91" t="s">
        <v>1241</v>
      </c>
    </row>
    <row r="6" spans="1:5">
      <c r="A6" s="21">
        <v>6</v>
      </c>
      <c r="B6" s="85" t="str">
        <f ca="1">IFERROR(__xludf.DUMMYFUNCTION("GOOGLETRANSLATE(B911:B926,""RU"",""UK"")"),"Свердло SDS МАХ 10х110 BERG")</f>
        <v>Свердло SDS МАХ 10х110 BERG</v>
      </c>
      <c r="C6" s="59" t="s">
        <v>6</v>
      </c>
      <c r="D6" s="59">
        <v>1</v>
      </c>
      <c r="E6" s="91" t="s">
        <v>319</v>
      </c>
    </row>
    <row r="7" spans="1:5">
      <c r="A7" s="21">
        <v>7</v>
      </c>
      <c r="B7" s="85" t="str">
        <f ca="1">IFERROR(__xludf.DUMMYFUNCTION("GOOGLETRANSLATE(B912:B927,""RU"",""UK"")"),"Свердло SDS+ 24,0x210 DIAGER (Франція)")</f>
        <v>Свердло SDS+ 24,0x210 DIAGER (Франція)</v>
      </c>
      <c r="C7" s="59" t="s">
        <v>6</v>
      </c>
      <c r="D7" s="59">
        <v>1</v>
      </c>
      <c r="E7" s="91" t="s">
        <v>78</v>
      </c>
    </row>
    <row r="8" spans="1:5">
      <c r="A8" s="21">
        <v>8</v>
      </c>
      <c r="B8" s="85" t="str">
        <f ca="1">IFERROR(__xludf.DUMMYFUNCTION("GOOGLETRANSLATE(B913:B928,""RU"",""UK"")"),"Свердло SDS МАХ 14,0х340 DIAGER (Франція)")</f>
        <v>Свердло SDS МАХ 14,0х340 DIAGER (Франція)</v>
      </c>
      <c r="C8" s="59" t="s">
        <v>6</v>
      </c>
      <c r="D8" s="59">
        <v>1</v>
      </c>
      <c r="E8" s="91" t="s">
        <v>1245</v>
      </c>
    </row>
    <row r="9" spans="1:5">
      <c r="A9" s="43"/>
      <c r="B9" s="110" t="str">
        <f ca="1">IFERROR(__xludf.DUMMYFUNCTION("GOOGLETRANSLATE(B914:B929,""RU"",""UK"")"),"11. С В Е Р Д Л А     Ц Е Н Т Р О В О Ч Н І")</f>
        <v>11. С В Е Р Д Л А     Ц Е Н Т Р О В О Ч Н І</v>
      </c>
      <c r="C9" s="33"/>
      <c r="D9" s="33"/>
      <c r="E9" s="95"/>
    </row>
    <row r="10" spans="1:5">
      <c r="A10" s="21">
        <v>1</v>
      </c>
      <c r="B10" s="85" t="str">
        <f ca="1">IFERROR(__xludf.DUMMYFUNCTION("GOOGLETRANSLATE(B915:B930,""RU"",""UK"")"),"Свердло 0,9 ВК6-М")</f>
        <v>Свердло 0,9 ВК6-М</v>
      </c>
      <c r="C10" s="59" t="s">
        <v>6</v>
      </c>
      <c r="D10" s="59">
        <v>9</v>
      </c>
      <c r="E10" s="91" t="s">
        <v>292</v>
      </c>
    </row>
    <row r="11" spans="1:5">
      <c r="A11" s="21">
        <f>A10+1</f>
        <v>2</v>
      </c>
      <c r="B11" s="169" t="str">
        <f ca="1">IFERROR(__xludf.DUMMYFUNCTION("GOOGLETRANSLATE(B916:B931,""RU"",""UK"")"),"Свердло 1,0 d осн.3мм Р6М5")</f>
        <v>Свердло 1,0 d осн.3мм Р6М5</v>
      </c>
      <c r="C11" s="59" t="s">
        <v>6</v>
      </c>
      <c r="D11" s="59">
        <v>11</v>
      </c>
      <c r="E11" s="91" t="s">
        <v>124</v>
      </c>
    </row>
    <row r="12" spans="1:5">
      <c r="A12" s="21">
        <f>A11+1</f>
        <v>3</v>
      </c>
      <c r="B12" s="85" t="str">
        <f ca="1">IFERROR(__xludf.DUMMYFUNCTION("GOOGLETRANSLATE(B916:B931,""RU"",""UK"")"),"Свердло 1,0ВК6-М")</f>
        <v>Свердло 1,0ВК6-М</v>
      </c>
      <c r="C12" s="59" t="s">
        <v>6</v>
      </c>
      <c r="D12" s="59">
        <v>64</v>
      </c>
      <c r="E12" s="91" t="s">
        <v>124</v>
      </c>
    </row>
    <row r="13" spans="1:5">
      <c r="A13" s="21">
        <f t="shared" ref="A13:A17" si="0">A12+1</f>
        <v>4</v>
      </c>
      <c r="B13" s="85" t="str">
        <f ca="1">IFERROR(__xludf.DUMMYFUNCTION("GOOGLETRANSLATE(B917:B932,""RU"",""UK"")"),"Свердло 1,1 ВК6-М")</f>
        <v>Свердло 1,1 ВК6-М</v>
      </c>
      <c r="C13" s="59" t="s">
        <v>6</v>
      </c>
      <c r="D13" s="59">
        <v>84</v>
      </c>
      <c r="E13" s="91" t="s">
        <v>124</v>
      </c>
    </row>
    <row r="14" spans="1:5">
      <c r="A14" s="21">
        <f t="shared" si="0"/>
        <v>5</v>
      </c>
      <c r="B14" s="85" t="str">
        <f ca="1">IFERROR(__xludf.DUMMYFUNCTION("GOOGLETRANSLATE(B918:B933,""RU"",""UK"")"),"Свердло 1,3 ВК6-М")</f>
        <v>Свердло 1,3 ВК6-М</v>
      </c>
      <c r="C14" s="59" t="s">
        <v>6</v>
      </c>
      <c r="D14" s="59">
        <v>20</v>
      </c>
      <c r="E14" s="91" t="s">
        <v>134</v>
      </c>
    </row>
    <row r="15" spans="1:5">
      <c r="A15" s="21">
        <f t="shared" si="0"/>
        <v>6</v>
      </c>
      <c r="B15" s="85" t="str">
        <f ca="1">IFERROR(__xludf.DUMMYFUNCTION("GOOGLETRANSLATE(B918:B933,""RU"",""UK"")"),"Свердло 1,4 ВК6-М")</f>
        <v>Свердло 1,4 ВК6-М</v>
      </c>
      <c r="C15" s="59" t="s">
        <v>6</v>
      </c>
      <c r="D15" s="59">
        <v>29</v>
      </c>
      <c r="E15" s="91" t="s">
        <v>134</v>
      </c>
    </row>
    <row r="16" spans="1:5">
      <c r="A16" s="21">
        <f t="shared" si="0"/>
        <v>7</v>
      </c>
      <c r="B16" s="85" t="str">
        <f ca="1">IFERROR(__xludf.DUMMYFUNCTION("GOOGLETRANSLATE(B918:B933,""RU"",""UK"")"),"Свердло 1,5 ВК6-М")</f>
        <v>Свердло 1,5 ВК6-М</v>
      </c>
      <c r="C16" s="59" t="s">
        <v>6</v>
      </c>
      <c r="D16" s="59">
        <v>20</v>
      </c>
      <c r="E16" s="91">
        <v>35.1</v>
      </c>
    </row>
    <row r="17" spans="1:5">
      <c r="A17" s="21">
        <f t="shared" si="0"/>
        <v>8</v>
      </c>
      <c r="B17" s="85" t="str">
        <f ca="1">IFERROR(__xludf.DUMMYFUNCTION("GOOGLETRANSLATE(B919:B934,""RU"",""UK"")"),"Свердло 1,6 d осн.4мм Р6М5")</f>
        <v>Свердло 1,6 d осн.4мм Р6М5</v>
      </c>
      <c r="C17" s="59" t="s">
        <v>6</v>
      </c>
      <c r="D17" s="59">
        <v>33</v>
      </c>
      <c r="E17" s="91" t="s">
        <v>167</v>
      </c>
    </row>
    <row r="18" spans="1:5">
      <c r="A18" s="21">
        <f>A17+1</f>
        <v>9</v>
      </c>
      <c r="B18" s="85" t="str">
        <f ca="1">IFERROR(__xludf.DUMMYFUNCTION("GOOGLETRANSLATE(B919:B934,""RU"",""UK"")"),"Свердло 1,6ВК6-М")</f>
        <v>Свердло 1,6ВК6-М</v>
      </c>
      <c r="C18" s="59" t="s">
        <v>6</v>
      </c>
      <c r="D18" s="59">
        <v>60</v>
      </c>
      <c r="E18" s="91" t="s">
        <v>167</v>
      </c>
    </row>
    <row r="19" spans="1:5">
      <c r="A19" s="21">
        <f t="shared" ref="A19:A20" si="1">A18+1</f>
        <v>10</v>
      </c>
      <c r="B19" s="85" t="str">
        <f ca="1">IFERROR(__xludf.DUMMYFUNCTION("GOOGLETRANSLATE(B919:B934,""RU"",""UK"")"),"Свердло 1,9ВК6-М")</f>
        <v>Свердло 1,9ВК6-М</v>
      </c>
      <c r="C19" s="59" t="s">
        <v>6</v>
      </c>
      <c r="D19" s="59">
        <v>19</v>
      </c>
      <c r="E19" s="91">
        <v>39</v>
      </c>
    </row>
    <row r="20" spans="1:5">
      <c r="A20" s="21">
        <f t="shared" si="1"/>
        <v>11</v>
      </c>
      <c r="B20" s="85" t="str">
        <f ca="1">IFERROR(__xludf.DUMMYFUNCTION("GOOGLETRANSLATE(B920:B935,""RU"",""UK"")"),"Свердло 2,0Р6М5")</f>
        <v>Свердло 2,0Р6М5</v>
      </c>
      <c r="C20" s="59" t="s">
        <v>6</v>
      </c>
      <c r="D20" s="59">
        <v>237</v>
      </c>
      <c r="E20" s="91" t="s">
        <v>169</v>
      </c>
    </row>
    <row r="21" spans="1:5">
      <c r="A21" s="21">
        <f t="shared" ref="A21:A34" si="2">A20+1</f>
        <v>12</v>
      </c>
      <c r="B21" s="85" t="str">
        <f ca="1">IFERROR(__xludf.DUMMYFUNCTION("GOOGLETRANSLATE(B920:B935,""RU"",""UK"")"),"Свердло 2,0ВК6-М")</f>
        <v>Свердло 2,0ВК6-М</v>
      </c>
      <c r="C21" s="59" t="s">
        <v>6</v>
      </c>
      <c r="D21" s="59">
        <v>6</v>
      </c>
      <c r="E21" s="91" t="s">
        <v>169</v>
      </c>
    </row>
    <row r="22" spans="1:5">
      <c r="A22" s="21">
        <f t="shared" si="2"/>
        <v>13</v>
      </c>
      <c r="B22" s="85" t="str">
        <f ca="1">IFERROR(__xludf.DUMMYFUNCTION("GOOGLETRANSLATE(B921:B936,""RU"",""UK"")"),"Свердло 2,5 d осн.6мм Р6М5")</f>
        <v>Свердло 2,5 d осн.6мм Р6М5</v>
      </c>
      <c r="C22" s="59" t="s">
        <v>6</v>
      </c>
      <c r="D22" s="59">
        <v>21</v>
      </c>
      <c r="E22" s="91">
        <v>45</v>
      </c>
    </row>
    <row r="23" spans="1:5">
      <c r="A23" s="21">
        <f t="shared" si="2"/>
        <v>14</v>
      </c>
      <c r="B23" s="85" t="str">
        <f ca="1">IFERROR(__xludf.DUMMYFUNCTION("GOOGLETRANSLATE(B921:B936,""RU"",""UK"")"),"Свердло 2,5 d осн.12мм Р6М5")</f>
        <v>Свердло 2,5 d осн.12мм Р6М5</v>
      </c>
      <c r="C23" s="59" t="s">
        <v>6</v>
      </c>
      <c r="D23" s="59">
        <v>3</v>
      </c>
      <c r="E23" s="91">
        <v>45</v>
      </c>
    </row>
    <row r="24" spans="1:5">
      <c r="A24" s="21">
        <f t="shared" si="2"/>
        <v>15</v>
      </c>
      <c r="B24" s="169" t="str">
        <f ca="1">IFERROR(__xludf.DUMMYFUNCTION("GOOGLETRANSLATE(B922:B937,""RU"",""UK"")"),"Свердло 3,15 Р6М5")</f>
        <v>Свердло 3,15 Р6М5</v>
      </c>
      <c r="C24" s="59" t="s">
        <v>6</v>
      </c>
      <c r="D24" s="59">
        <v>24</v>
      </c>
      <c r="E24" s="91" t="s">
        <v>255</v>
      </c>
    </row>
    <row r="25" spans="1:5">
      <c r="A25" s="21">
        <f t="shared" si="2"/>
        <v>16</v>
      </c>
      <c r="B25" s="85" t="str">
        <f ca="1">IFERROR(__xludf.DUMMYFUNCTION("GOOGLETRANSLATE(B923:B938,""RU"",""UK"")"),"Свердло 4,0Р6М5")</f>
        <v>Свердло 4,0Р6М5</v>
      </c>
      <c r="C25" s="59" t="s">
        <v>6</v>
      </c>
      <c r="D25" s="59">
        <v>9</v>
      </c>
      <c r="E25" s="91" t="s">
        <v>209</v>
      </c>
    </row>
    <row r="26" spans="1:5">
      <c r="A26" s="21">
        <f t="shared" si="2"/>
        <v>17</v>
      </c>
      <c r="B26" s="85" t="str">
        <f ca="1">IFERROR(__xludf.DUMMYFUNCTION("GOOGLETRANSLATE(B925:B940,""RU"",""UK"")"),"Свердло 5,0 d осн.12,5мм Р6М5")</f>
        <v>Свердло 5,0 d осн.12,5мм Р6М5</v>
      </c>
      <c r="C26" s="59" t="s">
        <v>6</v>
      </c>
      <c r="D26" s="59">
        <v>25</v>
      </c>
      <c r="E26" s="91">
        <v>90</v>
      </c>
    </row>
    <row r="27" spans="1:5">
      <c r="A27" s="21">
        <f t="shared" si="2"/>
        <v>18</v>
      </c>
      <c r="B27" s="169" t="str">
        <f ca="1">IFERROR(__xludf.DUMMYFUNCTION("GOOGLETRANSLATE(B927:B942,""RU"",""UK"")"),"Свердло 5,0 d осн.18мм Р6М5")</f>
        <v>Свердло 5,0 d осн.18мм Р6М5</v>
      </c>
      <c r="C27" s="59" t="s">
        <v>6</v>
      </c>
      <c r="D27" s="160">
        <v>2</v>
      </c>
      <c r="E27" s="91">
        <v>96</v>
      </c>
    </row>
    <row r="28" spans="1:5">
      <c r="A28" s="21">
        <f t="shared" si="2"/>
        <v>19</v>
      </c>
      <c r="B28" s="169" t="str">
        <f ca="1">IFERROR(__xludf.DUMMYFUNCTION("GOOGLETRANSLATE(B927:B942,""RU"",""UK"")"),"Свердло 6,0 d осн.22мм Р9")</f>
        <v>Свердло 6,0 d осн.22мм Р9</v>
      </c>
      <c r="C28" s="59" t="s">
        <v>6</v>
      </c>
      <c r="D28" s="59">
        <v>1</v>
      </c>
      <c r="E28" s="91">
        <v>150</v>
      </c>
    </row>
    <row r="29" spans="1:5">
      <c r="A29" s="21">
        <f t="shared" si="2"/>
        <v>20</v>
      </c>
      <c r="B29" s="169" t="str">
        <f ca="1">IFERROR(__xludf.DUMMYFUNCTION("GOOGLETRANSLATE(B927:B942,""RU"",""UK"")"),"Свердло 6,3 d осн.14мм Р6М5")</f>
        <v>Свердло 6,3 d осн.14мм Р6М5</v>
      </c>
      <c r="C29" s="59" t="s">
        <v>6</v>
      </c>
      <c r="D29" s="160">
        <v>11</v>
      </c>
      <c r="E29" s="91">
        <v>104</v>
      </c>
    </row>
    <row r="30" spans="1:5">
      <c r="A30" s="21">
        <f t="shared" si="2"/>
        <v>21</v>
      </c>
      <c r="B30" s="169" t="str">
        <f ca="1">IFERROR(__xludf.DUMMYFUNCTION("GOOGLETRANSLATE(B927:B942,""RU"",""UK"")"),"Свердло 6,3 d осн.16мм Р6М5")</f>
        <v>Свердло 6,3 d осн.16мм Р6М5</v>
      </c>
      <c r="C30" s="59" t="s">
        <v>6</v>
      </c>
      <c r="D30" s="59">
        <v>11</v>
      </c>
      <c r="E30" s="91">
        <v>120</v>
      </c>
    </row>
    <row r="31" spans="1:5">
      <c r="A31" s="21">
        <f t="shared" si="2"/>
        <v>22</v>
      </c>
      <c r="B31" s="169" t="str">
        <f ca="1">IFERROR(__xludf.DUMMYFUNCTION("GOOGLETRANSLATE(B927:B942,""RU"",""UK"")"),"Свердло 6,3 d осн.18мм Р6М5")</f>
        <v>Свердло 6,3 d осн.18мм Р6М5</v>
      </c>
      <c r="C31" s="59" t="s">
        <v>6</v>
      </c>
      <c r="D31" s="59">
        <v>3</v>
      </c>
      <c r="E31" s="91">
        <v>130</v>
      </c>
    </row>
    <row r="32" spans="1:5">
      <c r="A32" s="21">
        <f t="shared" si="2"/>
        <v>23</v>
      </c>
      <c r="B32" s="169" t="str">
        <f ca="1">IFERROR(__xludf.DUMMYFUNCTION("GOOGLETRANSLATE(B927:B942,""RU"",""UK"")"),"Свердло 6,3 d осн.20мм Р6М5")</f>
        <v>Свердло 6,3 d осн.20мм Р6М5</v>
      </c>
      <c r="C32" s="59" t="s">
        <v>6</v>
      </c>
      <c r="D32" s="59">
        <v>9</v>
      </c>
      <c r="E32" s="91">
        <v>150</v>
      </c>
    </row>
    <row r="33" spans="1:5">
      <c r="A33" s="21">
        <f t="shared" si="2"/>
        <v>24</v>
      </c>
      <c r="B33" s="169" t="str">
        <f ca="1">IFERROR(__xludf.DUMMYFUNCTION("GOOGLETRANSLATE(B927:B942,""RU"",""UK"")"),"Свердло 6,3 d осн.25мм Р6М5")</f>
        <v>Свердло 6,3 d осн.25мм Р6М5</v>
      </c>
      <c r="C33" s="59" t="s">
        <v>6</v>
      </c>
      <c r="D33" s="59">
        <v>3</v>
      </c>
      <c r="E33" s="91">
        <v>170</v>
      </c>
    </row>
    <row r="34" spans="1:5">
      <c r="A34" s="21">
        <f t="shared" si="2"/>
        <v>25</v>
      </c>
      <c r="B34" s="85" t="str">
        <f ca="1">IFERROR(__xludf.DUMMYFUNCTION("GOOGLETRANSLATE(B931:B946,""RU"",""UK"")"),"Свердло 6,3 d осн. 14мм Р18 односторонне")</f>
        <v>Свердло 6,3 d осн. 14мм Р18 односторонне</v>
      </c>
      <c r="C34" s="59" t="s">
        <v>6</v>
      </c>
      <c r="D34" s="59">
        <v>12</v>
      </c>
      <c r="E34" s="91" t="s">
        <v>226</v>
      </c>
    </row>
    <row r="35" spans="1:5">
      <c r="A35" s="21">
        <f t="shared" ref="A35" si="3">A34+1</f>
        <v>26</v>
      </c>
      <c r="B35" s="85" t="str">
        <f ca="1">IFERROR(__xludf.DUMMYFUNCTION("GOOGLETRANSLATE(B932:B947,""RU"",""UK"")"),"Свердло 12 Р6М5 СРСР")</f>
        <v>Свердло 12 Р6М5 СРСР</v>
      </c>
      <c r="C35" s="59" t="s">
        <v>6</v>
      </c>
      <c r="D35" s="59">
        <v>6</v>
      </c>
      <c r="E35" s="91" t="s">
        <v>140</v>
      </c>
    </row>
    <row r="36" spans="1:5">
      <c r="A36" s="22"/>
      <c r="B36" s="110" t="str">
        <f ca="1">IFERROR(__xludf.DUMMYFUNCTION("GOOGLETRANSLATE(B933:B948,""RU"",""UK"")"),"12. С В І Р Д Л А   Л І В І   ЦИЛ. ХВ. Р6М5")</f>
        <v>12. С В І Р Д Л А   Л І В І   ЦИЛ. ХВ. Р6М5</v>
      </c>
      <c r="C36" s="29"/>
      <c r="D36" s="29"/>
      <c r="E36" s="95"/>
    </row>
    <row r="37" spans="1:5">
      <c r="A37" s="21">
        <v>1</v>
      </c>
      <c r="B37" s="85" t="str">
        <f ca="1">IFERROR(__xludf.DUMMYFUNCTION("GOOGLETRANSLATE(B934:B949,""RU"",""UK"")"),"Свердло ліве 0,4мм")</f>
        <v>Свердло ліве 0,4мм</v>
      </c>
      <c r="C37" s="59" t="s">
        <v>6</v>
      </c>
      <c r="D37" s="59">
        <v>41</v>
      </c>
      <c r="E37" s="91" t="s">
        <v>1274</v>
      </c>
    </row>
    <row r="38" spans="1:5">
      <c r="A38" s="21">
        <f>A37+1</f>
        <v>2</v>
      </c>
      <c r="B38" s="85" t="str">
        <f ca="1">IFERROR(__xludf.DUMMYFUNCTION("GOOGLETRANSLATE(B935:B950,""RU"",""UK"")"),"Свердло ліве 1,2мм")</f>
        <v>Свердло ліве 1,2мм</v>
      </c>
      <c r="C38" s="59" t="s">
        <v>6</v>
      </c>
      <c r="D38" s="59">
        <v>64</v>
      </c>
      <c r="E38" s="91" t="s">
        <v>1277</v>
      </c>
    </row>
    <row r="39" spans="1:5">
      <c r="A39" s="21">
        <f t="shared" ref="A39:A82" si="4">A38+1</f>
        <v>3</v>
      </c>
      <c r="B39" s="85" t="str">
        <f ca="1">IFERROR(__xludf.DUMMYFUNCTION("GOOGLETRANSLATE(B936:B951,""RU"",""UK"")"),"Свердло ліве 1,2мм удл")</f>
        <v>Свердло ліве 1,2мм удл</v>
      </c>
      <c r="C39" s="59" t="s">
        <v>6</v>
      </c>
      <c r="D39" s="59">
        <v>3</v>
      </c>
      <c r="E39" s="91" t="s">
        <v>1279</v>
      </c>
    </row>
    <row r="40" spans="1:5">
      <c r="A40" s="21">
        <f t="shared" si="4"/>
        <v>4</v>
      </c>
      <c r="B40" s="85" t="str">
        <f ca="1">IFERROR(__xludf.DUMMYFUNCTION("GOOGLETRANSLATE(B935:B950,""RU"",""UK"")"),"Свердло ліве 1.3мм")</f>
        <v>Свердло ліве 1.3мм</v>
      </c>
      <c r="C40" s="59" t="s">
        <v>6</v>
      </c>
      <c r="D40" s="59">
        <v>95</v>
      </c>
      <c r="E40" s="91" t="s">
        <v>1277</v>
      </c>
    </row>
    <row r="41" spans="1:5">
      <c r="A41" s="21">
        <f t="shared" si="4"/>
        <v>5</v>
      </c>
      <c r="B41" s="85" t="str">
        <f ca="1">IFERROR(__xludf.DUMMYFUNCTION("GOOGLETRANSLATE(B937:B952,""RU"",""UK"")"),"Свердло ліве 1,4мм")</f>
        <v>Свердло ліве 1,4мм</v>
      </c>
      <c r="C41" s="59" t="s">
        <v>6</v>
      </c>
      <c r="D41" s="59">
        <v>28</v>
      </c>
      <c r="E41" s="91" t="s">
        <v>1282</v>
      </c>
    </row>
    <row r="42" spans="1:5">
      <c r="A42" s="21">
        <f t="shared" si="4"/>
        <v>6</v>
      </c>
      <c r="B42" s="85" t="str">
        <f ca="1">IFERROR(__xludf.DUMMYFUNCTION("GOOGLETRANSLATE(B937:B952,""RU"",""UK"")"),"Свердло ліве 1,5мм")</f>
        <v>Свердло ліве 1,5мм</v>
      </c>
      <c r="C42" s="59" t="s">
        <v>6</v>
      </c>
      <c r="D42" s="59">
        <v>163</v>
      </c>
      <c r="E42" s="91" t="s">
        <v>1282</v>
      </c>
    </row>
    <row r="43" spans="1:5">
      <c r="A43" s="21">
        <f t="shared" si="4"/>
        <v>7</v>
      </c>
      <c r="B43" s="85" t="str">
        <f ca="1">IFERROR(__xludf.DUMMYFUNCTION("GOOGLETRANSLATE(B938:B953,""RU"",""UK"")"),"Свердло ліве 1,6мм")</f>
        <v>Свердло ліве 1,6мм</v>
      </c>
      <c r="C43" s="59" t="s">
        <v>6</v>
      </c>
      <c r="D43" s="59">
        <v>51</v>
      </c>
      <c r="E43" s="91" t="s">
        <v>1285</v>
      </c>
    </row>
    <row r="44" spans="1:5">
      <c r="A44" s="21">
        <f t="shared" si="4"/>
        <v>8</v>
      </c>
      <c r="B44" s="85" t="str">
        <f ca="1">IFERROR(__xludf.DUMMYFUNCTION("GOOGLETRANSLATE(B938:B953,""RU"",""UK"")"),"Свердло ліве 1.7мм")</f>
        <v>Свердло ліве 1.7мм</v>
      </c>
      <c r="C44" s="59" t="s">
        <v>6</v>
      </c>
      <c r="D44" s="59">
        <v>111</v>
      </c>
      <c r="E44" s="91" t="s">
        <v>1285</v>
      </c>
    </row>
    <row r="45" spans="1:5">
      <c r="A45" s="21">
        <f t="shared" si="4"/>
        <v>9</v>
      </c>
      <c r="B45" s="85" t="str">
        <f ca="1">IFERROR(__xludf.DUMMYFUNCTION("GOOGLETRANSLATE(B939:B954,""RU"",""UK"")"),"Свердло ліве 2,0 мм")</f>
        <v>Свердло ліве 2,0 мм</v>
      </c>
      <c r="C45" s="59" t="s">
        <v>6</v>
      </c>
      <c r="D45" s="59">
        <v>478</v>
      </c>
      <c r="E45" s="91" t="s">
        <v>1287</v>
      </c>
    </row>
    <row r="46" spans="1:5">
      <c r="A46" s="21">
        <f t="shared" si="4"/>
        <v>10</v>
      </c>
      <c r="B46" s="85" t="str">
        <f ca="1">IFERROR(__xludf.DUMMYFUNCTION("GOOGLETRANSLATE(B940:B955,""RU"",""UK"")"),"Свердло ліве 2,3мм")</f>
        <v>Свердло ліве 2,3мм</v>
      </c>
      <c r="C46" s="59" t="s">
        <v>6</v>
      </c>
      <c r="D46" s="59">
        <v>26</v>
      </c>
      <c r="E46" s="91" t="s">
        <v>1289</v>
      </c>
    </row>
    <row r="47" spans="1:5">
      <c r="A47" s="21">
        <f t="shared" si="4"/>
        <v>11</v>
      </c>
      <c r="B47" s="85" t="str">
        <f ca="1">IFERROR(__xludf.DUMMYFUNCTION("GOOGLETRANSLATE(B941:B956,""RU"",""UK"")"),"Свердло ліве 2.4мм")</f>
        <v>Свердло ліве 2.4мм</v>
      </c>
      <c r="C47" s="59" t="s">
        <v>6</v>
      </c>
      <c r="D47" s="59">
        <v>191</v>
      </c>
      <c r="E47" s="91" t="s">
        <v>1292</v>
      </c>
    </row>
    <row r="48" spans="1:5">
      <c r="A48" s="21">
        <f t="shared" si="4"/>
        <v>12</v>
      </c>
      <c r="B48" s="85" t="str">
        <f ca="1">IFERROR(__xludf.DUMMYFUNCTION("GOOGLETRANSLATE(B941:B956,""RU"",""UK"")"),"Свердло ліве 2,75мм")</f>
        <v>Свердло ліве 2,75мм</v>
      </c>
      <c r="C48" s="59" t="s">
        <v>6</v>
      </c>
      <c r="D48" s="59">
        <v>94</v>
      </c>
      <c r="E48" s="91" t="s">
        <v>1292</v>
      </c>
    </row>
    <row r="49" spans="1:5">
      <c r="A49" s="21">
        <f t="shared" si="4"/>
        <v>13</v>
      </c>
      <c r="B49" s="85" t="str">
        <f ca="1">IFERROR(__xludf.DUMMYFUNCTION("GOOGLETRANSLATE(B942:B957,""RU"",""UK"")"),"Свердло ліве 3,0мм")</f>
        <v>Свердло ліве 3,0мм</v>
      </c>
      <c r="C49" s="59" t="s">
        <v>6</v>
      </c>
      <c r="D49" s="59">
        <v>140</v>
      </c>
      <c r="E49" s="91" t="s">
        <v>1294</v>
      </c>
    </row>
    <row r="50" spans="1:5">
      <c r="A50" s="21">
        <f t="shared" si="4"/>
        <v>14</v>
      </c>
      <c r="B50" s="85" t="str">
        <f ca="1">IFERROR(__xludf.DUMMYFUNCTION("GOOGLETRANSLATE(B943:B958,""RU"",""UK"")"),"Свердло ліве 4,0мм")</f>
        <v>Свердло ліве 4,0мм</v>
      </c>
      <c r="C50" s="59" t="s">
        <v>6</v>
      </c>
      <c r="D50" s="59">
        <v>54</v>
      </c>
      <c r="E50" s="91" t="s">
        <v>682</v>
      </c>
    </row>
    <row r="51" spans="1:5">
      <c r="A51" s="21">
        <f t="shared" si="4"/>
        <v>15</v>
      </c>
      <c r="B51" s="85" t="str">
        <f ca="1">IFERROR(__xludf.DUMMYFUNCTION("GOOGLETRANSLATE(B943:B958,""RU"",""UK"")"),"Свердло ліве 4,1мм")</f>
        <v>Свердло ліве 4,1мм</v>
      </c>
      <c r="C51" s="59" t="s">
        <v>6</v>
      </c>
      <c r="D51" s="160">
        <v>26</v>
      </c>
      <c r="E51" s="91" t="s">
        <v>682</v>
      </c>
    </row>
    <row r="52" spans="1:5">
      <c r="A52" s="21">
        <f t="shared" si="4"/>
        <v>16</v>
      </c>
      <c r="B52" s="85" t="str">
        <f ca="1">IFERROR(__xludf.DUMMYFUNCTION("GOOGLETRANSLATE(B943:B958,""RU"",""UK"")"),"Свердло ліве 4,4мм")</f>
        <v>Свердло ліве 4,4мм</v>
      </c>
      <c r="C52" s="59" t="s">
        <v>6</v>
      </c>
      <c r="D52" s="160">
        <v>3</v>
      </c>
      <c r="E52" s="91" t="s">
        <v>682</v>
      </c>
    </row>
    <row r="53" spans="1:5">
      <c r="A53" s="21">
        <f t="shared" si="4"/>
        <v>17</v>
      </c>
      <c r="B53" s="85" t="str">
        <f ca="1">IFERROR(__xludf.DUMMYFUNCTION("GOOGLETRANSLATE(B944:B959,""RU"",""UK"")"),"Свердло ліве 5,1мм")</f>
        <v>Свердло ліве 5,1мм</v>
      </c>
      <c r="C53" s="59" t="s">
        <v>6</v>
      </c>
      <c r="D53" s="59">
        <v>117</v>
      </c>
      <c r="E53" s="91" t="s">
        <v>1299</v>
      </c>
    </row>
    <row r="54" spans="1:5">
      <c r="A54" s="21">
        <f t="shared" si="4"/>
        <v>18</v>
      </c>
      <c r="B54" s="85" t="str">
        <f ca="1">IFERROR(__xludf.DUMMYFUNCTION("GOOGLETRANSLATE(B944:B959,""RU"",""UK"")"),"Свердло ліве 5,2мм")</f>
        <v>Свердло ліве 5,2мм</v>
      </c>
      <c r="C54" s="59" t="s">
        <v>6</v>
      </c>
      <c r="D54" s="59">
        <v>10</v>
      </c>
      <c r="E54" s="91" t="s">
        <v>1299</v>
      </c>
    </row>
    <row r="55" spans="1:5">
      <c r="A55" s="21">
        <f t="shared" si="4"/>
        <v>19</v>
      </c>
      <c r="B55" s="85" t="str">
        <f ca="1">IFERROR(__xludf.DUMMYFUNCTION("GOOGLETRANSLATE(B945:B960,""RU"",""UK"")"),"Свердло ліве 5.5 мм")</f>
        <v>Свердло ліве 5.5 мм</v>
      </c>
      <c r="C55" s="59" t="s">
        <v>6</v>
      </c>
      <c r="D55" s="59">
        <v>79</v>
      </c>
      <c r="E55" s="91" t="s">
        <v>1301</v>
      </c>
    </row>
    <row r="56" spans="1:5">
      <c r="A56" s="21">
        <f t="shared" si="4"/>
        <v>20</v>
      </c>
      <c r="B56" s="85" t="str">
        <f ca="1">IFERROR(__xludf.DUMMYFUNCTION("GOOGLETRANSLATE(B946:B961,""RU"",""UK"")"),"Свердло ліве 6,0мм")</f>
        <v>Свердло ліве 6,0мм</v>
      </c>
      <c r="C56" s="59" t="s">
        <v>6</v>
      </c>
      <c r="D56" s="59">
        <v>27</v>
      </c>
      <c r="E56" s="91" t="s">
        <v>134</v>
      </c>
    </row>
    <row r="57" spans="1:5">
      <c r="A57" s="21">
        <f t="shared" si="4"/>
        <v>21</v>
      </c>
      <c r="B57" s="85" t="str">
        <f ca="1">IFERROR(__xludf.DUMMYFUNCTION("GOOGLETRANSLATE(B946:B961,""RU"",""UK"")"),"Свердло ліве 6,2мм")</f>
        <v>Свердло ліве 6,2мм</v>
      </c>
      <c r="C57" s="59" t="s">
        <v>6</v>
      </c>
      <c r="D57" s="59">
        <v>180</v>
      </c>
      <c r="E57" s="91" t="s">
        <v>134</v>
      </c>
    </row>
    <row r="58" spans="1:5">
      <c r="A58" s="21">
        <f t="shared" si="4"/>
        <v>22</v>
      </c>
      <c r="B58" s="85" t="str">
        <f ca="1">IFERROR(__xludf.DUMMYFUNCTION("GOOGLETRANSLATE(B946:B961,""RU"",""UK"")"),"Свердло ліве 6.4мм")</f>
        <v>Свердло ліве 6.4мм</v>
      </c>
      <c r="C58" s="59" t="s">
        <v>6</v>
      </c>
      <c r="D58" s="59">
        <v>13</v>
      </c>
      <c r="E58" s="91" t="s">
        <v>134</v>
      </c>
    </row>
    <row r="59" spans="1:5">
      <c r="A59" s="21">
        <f>A58+1</f>
        <v>23</v>
      </c>
      <c r="B59" s="85" t="str">
        <f ca="1">IFERROR(__xludf.DUMMYFUNCTION("GOOGLETRANSLATE(B947:B962,""RU"",""UK"")"),"Свердло ліве 6,5 мм")</f>
        <v>Свердло ліве 6,5 мм</v>
      </c>
      <c r="C59" s="59" t="s">
        <v>6</v>
      </c>
      <c r="D59" s="59">
        <v>69</v>
      </c>
      <c r="E59" s="91" t="s">
        <v>169</v>
      </c>
    </row>
    <row r="60" spans="1:5">
      <c r="A60" s="21">
        <f t="shared" si="4"/>
        <v>24</v>
      </c>
      <c r="B60" s="85" t="str">
        <f ca="1">IFERROR(__xludf.DUMMYFUNCTION("GOOGLETRANSLATE(B947:B962,""RU"",""UK"")"),"Свердло ліве 6.7 мм")</f>
        <v>Свердло ліве 6.7 мм</v>
      </c>
      <c r="C60" s="59" t="s">
        <v>6</v>
      </c>
      <c r="D60" s="59">
        <v>40</v>
      </c>
      <c r="E60" s="91" t="s">
        <v>169</v>
      </c>
    </row>
    <row r="61" spans="1:5">
      <c r="A61" s="21">
        <f t="shared" si="4"/>
        <v>25</v>
      </c>
      <c r="B61" s="85" t="str">
        <f ca="1">IFERROR(__xludf.DUMMYFUNCTION("GOOGLETRANSLATE(B948:B963,""RU"",""UK"")"),"Свердло ліве 7.1мм")</f>
        <v>Свердло ліве 7.1мм</v>
      </c>
      <c r="C61" s="59" t="s">
        <v>6</v>
      </c>
      <c r="D61" s="59">
        <v>29</v>
      </c>
      <c r="E61" s="91" t="s">
        <v>201</v>
      </c>
    </row>
    <row r="62" spans="1:5">
      <c r="A62" s="21">
        <f t="shared" si="4"/>
        <v>26</v>
      </c>
      <c r="B62" s="85" t="str">
        <f ca="1">IFERROR(__xludf.DUMMYFUNCTION("GOOGLETRANSLATE(B948:B963,""RU"",""UK"")"),"Свердло ліве 7,7мм")</f>
        <v>Свердло ліве 7,7мм</v>
      </c>
      <c r="C62" s="59" t="s">
        <v>6</v>
      </c>
      <c r="D62" s="59">
        <v>3</v>
      </c>
      <c r="E62" s="91" t="s">
        <v>201</v>
      </c>
    </row>
    <row r="63" spans="1:5">
      <c r="A63" s="21">
        <f t="shared" si="4"/>
        <v>27</v>
      </c>
      <c r="B63" s="85" t="str">
        <f ca="1">IFERROR(__xludf.DUMMYFUNCTION("GOOGLETRANSLATE(B949:B964,""RU"",""UK"")"),"Свердло ліве 8.0мм")</f>
        <v>Свердло ліве 8.0мм</v>
      </c>
      <c r="C63" s="59" t="s">
        <v>6</v>
      </c>
      <c r="D63" s="59">
        <v>42</v>
      </c>
      <c r="E63" s="91" t="s">
        <v>314</v>
      </c>
    </row>
    <row r="64" spans="1:5">
      <c r="A64" s="21">
        <f t="shared" si="4"/>
        <v>28</v>
      </c>
      <c r="B64" s="85" t="str">
        <f ca="1">IFERROR(__xludf.DUMMYFUNCTION("GOOGLETRANSLATE(B950:B965,""RU"",""UK"")"),"Свердло ліве 8.1мм")</f>
        <v>Свердло ліве 8.1мм</v>
      </c>
      <c r="C64" s="59" t="s">
        <v>6</v>
      </c>
      <c r="D64" s="59">
        <v>63</v>
      </c>
      <c r="E64" s="91" t="s">
        <v>1186</v>
      </c>
    </row>
    <row r="65" spans="1:5">
      <c r="A65" s="21">
        <f t="shared" si="4"/>
        <v>29</v>
      </c>
      <c r="B65" s="85" t="str">
        <f ca="1">IFERROR(__xludf.DUMMYFUNCTION("GOOGLETRANSLATE(B950:B965,""RU"",""UK"")"),"Свердло ліве 8,3мм")</f>
        <v>Свердло ліве 8,3мм</v>
      </c>
      <c r="C65" s="59" t="s">
        <v>6</v>
      </c>
      <c r="D65" s="59">
        <v>2</v>
      </c>
      <c r="E65" s="91" t="s">
        <v>1186</v>
      </c>
    </row>
    <row r="66" spans="1:5">
      <c r="A66" s="21">
        <f t="shared" si="4"/>
        <v>30</v>
      </c>
      <c r="B66" s="85" t="str">
        <f ca="1">IFERROR(__xludf.DUMMYFUNCTION("GOOGLETRANSLATE(B951:B966,""RU"",""UK"")"),"Свердло ліве 8.4мм")</f>
        <v>Свердло ліве 8.4мм</v>
      </c>
      <c r="C66" s="59" t="s">
        <v>6</v>
      </c>
      <c r="D66" s="59">
        <v>1</v>
      </c>
      <c r="E66" s="91" t="s">
        <v>596</v>
      </c>
    </row>
    <row r="67" spans="1:5">
      <c r="A67" s="21">
        <f t="shared" si="4"/>
        <v>31</v>
      </c>
      <c r="B67" s="85" t="str">
        <f ca="1">IFERROR(__xludf.DUMMYFUNCTION("GOOGLETRANSLATE(B951:B966,""RU"",""UK"")"),"Свердло ліве 8,8мм")</f>
        <v>Свердло ліве 8,8мм</v>
      </c>
      <c r="C67" s="59" t="s">
        <v>6</v>
      </c>
      <c r="D67" s="59">
        <v>50</v>
      </c>
      <c r="E67" s="91" t="s">
        <v>596</v>
      </c>
    </row>
    <row r="68" spans="1:5">
      <c r="A68" s="21">
        <f t="shared" si="4"/>
        <v>32</v>
      </c>
      <c r="B68" s="85" t="str">
        <f ca="1">IFERROR(__xludf.DUMMYFUNCTION("GOOGLETRANSLATE(B952:B967,""RU"",""UK"")"),"Свердло ліве 9,3мм")</f>
        <v>Свердло ліве 9,3мм</v>
      </c>
      <c r="C68" s="59" t="s">
        <v>6</v>
      </c>
      <c r="D68" s="59">
        <v>18</v>
      </c>
      <c r="E68" s="91" t="s">
        <v>209</v>
      </c>
    </row>
    <row r="69" spans="1:5">
      <c r="A69" s="21">
        <f>A68+1</f>
        <v>33</v>
      </c>
      <c r="B69" s="85" t="str">
        <f ca="1">IFERROR(__xludf.DUMMYFUNCTION("GOOGLETRANSLATE(B953:B968,""RU"",""UK"")"),"Свердло ліве 10,2мм")</f>
        <v>Свердло ліве 10,2мм</v>
      </c>
      <c r="C69" s="59" t="s">
        <v>6</v>
      </c>
      <c r="D69" s="59">
        <v>27</v>
      </c>
      <c r="E69" s="91">
        <v>120</v>
      </c>
    </row>
    <row r="70" spans="1:5">
      <c r="A70" s="21">
        <f t="shared" si="4"/>
        <v>34</v>
      </c>
      <c r="B70" s="85" t="str">
        <f ca="1">IFERROR(__xludf.DUMMYFUNCTION("GOOGLETRANSLATE(B953:B968,""RU"",""UK"")"),"Свердло ліве 10,5мм")</f>
        <v>Свердло ліве 10,5мм</v>
      </c>
      <c r="C70" s="59" t="s">
        <v>6</v>
      </c>
      <c r="D70" s="59">
        <v>42</v>
      </c>
      <c r="E70" s="91">
        <v>120</v>
      </c>
    </row>
    <row r="71" spans="1:5">
      <c r="A71" s="21">
        <f t="shared" si="4"/>
        <v>35</v>
      </c>
      <c r="B71" s="85" t="str">
        <f ca="1">IFERROR(__xludf.DUMMYFUNCTION("GOOGLETRANSLATE(B954:B969,""RU"",""UK"")"),"Свердло ліве 12.0мм")</f>
        <v>Свердло ліве 12.0мм</v>
      </c>
      <c r="C71" s="59" t="s">
        <v>6</v>
      </c>
      <c r="D71" s="59">
        <v>3</v>
      </c>
      <c r="E71" s="91">
        <v>171</v>
      </c>
    </row>
    <row r="72" spans="1:5">
      <c r="A72" s="21">
        <f t="shared" si="4"/>
        <v>36</v>
      </c>
      <c r="B72" s="85" t="str">
        <f ca="1">IFERROR(__xludf.DUMMYFUNCTION("GOOGLETRANSLATE(B954:B969,""RU"",""UK"")"),"Свердло ліве 12,2мм")</f>
        <v>Свердло ліве 12,2мм</v>
      </c>
      <c r="C72" s="59" t="s">
        <v>6</v>
      </c>
      <c r="D72" s="59">
        <v>1</v>
      </c>
      <c r="E72" s="91">
        <v>171</v>
      </c>
    </row>
    <row r="73" spans="1:5">
      <c r="A73" s="21">
        <f t="shared" si="4"/>
        <v>37</v>
      </c>
      <c r="B73" s="85" t="str">
        <f ca="1">IFERROR(__xludf.DUMMYFUNCTION("GOOGLETRANSLATE(B955:B970,""RU"",""UK"")"),"Свердло ліве 14,0мм")</f>
        <v>Свердло ліве 14,0мм</v>
      </c>
      <c r="C73" s="59" t="s">
        <v>6</v>
      </c>
      <c r="D73" s="59">
        <v>8</v>
      </c>
      <c r="E73" s="91">
        <v>180</v>
      </c>
    </row>
    <row r="74" spans="1:5">
      <c r="A74" s="21">
        <f t="shared" si="4"/>
        <v>38</v>
      </c>
      <c r="B74" s="85" t="str">
        <f ca="1">IFERROR(__xludf.DUMMYFUNCTION("GOOGLETRANSLATE(B955:B970,""RU"",""UK"")"),"Свердло ліве 14.5мм")</f>
        <v>Свердло ліве 14.5мм</v>
      </c>
      <c r="C74" s="59" t="s">
        <v>6</v>
      </c>
      <c r="D74" s="59">
        <v>1</v>
      </c>
      <c r="E74" s="91">
        <v>180</v>
      </c>
    </row>
    <row r="75" spans="1:5">
      <c r="A75" s="21">
        <f t="shared" si="4"/>
        <v>39</v>
      </c>
      <c r="B75" s="85" t="str">
        <f ca="1">IFERROR(__xludf.DUMMYFUNCTION("GOOGLETRANSLATE(B956:B971,""RU"",""UK"")"),"Свердло ліве 15,0 мм")</f>
        <v>Свердло ліве 15,0 мм</v>
      </c>
      <c r="C75" s="59" t="s">
        <v>6</v>
      </c>
      <c r="D75" s="59">
        <v>15</v>
      </c>
      <c r="E75" s="91">
        <v>186</v>
      </c>
    </row>
    <row r="76" spans="1:5">
      <c r="A76" s="21">
        <f t="shared" si="4"/>
        <v>40</v>
      </c>
      <c r="B76" s="85" t="str">
        <f ca="1">IFERROR(__xludf.DUMMYFUNCTION("GOOGLETRANSLATE(B957:B972,""RU"",""UK"")"),"Свердло ліве 16,0мм")</f>
        <v>Свердло ліве 16,0мм</v>
      </c>
      <c r="C76" s="59" t="s">
        <v>6</v>
      </c>
      <c r="D76" s="59">
        <v>21</v>
      </c>
      <c r="E76" s="91">
        <v>190</v>
      </c>
    </row>
    <row r="77" spans="1:5">
      <c r="A77" s="21">
        <f t="shared" si="4"/>
        <v>41</v>
      </c>
      <c r="B77" s="85" t="str">
        <f ca="1">IFERROR(__xludf.DUMMYFUNCTION("GOOGLETRANSLATE(B957:B972,""RU"",""UK"")"),"Свердло ліве 16,5мм")</f>
        <v>Свердло ліве 16,5мм</v>
      </c>
      <c r="C77" s="59" t="s">
        <v>6</v>
      </c>
      <c r="D77" s="59">
        <v>19</v>
      </c>
      <c r="E77" s="91">
        <v>190</v>
      </c>
    </row>
    <row r="78" spans="1:5">
      <c r="A78" s="21">
        <f t="shared" si="4"/>
        <v>42</v>
      </c>
      <c r="B78" s="85" t="str">
        <f ca="1">IFERROR(__xludf.DUMMYFUNCTION("GOOGLETRANSLATE(B958:B973,""RU"",""UK"")"),"Свердло ліве 17,0мм")</f>
        <v>Свердло ліве 17,0мм</v>
      </c>
      <c r="C78" s="59" t="s">
        <v>6</v>
      </c>
      <c r="D78" s="59">
        <v>42</v>
      </c>
      <c r="E78" s="91">
        <v>200</v>
      </c>
    </row>
    <row r="79" spans="1:5">
      <c r="A79" s="21">
        <f t="shared" si="4"/>
        <v>43</v>
      </c>
      <c r="B79" s="85" t="str">
        <f ca="1">IFERROR(__xludf.DUMMYFUNCTION("GOOGLETRANSLATE(B958:B973,""RU"",""UK"")"),"Свердло ліве 17,5мм")</f>
        <v>Свердло ліве 17,5мм</v>
      </c>
      <c r="C79" s="59" t="s">
        <v>6</v>
      </c>
      <c r="D79" s="59">
        <v>31</v>
      </c>
      <c r="E79" s="91">
        <v>200</v>
      </c>
    </row>
    <row r="80" spans="1:5">
      <c r="A80" s="21">
        <f t="shared" si="4"/>
        <v>44</v>
      </c>
      <c r="B80" s="85" t="str">
        <f ca="1">IFERROR(__xludf.DUMMYFUNCTION("GOOGLETRANSLATE(B959:B974,""RU"",""UK"")"),"Свердло ліве 19,0мм")</f>
        <v>Свердло ліве 19,0мм</v>
      </c>
      <c r="C80" s="59" t="s">
        <v>6</v>
      </c>
      <c r="D80" s="59">
        <v>7</v>
      </c>
      <c r="E80" s="91">
        <v>210</v>
      </c>
    </row>
    <row r="81" spans="1:5">
      <c r="A81" s="21">
        <f t="shared" si="4"/>
        <v>45</v>
      </c>
      <c r="B81" s="85" t="str">
        <f ca="1">IFERROR(__xludf.DUMMYFUNCTION("GOOGLETRANSLATE(B959:B974,""RU"",""UK"")"),"Свердло ліве 19,75мм")</f>
        <v>Свердло ліве 19,75мм</v>
      </c>
      <c r="C81" s="59" t="s">
        <v>6</v>
      </c>
      <c r="D81" s="59">
        <v>2</v>
      </c>
      <c r="E81" s="91">
        <v>210</v>
      </c>
    </row>
    <row r="82" spans="1:5">
      <c r="A82" s="21">
        <f t="shared" si="4"/>
        <v>46</v>
      </c>
      <c r="B82" s="85" t="str">
        <f ca="1">IFERROR(__xludf.DUMMYFUNCTION("GOOGLETRANSLATE(B959:B974,""RU"",""UK"")"),"Свердло ліве 20.0мм")</f>
        <v>Свердло ліве 20.0мм</v>
      </c>
      <c r="C82" s="59" t="s">
        <v>6</v>
      </c>
      <c r="D82" s="59">
        <v>6</v>
      </c>
      <c r="E82" s="91">
        <v>210</v>
      </c>
    </row>
    <row r="83" spans="1:5">
      <c r="A83" s="22"/>
      <c r="B83" s="110" t="str">
        <f ca="1">IFERROR(__xludf.DUMMYFUNCTION("GOOGLETRANSLATE(B960:B975,""RU"",""UK"")"),"13. СВЕРДЛА ЦИЛ./ХВ. - Р6М5, Р6М5К5, р9, Р18")</f>
        <v>13. СВЕРДЛА ЦИЛ./ХВ. - Р6М5, Р6М5К5, р9, Р18</v>
      </c>
      <c r="C83" s="29"/>
      <c r="D83" s="29"/>
      <c r="E83" s="95"/>
    </row>
    <row r="84" spans="1:5">
      <c r="A84" s="21">
        <v>1</v>
      </c>
      <c r="B84" s="85" t="str">
        <f ca="1">IFERROR(__xludf.DUMMYFUNCTION("GOOGLETRANSLATE(B961:B976,""RU"",""UK"")"),"Свердло 0,2 Р6М5")</f>
        <v>Свердло 0,2 Р6М5</v>
      </c>
      <c r="C84" s="59" t="s">
        <v>6</v>
      </c>
      <c r="D84" s="59">
        <v>35</v>
      </c>
      <c r="E84" s="91" t="s">
        <v>646</v>
      </c>
    </row>
    <row r="85" spans="1:5">
      <c r="A85" s="21">
        <f>A84+1</f>
        <v>2</v>
      </c>
      <c r="B85" s="85" t="str">
        <f ca="1">IFERROR(__xludf.DUMMYFUNCTION("GOOGLETRANSLATE(B961:B976,""RU"",""UK"")"),"Свердло 0.25 Р6М5")</f>
        <v>Свердло 0.25 Р6М5</v>
      </c>
      <c r="C85" s="59" t="s">
        <v>6</v>
      </c>
      <c r="D85" s="59">
        <v>752</v>
      </c>
      <c r="E85" s="91" t="s">
        <v>646</v>
      </c>
    </row>
    <row r="86" spans="1:5">
      <c r="A86" s="21">
        <f t="shared" ref="A86:A103" si="5">A85+1</f>
        <v>3</v>
      </c>
      <c r="B86" s="85" t="str">
        <f ca="1">IFERROR(__xludf.DUMMYFUNCTION("GOOGLETRANSLATE(B961:B976,""RU"",""UK"")"),"Свердло 0,3 Р6М5")</f>
        <v>Свердло 0,3 Р6М5</v>
      </c>
      <c r="C86" s="59" t="s">
        <v>6</v>
      </c>
      <c r="D86" s="59">
        <v>451</v>
      </c>
      <c r="E86" s="91" t="s">
        <v>646</v>
      </c>
    </row>
    <row r="87" spans="1:5">
      <c r="A87" s="21">
        <f t="shared" si="5"/>
        <v>4</v>
      </c>
      <c r="B87" s="85" t="str">
        <f ca="1">IFERROR(__xludf.DUMMYFUNCTION("GOOGLETRANSLATE(B962:B977,""RU"",""UK"")"),"Свердло 0.35Р6М5")</f>
        <v>Свердло 0.35Р6М5</v>
      </c>
      <c r="C87" s="59" t="s">
        <v>6</v>
      </c>
      <c r="D87" s="59">
        <v>290</v>
      </c>
      <c r="E87" s="91" t="s">
        <v>646</v>
      </c>
    </row>
    <row r="88" spans="1:5">
      <c r="A88" s="21">
        <f t="shared" si="5"/>
        <v>5</v>
      </c>
      <c r="B88" s="85" t="str">
        <f ca="1">IFERROR(__xludf.DUMMYFUNCTION("GOOGLETRANSLATE(B962:B977,""RU"",""UK"")"),"Свердло 0,4Р6М5")</f>
        <v>Свердло 0,4Р6М5</v>
      </c>
      <c r="C88" s="59" t="s">
        <v>6</v>
      </c>
      <c r="D88" s="59">
        <v>165</v>
      </c>
      <c r="E88" s="91" t="s">
        <v>646</v>
      </c>
    </row>
    <row r="89" spans="1:5">
      <c r="A89" s="21">
        <f t="shared" si="5"/>
        <v>6</v>
      </c>
      <c r="B89" s="85" t="str">
        <f ca="1">IFERROR(__xludf.DUMMYFUNCTION("GOOGLETRANSLATE(B963:B978,""RU"",""UK"")"),"Свердло 0,45Р6М5")</f>
        <v>Свердло 0,45Р6М5</v>
      </c>
      <c r="C89" s="59" t="s">
        <v>6</v>
      </c>
      <c r="D89" s="59">
        <v>400</v>
      </c>
      <c r="E89" s="91" t="s">
        <v>1287</v>
      </c>
    </row>
    <row r="90" spans="1:5">
      <c r="A90" s="21">
        <f t="shared" si="5"/>
        <v>7</v>
      </c>
      <c r="B90" s="85" t="str">
        <f ca="1">IFERROR(__xludf.DUMMYFUNCTION("GOOGLETRANSLATE(B963:B978,""RU"",""UK"")"),"Свердло 0.5Р6М5")</f>
        <v>Свердло 0.5Р6М5</v>
      </c>
      <c r="C90" s="59" t="s">
        <v>6</v>
      </c>
      <c r="D90" s="59">
        <v>362</v>
      </c>
      <c r="E90" s="91" t="s">
        <v>1287</v>
      </c>
    </row>
    <row r="91" spans="1:5">
      <c r="A91" s="21">
        <f t="shared" si="5"/>
        <v>8</v>
      </c>
      <c r="B91" s="85" t="str">
        <f ca="1">IFERROR(__xludf.DUMMYFUNCTION("GOOGLETRANSLATE(B964:B979,""RU"",""UK"")"),"Свердло 0,55Р6М5")</f>
        <v>Свердло 0,55Р6М5</v>
      </c>
      <c r="C91" s="59" t="s">
        <v>6</v>
      </c>
      <c r="D91" s="59">
        <v>395</v>
      </c>
      <c r="E91" s="91" t="s">
        <v>1292</v>
      </c>
    </row>
    <row r="92" spans="1:5">
      <c r="A92" s="21">
        <f t="shared" si="5"/>
        <v>9</v>
      </c>
      <c r="B92" s="85" t="str">
        <f ca="1">IFERROR(__xludf.DUMMYFUNCTION("GOOGLETRANSLATE(B964:B979,""RU"",""UK"")"),"Свердло 0.6Р6М5")</f>
        <v>Свердло 0.6Р6М5</v>
      </c>
      <c r="C92" s="59" t="s">
        <v>6</v>
      </c>
      <c r="D92" s="59">
        <v>89</v>
      </c>
      <c r="E92" s="91" t="s">
        <v>1292</v>
      </c>
    </row>
    <row r="93" spans="1:5">
      <c r="A93" s="21">
        <f t="shared" si="5"/>
        <v>10</v>
      </c>
      <c r="B93" s="85" t="str">
        <f ca="1">IFERROR(__xludf.DUMMYFUNCTION("GOOGLETRANSLATE(B965:B980,""RU"",""UK"")"),"Свердло 0,7Р6М5")</f>
        <v>Свердло 0,7Р6М5</v>
      </c>
      <c r="C93" s="59" t="s">
        <v>6</v>
      </c>
      <c r="D93" s="59">
        <v>76</v>
      </c>
      <c r="E93" s="91" t="s">
        <v>1035</v>
      </c>
    </row>
    <row r="94" spans="1:5">
      <c r="A94" s="21">
        <f t="shared" si="5"/>
        <v>11</v>
      </c>
      <c r="B94" s="85" t="str">
        <f ca="1">IFERROR(__xludf.DUMMYFUNCTION("GOOGLETRANSLATE(B965:B980,""RU"",""UK"")"),"Свердло 0,8Р6М5")</f>
        <v>Свердло 0,8Р6М5</v>
      </c>
      <c r="C94" s="59" t="s">
        <v>6</v>
      </c>
      <c r="D94" s="59">
        <v>155</v>
      </c>
      <c r="E94" s="91" t="s">
        <v>1035</v>
      </c>
    </row>
    <row r="95" spans="1:5">
      <c r="A95" s="21">
        <f t="shared" si="5"/>
        <v>12</v>
      </c>
      <c r="B95" s="85" t="str">
        <f ca="1">IFERROR(__xludf.DUMMYFUNCTION("GOOGLETRANSLATE(B966:B981,""RU"",""UK"")"),"Свердло 0,9 Р6М5")</f>
        <v>Свердло 0,9 Р6М5</v>
      </c>
      <c r="C95" s="59" t="s">
        <v>6</v>
      </c>
      <c r="D95" s="59">
        <v>195</v>
      </c>
      <c r="E95" s="91" t="s">
        <v>1340</v>
      </c>
    </row>
    <row r="96" spans="1:5">
      <c r="A96" s="21">
        <f t="shared" si="5"/>
        <v>13</v>
      </c>
      <c r="B96" s="85" t="str">
        <f ca="1">IFERROR(__xludf.DUMMYFUNCTION("GOOGLETRANSLATE(B966:B981,""RU"",""UK"")"),"Свердло 0,95 Р6М5")</f>
        <v>Свердло 0,95 Р6М5</v>
      </c>
      <c r="C96" s="59" t="s">
        <v>6</v>
      </c>
      <c r="D96" s="59">
        <v>56</v>
      </c>
      <c r="E96" s="91" t="s">
        <v>1340</v>
      </c>
    </row>
    <row r="97" spans="1:5">
      <c r="A97" s="21">
        <f t="shared" si="5"/>
        <v>14</v>
      </c>
      <c r="B97" s="85" t="str">
        <f ca="1">IFERROR(__xludf.DUMMYFUNCTION("GOOGLETRANSLATE(B967:B982,""RU"",""UK"")"),"Свердло 1,0 Р6М5")</f>
        <v>Свердло 1,0 Р6М5</v>
      </c>
      <c r="C97" s="59" t="s">
        <v>6</v>
      </c>
      <c r="D97" s="59">
        <v>44</v>
      </c>
      <c r="E97" s="91" t="s">
        <v>132</v>
      </c>
    </row>
    <row r="98" spans="1:5">
      <c r="A98" s="21">
        <f t="shared" si="5"/>
        <v>15</v>
      </c>
      <c r="B98" s="85" t="str">
        <f ca="1">IFERROR(__xludf.DUMMYFUNCTION("GOOGLETRANSLATE(B967:B982,""RU"",""UK"")"),"Свердло 1,05Р6М5")</f>
        <v>Свердло 1,05Р6М5</v>
      </c>
      <c r="C98" s="59" t="s">
        <v>6</v>
      </c>
      <c r="D98" s="59">
        <v>23</v>
      </c>
      <c r="E98" s="91" t="s">
        <v>132</v>
      </c>
    </row>
    <row r="99" spans="1:5">
      <c r="A99" s="21">
        <f t="shared" si="5"/>
        <v>16</v>
      </c>
      <c r="B99" s="85" t="str">
        <f ca="1">IFERROR(__xludf.DUMMYFUNCTION("GOOGLETRANSLATE(B967:B982,""RU"",""UK"")"),"Свердло 1,1 Р6М5")</f>
        <v>Свердло 1,1 Р6М5</v>
      </c>
      <c r="C99" s="59" t="s">
        <v>6</v>
      </c>
      <c r="D99" s="59">
        <v>213</v>
      </c>
      <c r="E99" s="91" t="s">
        <v>132</v>
      </c>
    </row>
    <row r="100" spans="1:5">
      <c r="A100" s="21">
        <f t="shared" si="5"/>
        <v>17</v>
      </c>
      <c r="B100" s="85" t="str">
        <f ca="1">IFERROR(__xludf.DUMMYFUNCTION("GOOGLETRANSLATE(B968:B983,""RU"",""UK"")"),"Свердло 1,2Р6М5")</f>
        <v>Свердло 1,2Р6М5</v>
      </c>
      <c r="C100" s="59" t="s">
        <v>6</v>
      </c>
      <c r="D100" s="59">
        <v>9</v>
      </c>
      <c r="E100" s="91" t="s">
        <v>1236</v>
      </c>
    </row>
    <row r="101" spans="1:5">
      <c r="A101" s="21">
        <f t="shared" si="5"/>
        <v>18</v>
      </c>
      <c r="B101" s="85" t="str">
        <f ca="1">IFERROR(__xludf.DUMMYFUNCTION("GOOGLETRANSLATE(B968:B983,""RU"",""UK"")"),"Свердло 1.25 Р6М5")</f>
        <v>Свердло 1.25 Р6М5</v>
      </c>
      <c r="C101" s="59" t="s">
        <v>6</v>
      </c>
      <c r="D101" s="59">
        <v>94</v>
      </c>
      <c r="E101" s="91" t="s">
        <v>1236</v>
      </c>
    </row>
    <row r="102" spans="1:5">
      <c r="A102" s="21">
        <f t="shared" si="5"/>
        <v>19</v>
      </c>
      <c r="B102" s="85" t="str">
        <f ca="1">IFERROR(__xludf.DUMMYFUNCTION("GOOGLETRANSLATE(B969:B984,""RU"",""UK"")"),"Свердло 1,3Р6М5")</f>
        <v>Свердло 1,3Р6М5</v>
      </c>
      <c r="C102" s="59" t="s">
        <v>6</v>
      </c>
      <c r="D102" s="59">
        <v>889</v>
      </c>
      <c r="E102" s="91" t="s">
        <v>1294</v>
      </c>
    </row>
    <row r="103" spans="1:5">
      <c r="A103" s="21">
        <f t="shared" si="5"/>
        <v>20</v>
      </c>
      <c r="B103" s="85" t="str">
        <f ca="1">IFERROR(__xludf.DUMMYFUNCTION("GOOGLETRANSLATE(B969:B984,""RU"",""UK"")"),"Свердло 1,4Р6М5")</f>
        <v>Свердло 1,4Р6М5</v>
      </c>
      <c r="C103" s="59" t="s">
        <v>6</v>
      </c>
      <c r="D103" s="59">
        <v>33</v>
      </c>
      <c r="E103" s="91" t="s">
        <v>1294</v>
      </c>
    </row>
    <row r="104" spans="1:5">
      <c r="A104" s="21">
        <f t="shared" ref="A104:A198" si="6">A103+1</f>
        <v>21</v>
      </c>
      <c r="B104" s="85" t="str">
        <f ca="1">IFERROR(__xludf.DUMMYFUNCTION("GOOGLETRANSLATE(B970:B985,""RU"",""UK"")"),"Свердло 1,5Р6М5")</f>
        <v>Свердло 1,5Р6М5</v>
      </c>
      <c r="C104" s="37" t="s">
        <v>6</v>
      </c>
      <c r="D104" s="167">
        <v>0</v>
      </c>
      <c r="E104" s="92" t="s">
        <v>1349</v>
      </c>
    </row>
    <row r="105" spans="1:5">
      <c r="A105" s="21">
        <f t="shared" si="6"/>
        <v>22</v>
      </c>
      <c r="B105" s="85" t="str">
        <f ca="1">IFERROR(__xludf.DUMMYFUNCTION("GOOGLETRANSLATE(B971:B986,""RU"",""UK"")"),"Свердло 1,5Р6М5К5")</f>
        <v>Свердло 1,5Р6М5К5</v>
      </c>
      <c r="C105" s="171" t="s">
        <v>6</v>
      </c>
      <c r="D105" s="171">
        <v>29</v>
      </c>
      <c r="E105" s="173" t="s">
        <v>1351</v>
      </c>
    </row>
    <row r="106" spans="1:5">
      <c r="A106" s="21">
        <f t="shared" si="6"/>
        <v>23</v>
      </c>
      <c r="B106" s="85" t="str">
        <f ca="1">IFERROR(__xludf.DUMMYFUNCTION("GOOGLETRANSLATE(B970:B985,""RU"",""UK"")"),"Свердло 1,6Р6М5")</f>
        <v>Свердло 1,6Р6М5</v>
      </c>
      <c r="C106" s="37" t="s">
        <v>6</v>
      </c>
      <c r="D106" s="167">
        <v>10</v>
      </c>
      <c r="E106" s="92" t="s">
        <v>1349</v>
      </c>
    </row>
    <row r="107" spans="1:5">
      <c r="A107" s="21">
        <f t="shared" si="6"/>
        <v>24</v>
      </c>
      <c r="B107" s="85" t="str">
        <f ca="1">IFERROR(__xludf.DUMMYFUNCTION("GOOGLETRANSLATE(B971:B986,""RU"",""UK"")"),"Свердло 1,6Р6М5К5")</f>
        <v>Свердло 1,6Р6М5К5</v>
      </c>
      <c r="C107" s="171" t="s">
        <v>6</v>
      </c>
      <c r="D107" s="171">
        <v>23</v>
      </c>
      <c r="E107" s="173" t="s">
        <v>1351</v>
      </c>
    </row>
    <row r="108" spans="1:5">
      <c r="A108" s="21">
        <f t="shared" si="6"/>
        <v>25</v>
      </c>
      <c r="B108" s="85" t="str">
        <f ca="1">IFERROR(__xludf.DUMMYFUNCTION("GOOGLETRANSLATE(B972:B987,""RU"",""UK"")"),"Свердло 1.7Р6М5")</f>
        <v>Свердло 1.7Р6М5</v>
      </c>
      <c r="C108" s="59" t="s">
        <v>6</v>
      </c>
      <c r="D108" s="59">
        <v>450</v>
      </c>
      <c r="E108" s="91" t="s">
        <v>361</v>
      </c>
    </row>
    <row r="109" spans="1:5">
      <c r="A109" s="21">
        <f t="shared" si="6"/>
        <v>26</v>
      </c>
      <c r="B109" s="85" t="str">
        <f ca="1">IFERROR(__xludf.DUMMYFUNCTION("GOOGLETRANSLATE(B972:B987,""RU"",""UK"")"),"Свердло 1,75Р6М5")</f>
        <v>Свердло 1,75Р6М5</v>
      </c>
      <c r="C109" s="59" t="s">
        <v>6</v>
      </c>
      <c r="D109" s="59">
        <v>72</v>
      </c>
      <c r="E109" s="91" t="s">
        <v>361</v>
      </c>
    </row>
    <row r="110" spans="1:5">
      <c r="A110" s="21">
        <f t="shared" si="6"/>
        <v>27</v>
      </c>
      <c r="B110" s="85" t="str">
        <f ca="1">IFERROR(__xludf.DUMMYFUNCTION("GOOGLETRANSLATE(B972:B987,""RU"",""UK"")"),"Свердло 1,8Р6М5")</f>
        <v>Свердло 1,8Р6М5</v>
      </c>
      <c r="C110" s="59" t="s">
        <v>6</v>
      </c>
      <c r="D110" s="59">
        <v>76</v>
      </c>
      <c r="E110" s="91" t="s">
        <v>361</v>
      </c>
    </row>
    <row r="111" spans="1:5">
      <c r="A111" s="21">
        <f t="shared" si="6"/>
        <v>28</v>
      </c>
      <c r="B111" s="85" t="str">
        <f ca="1">IFERROR(__xludf.DUMMYFUNCTION("GOOGLETRANSLATE(B973:B988,""RU"",""UK"")"),"Свердло 1,85 Р6М5")</f>
        <v>Свердло 1,85 Р6М5</v>
      </c>
      <c r="C111" s="59" t="s">
        <v>6</v>
      </c>
      <c r="D111" s="59">
        <v>599</v>
      </c>
      <c r="E111" s="91" t="s">
        <v>361</v>
      </c>
    </row>
    <row r="112" spans="1:5">
      <c r="A112" s="21">
        <f t="shared" si="6"/>
        <v>29</v>
      </c>
      <c r="B112" s="85" t="str">
        <f ca="1">IFERROR(__xludf.DUMMYFUNCTION("GOOGLETRANSLATE(B973:B988,""RU"",""UK"")"),"Свердло 1,9 Р6М5")</f>
        <v>Свердло 1,9 Р6М5</v>
      </c>
      <c r="C112" s="59" t="s">
        <v>6</v>
      </c>
      <c r="D112" s="59">
        <v>544</v>
      </c>
      <c r="E112" s="91" t="s">
        <v>361</v>
      </c>
    </row>
    <row r="113" spans="1:5">
      <c r="A113" s="21">
        <f t="shared" si="6"/>
        <v>30</v>
      </c>
      <c r="B113" s="85" t="str">
        <f ca="1">IFERROR(__xludf.DUMMYFUNCTION("GOOGLETRANSLATE(B974:B989,""RU"",""UK"")"),"Свердло 2,0 Р6М5")</f>
        <v>Свердло 2,0 Р6М5</v>
      </c>
      <c r="C113" s="59" t="s">
        <v>6</v>
      </c>
      <c r="D113" s="59">
        <v>2</v>
      </c>
      <c r="E113" s="91">
        <v>13.2</v>
      </c>
    </row>
    <row r="114" spans="1:5">
      <c r="A114" s="21">
        <f t="shared" ref="A114" si="7">A113+1</f>
        <v>31</v>
      </c>
      <c r="B114" s="85" t="str">
        <f ca="1">IFERROR(__xludf.DUMMYFUNCTION("GOOGLETRANSLATE(B974:B989,""RU"",""UK"")"),"Свердло 2,0 Р6М5К5")</f>
        <v>Свердло 2,0 Р6М5К5</v>
      </c>
      <c r="C114" s="59" t="s">
        <v>6</v>
      </c>
      <c r="D114" s="59">
        <v>24</v>
      </c>
      <c r="E114" s="91">
        <v>17.100000000000001</v>
      </c>
    </row>
    <row r="115" spans="1:5">
      <c r="A115" s="21">
        <f t="shared" ref="A115" si="8">A114+1</f>
        <v>32</v>
      </c>
      <c r="B115" s="85" t="str">
        <f ca="1">IFERROR(__xludf.DUMMYFUNCTION("GOOGLETRANSLATE(B975:B990,""RU"",""UK"")"),"Свердло 2,05 Р6М5")</f>
        <v>Свердло 2,05 Р6М5</v>
      </c>
      <c r="C115" s="59" t="s">
        <v>6</v>
      </c>
      <c r="D115" s="59">
        <v>62</v>
      </c>
      <c r="E115" s="91">
        <v>13.2</v>
      </c>
    </row>
    <row r="116" spans="1:5">
      <c r="A116" s="21">
        <f t="shared" si="6"/>
        <v>33</v>
      </c>
      <c r="B116" s="85" t="str">
        <f ca="1">IFERROR(__xludf.DUMMYFUNCTION("GOOGLETRANSLATE(B975:B990,""RU"",""UK"")"),"Свердло 2.1 Р6М5")</f>
        <v>Свердло 2.1 Р6М5</v>
      </c>
      <c r="C116" s="59" t="s">
        <v>6</v>
      </c>
      <c r="D116" s="59">
        <v>14</v>
      </c>
      <c r="E116" s="91">
        <v>13.5</v>
      </c>
    </row>
    <row r="117" spans="1:5">
      <c r="A117" s="21">
        <f t="shared" si="6"/>
        <v>34</v>
      </c>
      <c r="B117" s="85" t="str">
        <f ca="1">IFERROR(__xludf.DUMMYFUNCTION("GOOGLETRANSLATE(B978:B993,""RU"",""UK"")"),"Свердло 2,1х80удл Р6М5")</f>
        <v>Свердло 2,1х80удл Р6М5</v>
      </c>
      <c r="C117" s="59" t="s">
        <v>6</v>
      </c>
      <c r="D117" s="59">
        <v>50</v>
      </c>
      <c r="E117" s="91" t="s">
        <v>286</v>
      </c>
    </row>
    <row r="118" spans="1:5">
      <c r="A118" s="21">
        <f t="shared" si="6"/>
        <v>35</v>
      </c>
      <c r="B118" s="85" t="str">
        <f ca="1">IFERROR(__xludf.DUMMYFUNCTION("GOOGLETRANSLATE(B976:B991,""RU"",""UK"")"),"Свердло 2,15Р6М5")</f>
        <v>Свердло 2,15Р6М5</v>
      </c>
      <c r="C118" s="59" t="s">
        <v>6</v>
      </c>
      <c r="D118" s="59">
        <v>128</v>
      </c>
      <c r="E118" s="91">
        <v>13.5</v>
      </c>
    </row>
    <row r="119" spans="1:5">
      <c r="A119" s="21">
        <f t="shared" si="6"/>
        <v>36</v>
      </c>
      <c r="B119" s="85" t="str">
        <f ca="1">IFERROR(__xludf.DUMMYFUNCTION("GOOGLETRANSLATE(B976:B991,""RU"",""UK"")"),"Свердло 2,2Р6М5")</f>
        <v>Свердло 2,2Р6М5</v>
      </c>
      <c r="C119" s="59" t="s">
        <v>6</v>
      </c>
      <c r="D119" s="59">
        <v>60</v>
      </c>
      <c r="E119" s="91">
        <v>13.5</v>
      </c>
    </row>
    <row r="120" spans="1:5">
      <c r="A120" s="21">
        <f t="shared" si="6"/>
        <v>37</v>
      </c>
      <c r="B120" s="85" t="str">
        <f ca="1">IFERROR(__xludf.DUMMYFUNCTION("GOOGLETRANSLATE(B978:B993,""RU"",""UK"")"),"Свердло 2,2удл.Р6М5")</f>
        <v>Свердло 2,2удл.Р6М5</v>
      </c>
      <c r="C120" s="59" t="s">
        <v>6</v>
      </c>
      <c r="D120" s="59">
        <v>39</v>
      </c>
      <c r="E120" s="91" t="s">
        <v>286</v>
      </c>
    </row>
    <row r="121" spans="1:5">
      <c r="A121" s="21">
        <f t="shared" si="6"/>
        <v>38</v>
      </c>
      <c r="B121" s="85" t="str">
        <f ca="1">IFERROR(__xludf.DUMMYFUNCTION("GOOGLETRANSLATE(B977:B992,""RU"",""UK"")"),"Свердло 2,3Р6М5")</f>
        <v>Свердло 2,3Р6М5</v>
      </c>
      <c r="C121" s="59" t="s">
        <v>6</v>
      </c>
      <c r="D121" s="59">
        <v>1378</v>
      </c>
      <c r="E121" s="91">
        <v>13.8</v>
      </c>
    </row>
    <row r="122" spans="1:5">
      <c r="A122" s="21">
        <f t="shared" si="6"/>
        <v>39</v>
      </c>
      <c r="B122" s="85" t="str">
        <f ca="1">IFERROR(__xludf.DUMMYFUNCTION("GOOGLETRANSLATE(B979:B994,""RU"",""UK"")"),"Свердло 2,3х90удл.Р6М5")</f>
        <v>Свердло 2,3х90удл.Р6М5</v>
      </c>
      <c r="C122" s="59" t="s">
        <v>6</v>
      </c>
      <c r="D122" s="59">
        <v>184</v>
      </c>
      <c r="E122" s="91" t="s">
        <v>286</v>
      </c>
    </row>
    <row r="123" spans="1:5">
      <c r="A123" s="21">
        <f t="shared" si="6"/>
        <v>40</v>
      </c>
      <c r="B123" s="85" t="str">
        <f ca="1">IFERROR(__xludf.DUMMYFUNCTION("GOOGLETRANSLATE(B977:B992,""RU"",""UK"")"),"Свердло 2,35Р6М5")</f>
        <v>Свердло 2,35Р6М5</v>
      </c>
      <c r="C123" s="59" t="s">
        <v>6</v>
      </c>
      <c r="D123" s="59">
        <v>313</v>
      </c>
      <c r="E123" s="91">
        <v>13.8</v>
      </c>
    </row>
    <row r="124" spans="1:5">
      <c r="A124" s="21">
        <f t="shared" si="6"/>
        <v>41</v>
      </c>
      <c r="B124" s="85" t="str">
        <f ca="1">IFERROR(__xludf.DUMMYFUNCTION("GOOGLETRANSLATE(B980:B995,""RU"",""UK"")"),"Свердло 2,4Р6М5")</f>
        <v>Свердло 2,4Р6М5</v>
      </c>
      <c r="C124" s="59" t="s">
        <v>6</v>
      </c>
      <c r="D124" s="59">
        <v>366</v>
      </c>
      <c r="E124" s="91">
        <v>13.8</v>
      </c>
    </row>
    <row r="125" spans="1:5">
      <c r="A125" s="21">
        <f t="shared" si="6"/>
        <v>42</v>
      </c>
      <c r="B125" s="85" t="str">
        <f ca="1">IFERROR(__xludf.DUMMYFUNCTION("GOOGLETRANSLATE(B980:B995,""RU"",""UK"")"),"Свердло 2,5Р6М5")</f>
        <v>Свердло 2,5Р6М5</v>
      </c>
      <c r="C125" s="59" t="s">
        <v>6</v>
      </c>
      <c r="D125" s="59">
        <v>270</v>
      </c>
      <c r="E125" s="91">
        <v>13.8</v>
      </c>
    </row>
    <row r="126" spans="1:5">
      <c r="A126" s="21">
        <f t="shared" si="6"/>
        <v>43</v>
      </c>
      <c r="B126" s="85" t="str">
        <f ca="1">IFERROR(__xludf.DUMMYFUNCTION("GOOGLETRANSLATE(B981:B996,""RU"",""UK"")"),"Свердло 2,5х95удл Р6М5")</f>
        <v>Свердло 2,5х95удл Р6М5</v>
      </c>
      <c r="C126" s="59" t="s">
        <v>6</v>
      </c>
      <c r="D126" s="59">
        <v>34</v>
      </c>
      <c r="E126" s="91">
        <v>18</v>
      </c>
    </row>
    <row r="127" spans="1:5">
      <c r="A127" s="21">
        <f t="shared" si="6"/>
        <v>44</v>
      </c>
      <c r="B127" s="85" t="str">
        <f ca="1">IFERROR(__xludf.DUMMYFUNCTION("GOOGLETRANSLATE(B982:B997,""RU"",""UK"")"),"Свердло 2,6 Р6М5")</f>
        <v>Свердло 2,6 Р6М5</v>
      </c>
      <c r="C127" s="59" t="s">
        <v>6</v>
      </c>
      <c r="D127" s="59">
        <v>120</v>
      </c>
      <c r="E127" s="91">
        <v>13.8</v>
      </c>
    </row>
    <row r="128" spans="1:5">
      <c r="A128" s="21">
        <f t="shared" si="6"/>
        <v>45</v>
      </c>
      <c r="B128" s="85" t="str">
        <f ca="1">IFERROR(__xludf.DUMMYFUNCTION("GOOGLETRANSLATE(B983:B998,""RU"",""UK"")"),"Свердло 2,6х95удл Р6М5")</f>
        <v>Свердло 2,6х95удл Р6М5</v>
      </c>
      <c r="C128" s="59" t="s">
        <v>6</v>
      </c>
      <c r="D128" s="59">
        <v>14</v>
      </c>
      <c r="E128" s="91" t="s">
        <v>286</v>
      </c>
    </row>
    <row r="129" spans="1:5">
      <c r="A129" s="21">
        <f t="shared" si="6"/>
        <v>46</v>
      </c>
      <c r="B129" s="85" t="str">
        <f ca="1">IFERROR(__xludf.DUMMYFUNCTION("GOOGLETRANSLATE(B982:B997,""RU"",""UK"")"),"Свердло 2,65 Р6М5")</f>
        <v>Свердло 2,65 Р6М5</v>
      </c>
      <c r="C129" s="59" t="s">
        <v>6</v>
      </c>
      <c r="D129" s="59">
        <v>370</v>
      </c>
      <c r="E129" s="91">
        <v>13.8</v>
      </c>
    </row>
    <row r="130" spans="1:5">
      <c r="A130" s="21">
        <f t="shared" si="6"/>
        <v>47</v>
      </c>
      <c r="B130" s="85" t="str">
        <f ca="1">IFERROR(__xludf.DUMMYFUNCTION("GOOGLETRANSLATE(B984:B999,""RU"",""UK"")"),"Свердло 2,7Р6М5")</f>
        <v>Свердло 2,7Р6М5</v>
      </c>
      <c r="C130" s="59" t="s">
        <v>6</v>
      </c>
      <c r="D130" s="59">
        <v>1255</v>
      </c>
      <c r="E130" s="91">
        <v>13.8</v>
      </c>
    </row>
    <row r="131" spans="1:5">
      <c r="A131" s="21">
        <f t="shared" si="6"/>
        <v>48</v>
      </c>
      <c r="B131" s="85" t="str">
        <f ca="1">IFERROR(__xludf.DUMMYFUNCTION("GOOGLETRANSLATE(B984:B999,""RU"",""UK"")"),"Свердло 2,75Р6М5")</f>
        <v>Свердло 2,75Р6М5</v>
      </c>
      <c r="C131" s="59" t="s">
        <v>6</v>
      </c>
      <c r="D131" s="59">
        <v>20</v>
      </c>
      <c r="E131" s="91">
        <v>13.8</v>
      </c>
    </row>
    <row r="132" spans="1:5">
      <c r="A132" s="21">
        <f t="shared" si="6"/>
        <v>49</v>
      </c>
      <c r="B132" s="85" t="str">
        <f ca="1">IFERROR(__xludf.DUMMYFUNCTION("GOOGLETRANSLATE(B985:B1000,""RU"",""UK"")"),"Свердло 2,8 Р6М5")</f>
        <v>Свердло 2,8 Р6М5</v>
      </c>
      <c r="C132" s="59" t="s">
        <v>6</v>
      </c>
      <c r="D132" s="59">
        <v>1717</v>
      </c>
      <c r="E132" s="91" t="s">
        <v>682</v>
      </c>
    </row>
    <row r="133" spans="1:5">
      <c r="A133" s="21">
        <f t="shared" si="6"/>
        <v>50</v>
      </c>
      <c r="B133" s="85" t="str">
        <f ca="1">IFERROR(__xludf.DUMMYFUNCTION("GOOGLETRANSLATE(B986:B1001,""RU"",""UK"")"),"Свердло 2,8х100удл Р6М5")</f>
        <v>Свердло 2,8х100удл Р6М5</v>
      </c>
      <c r="C133" s="59" t="s">
        <v>6</v>
      </c>
      <c r="D133" s="59">
        <v>15</v>
      </c>
      <c r="E133" s="91" t="s">
        <v>610</v>
      </c>
    </row>
    <row r="134" spans="1:5">
      <c r="A134" s="21">
        <f t="shared" si="6"/>
        <v>51</v>
      </c>
      <c r="B134" s="85" t="str">
        <f ca="1">IFERROR(__xludf.DUMMYFUNCTION("GOOGLETRANSLATE(B985:B1000,""RU"",""UK"")"),"Свердло 2,85 Р6М5")</f>
        <v>Свердло 2,85 Р6М5</v>
      </c>
      <c r="C134" s="59" t="s">
        <v>6</v>
      </c>
      <c r="D134" s="59">
        <v>213</v>
      </c>
      <c r="E134" s="91" t="s">
        <v>682</v>
      </c>
    </row>
    <row r="135" spans="1:5">
      <c r="A135" s="21">
        <f t="shared" si="6"/>
        <v>52</v>
      </c>
      <c r="B135" s="85" t="str">
        <f ca="1">IFERROR(__xludf.DUMMYFUNCTION("GOOGLETRANSLATE(B987:B1002,""RU"",""UK"")"),"Свердло 2,9 Р6М5")</f>
        <v>Свердло 2,9 Р6М5</v>
      </c>
      <c r="C135" s="59" t="s">
        <v>6</v>
      </c>
      <c r="D135" s="59">
        <v>509</v>
      </c>
      <c r="E135" s="91" t="s">
        <v>286</v>
      </c>
    </row>
    <row r="136" spans="1:5">
      <c r="A136" s="21">
        <f t="shared" si="6"/>
        <v>53</v>
      </c>
      <c r="B136" s="85" t="str">
        <f ca="1">IFERROR(__xludf.DUMMYFUNCTION("GOOGLETRANSLATE(B988:B1003,""RU"",""UK"")"),"Свердло 2,9х100удл Р6М5")</f>
        <v>Свердло 2,9х100удл Р6М5</v>
      </c>
      <c r="C136" s="59" t="s">
        <v>6</v>
      </c>
      <c r="D136" s="59">
        <v>100</v>
      </c>
      <c r="E136" s="91" t="s">
        <v>417</v>
      </c>
    </row>
    <row r="137" spans="1:5">
      <c r="A137" s="21">
        <f t="shared" si="6"/>
        <v>54</v>
      </c>
      <c r="B137" s="85" t="str">
        <f ca="1">IFERROR(__xludf.DUMMYFUNCTION("GOOGLETRANSLATE(B987:B1002,""RU"",""UK"")"),"Свердло 2,95 Р6М5")</f>
        <v>Свердло 2,95 Р6М5</v>
      </c>
      <c r="C137" s="59" t="s">
        <v>6</v>
      </c>
      <c r="D137" s="59">
        <v>135</v>
      </c>
      <c r="E137" s="91" t="s">
        <v>286</v>
      </c>
    </row>
    <row r="138" spans="1:5">
      <c r="A138" s="21">
        <f t="shared" si="6"/>
        <v>55</v>
      </c>
      <c r="B138" s="85" t="str">
        <f ca="1">IFERROR(__xludf.DUMMYFUNCTION("GOOGLETRANSLATE(B989:B1004,""RU"",""UK"")"),"Свердло 3,0 Р9")</f>
        <v>Свердло 3,0 Р9</v>
      </c>
      <c r="C138" s="59" t="s">
        <v>6</v>
      </c>
      <c r="D138" s="59">
        <v>3</v>
      </c>
      <c r="E138" s="91" t="s">
        <v>682</v>
      </c>
    </row>
    <row r="139" spans="1:5">
      <c r="A139" s="21">
        <f t="shared" si="6"/>
        <v>56</v>
      </c>
      <c r="B139" s="85" t="str">
        <f ca="1">IFERROR(__xludf.DUMMYFUNCTION("GOOGLETRANSLATE(B990:B1005,""RU"",""UK"")"),"Свердло 3,0Р6М5")</f>
        <v>Свердло 3,0Р6М5</v>
      </c>
      <c r="C139" s="59" t="s">
        <v>6</v>
      </c>
      <c r="D139" s="59">
        <v>16</v>
      </c>
      <c r="E139" s="91" t="s">
        <v>1384</v>
      </c>
    </row>
    <row r="140" spans="1:5">
      <c r="A140" s="21">
        <f t="shared" si="6"/>
        <v>57</v>
      </c>
      <c r="B140" s="169" t="str">
        <f ca="1">IFERROR(__xludf.DUMMYFUNCTION("GOOGLETRANSLATE(B991:B1006,""RU"",""UK"")"),"Свердло 3,0Р6М5К5")</f>
        <v>Свердло 3,0Р6М5К5</v>
      </c>
      <c r="C140" s="59" t="s">
        <v>6</v>
      </c>
      <c r="D140" s="59">
        <v>42</v>
      </c>
      <c r="E140" s="91">
        <v>18</v>
      </c>
    </row>
    <row r="141" spans="1:5">
      <c r="A141" s="21">
        <f t="shared" si="6"/>
        <v>58</v>
      </c>
      <c r="B141" s="169" t="str">
        <f ca="1">IFERROR(__xludf.DUMMYFUNCTION("GOOGLETRANSLATE(B991:B1006,""RU"",""UK"")"),"Свердло 3,0Р18")</f>
        <v>Свердло 3,0Р18</v>
      </c>
      <c r="C141" s="59" t="s">
        <v>6</v>
      </c>
      <c r="D141" s="59">
        <v>41</v>
      </c>
      <c r="E141" s="91">
        <v>21.5</v>
      </c>
    </row>
    <row r="142" spans="1:5">
      <c r="A142" s="21">
        <f t="shared" si="6"/>
        <v>59</v>
      </c>
      <c r="B142" s="85" t="str">
        <f ca="1">IFERROR(__xludf.DUMMYFUNCTION("GOOGLETRANSLATE(B992:B1007,""RU"",""UK"")"),"Свердло 3,0х100удл.Р6М5")</f>
        <v>Свердло 3,0х100удл.Р6М5</v>
      </c>
      <c r="C142" s="59" t="s">
        <v>6</v>
      </c>
      <c r="D142" s="59">
        <v>39</v>
      </c>
      <c r="E142" s="91" t="s">
        <v>366</v>
      </c>
    </row>
    <row r="143" spans="1:5">
      <c r="A143" s="21">
        <f t="shared" si="6"/>
        <v>60</v>
      </c>
      <c r="B143" s="85" t="str">
        <f ca="1">IFERROR(__xludf.DUMMYFUNCTION("GOOGLETRANSLATE(B993:B1008,""RU"",""UK"")"),"Свердло 3,1Р6М5")</f>
        <v>Свердло 3,1Р6М5</v>
      </c>
      <c r="C143" s="59" t="s">
        <v>6</v>
      </c>
      <c r="D143" s="59">
        <v>71</v>
      </c>
      <c r="E143" s="91" t="s">
        <v>610</v>
      </c>
    </row>
    <row r="144" spans="1:5">
      <c r="A144" s="21">
        <f t="shared" si="6"/>
        <v>61</v>
      </c>
      <c r="B144" s="85" t="str">
        <f ca="1">IFERROR(__xludf.DUMMYFUNCTION("GOOGLETRANSLATE(B993:B1008,""RU"",""UK"")"),"Свердло 3,15Р6М5")</f>
        <v>Свердло 3,15Р6М5</v>
      </c>
      <c r="C144" s="59" t="s">
        <v>6</v>
      </c>
      <c r="D144" s="59">
        <v>6</v>
      </c>
      <c r="E144" s="91" t="s">
        <v>610</v>
      </c>
    </row>
    <row r="145" spans="1:5">
      <c r="A145" s="21">
        <f t="shared" si="6"/>
        <v>62</v>
      </c>
      <c r="B145" s="85" t="str">
        <f ca="1">IFERROR(__xludf.DUMMYFUNCTION("GOOGLETRANSLATE(B994:B1009,""RU"",""UK"")"),"Свердло 3,2Р9")</f>
        <v>Свердло 3,2Р9</v>
      </c>
      <c r="C145" s="59" t="s">
        <v>6</v>
      </c>
      <c r="D145" s="59">
        <v>22</v>
      </c>
      <c r="E145" s="91" t="s">
        <v>1391</v>
      </c>
    </row>
    <row r="146" spans="1:5">
      <c r="A146" s="21">
        <f t="shared" si="6"/>
        <v>63</v>
      </c>
      <c r="B146" s="85" t="str">
        <f ca="1">IFERROR(__xludf.DUMMYFUNCTION("GOOGLETRANSLATE(B995:B1010,""RU"",""UK"")"),"Свердло 3,2Р6М5")</f>
        <v>Свердло 3,2Р6М5</v>
      </c>
      <c r="C146" s="59" t="s">
        <v>6</v>
      </c>
      <c r="D146" s="59">
        <v>65</v>
      </c>
      <c r="E146" s="91" t="s">
        <v>417</v>
      </c>
    </row>
    <row r="147" spans="1:5">
      <c r="A147" s="21">
        <f t="shared" si="6"/>
        <v>64</v>
      </c>
      <c r="B147" s="85" t="str">
        <f ca="1">IFERROR(__xludf.DUMMYFUNCTION("GOOGLETRANSLATE(B996:B1011,""RU"",""UK"")"),"Свердло 3,2Р6М5К5")</f>
        <v>Свердло 3,2Р6М5К5</v>
      </c>
      <c r="C147" s="59" t="s">
        <v>6</v>
      </c>
      <c r="D147" s="59">
        <v>41</v>
      </c>
      <c r="E147" s="91">
        <v>21</v>
      </c>
    </row>
    <row r="148" spans="1:5">
      <c r="A148" s="21">
        <f t="shared" si="6"/>
        <v>65</v>
      </c>
      <c r="B148" s="85" t="str">
        <f ca="1">IFERROR(__xludf.DUMMYFUNCTION("GOOGLETRANSLATE(B996:B1011,""RU"",""UK"")"),"Свердло 3,2Р6М5А1")</f>
        <v>Свердло 3,2Р6М5А1</v>
      </c>
      <c r="C148" s="59" t="s">
        <v>6</v>
      </c>
      <c r="D148" s="59">
        <v>20</v>
      </c>
      <c r="E148" s="91">
        <v>21</v>
      </c>
    </row>
    <row r="149" spans="1:5">
      <c r="A149" s="21">
        <f t="shared" si="6"/>
        <v>66</v>
      </c>
      <c r="B149" s="85" t="str">
        <f ca="1">IFERROR(__xludf.DUMMYFUNCTION("GOOGLETRANSLATE(B997:B1012,""RU"",""UK"")"),"Свердло 3,2 удлР6М5К5")</f>
        <v>Свердло 3,2 удлР6М5К5</v>
      </c>
      <c r="C149" s="59" t="s">
        <v>6</v>
      </c>
      <c r="D149" s="59">
        <v>6</v>
      </c>
      <c r="E149" s="91" t="s">
        <v>366</v>
      </c>
    </row>
    <row r="150" spans="1:5">
      <c r="A150" s="21">
        <f t="shared" si="6"/>
        <v>67</v>
      </c>
      <c r="B150" s="85" t="str">
        <f ca="1">IFERROR(__xludf.DUMMYFUNCTION("GOOGLETRANSLATE(B997:B1012,""RU"",""UK"")"),"Свердло 3,2х100удлР6М5А1")</f>
        <v>Свердло 3,2х100удлР6М5А1</v>
      </c>
      <c r="C150" s="59" t="s">
        <v>6</v>
      </c>
      <c r="D150" s="59">
        <v>7</v>
      </c>
      <c r="E150" s="91" t="s">
        <v>366</v>
      </c>
    </row>
    <row r="151" spans="1:5">
      <c r="A151" s="21">
        <f t="shared" si="6"/>
        <v>68</v>
      </c>
      <c r="B151" s="85" t="str">
        <f ca="1">IFERROR(__xludf.DUMMYFUNCTION("GOOGLETRANSLATE(B998:B1013,""RU"",""UK"")"),"Свердло 3,3 Р9")</f>
        <v>Свердло 3,3 Р9</v>
      </c>
      <c r="C151" s="59" t="s">
        <v>6</v>
      </c>
      <c r="D151" s="59">
        <v>8</v>
      </c>
      <c r="E151" s="91" t="s">
        <v>1384</v>
      </c>
    </row>
    <row r="152" spans="1:5">
      <c r="A152" s="21">
        <f t="shared" si="6"/>
        <v>69</v>
      </c>
      <c r="B152" s="85" t="str">
        <f ca="1">IFERROR(__xludf.DUMMYFUNCTION("GOOGLETRANSLATE(B999:B1014,""RU"",""UK"")"),"Свердло 3,3Р6М5")</f>
        <v>Свердло 3,3Р6М5</v>
      </c>
      <c r="C152" s="59" t="s">
        <v>6</v>
      </c>
      <c r="D152" s="59">
        <v>34</v>
      </c>
      <c r="E152" s="91" t="s">
        <v>417</v>
      </c>
    </row>
    <row r="153" spans="1:5">
      <c r="A153" s="21">
        <f t="shared" si="6"/>
        <v>70</v>
      </c>
      <c r="B153" s="85" t="str">
        <f ca="1">IFERROR(__xludf.DUMMYFUNCTION("GOOGLETRANSLATE(B999:B1014,""RU"",""UK"")"),"Свердло 3,3Р6М5К5")</f>
        <v>Свердло 3,3Р6М5К5</v>
      </c>
      <c r="C153" s="59" t="s">
        <v>6</v>
      </c>
      <c r="D153" s="59">
        <v>13</v>
      </c>
      <c r="E153" s="91">
        <v>21</v>
      </c>
    </row>
    <row r="154" spans="1:5">
      <c r="A154" s="21">
        <f t="shared" si="6"/>
        <v>71</v>
      </c>
      <c r="B154" s="85" t="str">
        <f ca="1">IFERROR(__xludf.DUMMYFUNCTION("GOOGLETRANSLATE(B1000:B1015,""RU"",""UK"")"),"Свердло 3,4Р6М5")</f>
        <v>Свердло 3,4Р6М5</v>
      </c>
      <c r="C154" s="59" t="s">
        <v>6</v>
      </c>
      <c r="D154" s="59">
        <v>36</v>
      </c>
      <c r="E154" s="91" t="s">
        <v>417</v>
      </c>
    </row>
    <row r="155" spans="1:5">
      <c r="A155" s="21">
        <f t="shared" si="6"/>
        <v>72</v>
      </c>
      <c r="B155" s="85" t="str">
        <f ca="1">IFERROR(__xludf.DUMMYFUNCTION("GOOGLETRANSLATE(B1004:B1019,""RU"",""UK"")"),"Свердло 3,4 удлР6М5А1")</f>
        <v>Свердло 3,4 удлР6М5А1</v>
      </c>
      <c r="C155" s="59" t="s">
        <v>6</v>
      </c>
      <c r="D155" s="59">
        <v>14</v>
      </c>
      <c r="E155" s="91" t="s">
        <v>366</v>
      </c>
    </row>
    <row r="156" spans="1:5">
      <c r="A156" s="21">
        <f t="shared" si="6"/>
        <v>73</v>
      </c>
      <c r="B156" s="85" t="str">
        <f ca="1">IFERROR(__xludf.DUMMYFUNCTION("GOOGLETRANSLATE(B1002:B1017,""RU"",""UK"")"),"Свердло 3,5Р6м5")</f>
        <v>Свердло 3,5Р6м5</v>
      </c>
      <c r="C156" s="59" t="s">
        <v>6</v>
      </c>
      <c r="D156" s="59">
        <v>4</v>
      </c>
      <c r="E156" s="91" t="s">
        <v>417</v>
      </c>
    </row>
    <row r="157" spans="1:5">
      <c r="A157" s="21">
        <f t="shared" si="6"/>
        <v>74</v>
      </c>
      <c r="B157" s="169" t="str">
        <f ca="1">IFERROR(__xludf.DUMMYFUNCTION("GOOGLETRANSLATE(B1003:B1018,""RU"",""UK"")"),"Свердло 3,5Р6М5К5")</f>
        <v>Свердло 3,5Р6М5К5</v>
      </c>
      <c r="C157" s="59" t="s">
        <v>6</v>
      </c>
      <c r="D157" s="59">
        <v>25</v>
      </c>
      <c r="E157" s="91" t="s">
        <v>290</v>
      </c>
    </row>
    <row r="158" spans="1:5">
      <c r="A158" s="21">
        <f t="shared" si="6"/>
        <v>75</v>
      </c>
      <c r="B158" s="169" t="str">
        <f ca="1">IFERROR(__xludf.DUMMYFUNCTION("GOOGLETRANSLATE(B1003:B1018,""RU"",""UK"")"),"Свердло 3,5Р18")</f>
        <v>Свердло 3,5Р18</v>
      </c>
      <c r="C158" s="59" t="s">
        <v>6</v>
      </c>
      <c r="D158" s="59">
        <v>32</v>
      </c>
      <c r="E158" s="91">
        <v>22.8</v>
      </c>
    </row>
    <row r="159" spans="1:5">
      <c r="A159" s="21">
        <f t="shared" si="6"/>
        <v>76</v>
      </c>
      <c r="B159" s="85" t="str">
        <f ca="1">IFERROR(__xludf.DUMMYFUNCTION("GOOGLETRANSLATE(B1004:B1019,""RU"",""UK"")"),"Свердло 3,5 х110удл.Р6М5А1")</f>
        <v>Свердло 3,5 х110удл.Р6М5А1</v>
      </c>
      <c r="C159" s="59" t="s">
        <v>6</v>
      </c>
      <c r="D159" s="59">
        <v>13</v>
      </c>
      <c r="E159" s="91" t="s">
        <v>366</v>
      </c>
    </row>
    <row r="160" spans="1:5">
      <c r="A160" s="21">
        <f t="shared" si="6"/>
        <v>77</v>
      </c>
      <c r="B160" s="85" t="str">
        <f ca="1">IFERROR(__xludf.DUMMYFUNCTION("GOOGLETRANSLATE(B1005:B1020,""RU"",""UK"")"),"Свердло 3,6Р9")</f>
        <v>Свердло 3,6Р9</v>
      </c>
      <c r="C160" s="59" t="s">
        <v>6</v>
      </c>
      <c r="D160" s="59">
        <v>28</v>
      </c>
      <c r="E160" s="91" t="s">
        <v>1401</v>
      </c>
    </row>
    <row r="161" spans="1:5">
      <c r="A161" s="21">
        <f t="shared" si="6"/>
        <v>78</v>
      </c>
      <c r="B161" s="85" t="str">
        <f ca="1">IFERROR(__xludf.DUMMYFUNCTION("GOOGLETRANSLATE(B1006:B1021,""RU"",""UK"")"),"Свердло 3,6Р6М5")</f>
        <v>Свердло 3,6Р6М5</v>
      </c>
      <c r="C161" s="59" t="s">
        <v>6</v>
      </c>
      <c r="D161" s="59">
        <v>17</v>
      </c>
      <c r="E161" s="91">
        <v>18.899999999999999</v>
      </c>
    </row>
    <row r="162" spans="1:5">
      <c r="A162" s="21">
        <f t="shared" si="6"/>
        <v>79</v>
      </c>
      <c r="B162" s="85" t="str">
        <f ca="1">IFERROR(__xludf.DUMMYFUNCTION("GOOGLETRANSLATE(B1006:B1021,""RU"",""UK"")"),"Свердло 3,7Р6М5")</f>
        <v>Свердло 3,7Р6М5</v>
      </c>
      <c r="C162" s="59" t="s">
        <v>6</v>
      </c>
      <c r="D162" s="59">
        <v>49</v>
      </c>
      <c r="E162" s="91">
        <v>18.899999999999999</v>
      </c>
    </row>
    <row r="163" spans="1:5">
      <c r="A163" s="21">
        <f t="shared" si="6"/>
        <v>80</v>
      </c>
      <c r="B163" s="85" t="str">
        <f ca="1">IFERROR(__xludf.DUMMYFUNCTION("GOOGLETRANSLATE(B1008:B1023,""RU"",""UK"")"),"Свердло 3,7 удл Р6М5")</f>
        <v>Свердло 3,7 удл Р6М5</v>
      </c>
      <c r="C163" s="59" t="s">
        <v>6</v>
      </c>
      <c r="D163" s="59">
        <v>9</v>
      </c>
      <c r="E163" s="91" t="s">
        <v>366</v>
      </c>
    </row>
    <row r="164" spans="1:5">
      <c r="A164" s="21">
        <f t="shared" si="6"/>
        <v>81</v>
      </c>
      <c r="B164" s="85" t="str">
        <f ca="1">IFERROR(__xludf.DUMMYFUNCTION("GOOGLETRANSLATE(B1007:B1022,""RU"",""UK"")"),"Свердло 3,8Р6М5")</f>
        <v>Свердло 3,8Р6М5</v>
      </c>
      <c r="C164" s="59" t="s">
        <v>6</v>
      </c>
      <c r="D164" s="59">
        <v>76</v>
      </c>
      <c r="E164" s="91">
        <v>19.2</v>
      </c>
    </row>
    <row r="165" spans="1:5">
      <c r="A165" s="21">
        <f t="shared" si="6"/>
        <v>82</v>
      </c>
      <c r="B165" s="85" t="str">
        <f ca="1">IFERROR(__xludf.DUMMYFUNCTION("GOOGLETRANSLATE(B1008:B1023,""RU"",""UK"")"),"Свердло 3,8 удл.Р6М5")</f>
        <v>Свердло 3,8 удл.Р6М5</v>
      </c>
      <c r="C165" s="59" t="s">
        <v>6</v>
      </c>
      <c r="D165" s="59">
        <v>13</v>
      </c>
      <c r="E165" s="91" t="s">
        <v>366</v>
      </c>
    </row>
    <row r="166" spans="1:5">
      <c r="A166" s="21">
        <f t="shared" si="6"/>
        <v>83</v>
      </c>
      <c r="B166" s="85" t="str">
        <f ca="1">IFERROR(__xludf.DUMMYFUNCTION("GOOGLETRANSLATE(B1007:B1022,""RU"",""UK"")"),"Свердло 3,9Р6М5")</f>
        <v>Свердло 3,9Р6М5</v>
      </c>
      <c r="C166" s="59" t="s">
        <v>6</v>
      </c>
      <c r="D166" s="59">
        <v>43</v>
      </c>
      <c r="E166" s="91">
        <v>19.5</v>
      </c>
    </row>
    <row r="167" spans="1:5">
      <c r="A167" s="21">
        <f t="shared" si="6"/>
        <v>84</v>
      </c>
      <c r="B167" s="85" t="str">
        <f ca="1">IFERROR(__xludf.DUMMYFUNCTION("GOOGLETRANSLATE(B1008:B1023,""RU"",""UK"")"),"Свердло 3,9 х120удл.Р6М5")</f>
        <v>Свердло 3,9 х120удл.Р6М5</v>
      </c>
      <c r="C167" s="59" t="s">
        <v>6</v>
      </c>
      <c r="D167" s="59">
        <v>95</v>
      </c>
      <c r="E167" s="91" t="s">
        <v>366</v>
      </c>
    </row>
    <row r="168" spans="1:5">
      <c r="A168" s="21">
        <f t="shared" si="6"/>
        <v>85</v>
      </c>
      <c r="B168" s="85" t="str">
        <f ca="1">IFERROR(__xludf.DUMMYFUNCTION("GOOGLETRANSLATE(B1009:B1024,""RU"",""UK"")"),"Свердло 4,0Р6М5")</f>
        <v>Свердло 4,0Р6М5</v>
      </c>
      <c r="C168" s="59" t="s">
        <v>6</v>
      </c>
      <c r="D168" s="59">
        <v>2</v>
      </c>
      <c r="E168" s="91">
        <v>24</v>
      </c>
    </row>
    <row r="169" spans="1:5">
      <c r="A169" s="21">
        <f t="shared" si="6"/>
        <v>86</v>
      </c>
      <c r="B169" s="85" t="str">
        <f ca="1">IFERROR(__xludf.DUMMYFUNCTION("GOOGLETRANSLATE(B1010:B1025,""RU"",""UK"")"),"Свердло 4,0Р6М5 коротке")</f>
        <v>Свердло 4,0Р6М5 коротке</v>
      </c>
      <c r="C169" s="59" t="s">
        <v>6</v>
      </c>
      <c r="D169" s="59">
        <v>21</v>
      </c>
      <c r="E169" s="91" t="s">
        <v>290</v>
      </c>
    </row>
    <row r="170" spans="1:5">
      <c r="A170" s="21">
        <f t="shared" si="6"/>
        <v>87</v>
      </c>
      <c r="B170" s="169" t="str">
        <f ca="1">IFERROR(__xludf.DUMMYFUNCTION("GOOGLETRANSLATE(B1011:B1026,""RU"",""UK"")"),"Свердло 4.0Р6М5К5")</f>
        <v>Свердло 4.0Р6М5К5</v>
      </c>
      <c r="C170" s="59" t="s">
        <v>6</v>
      </c>
      <c r="D170" s="59">
        <v>61</v>
      </c>
      <c r="E170" s="91" t="s">
        <v>366</v>
      </c>
    </row>
    <row r="171" spans="1:5">
      <c r="A171" s="21">
        <f t="shared" si="6"/>
        <v>88</v>
      </c>
      <c r="B171" s="169" t="str">
        <f ca="1">IFERROR(__xludf.DUMMYFUNCTION("GOOGLETRANSLATE(B1011:B1026,""RU"",""UK"")"),"Свердло 4.0Р18")</f>
        <v>Свердло 4.0Р18</v>
      </c>
      <c r="C171" s="59" t="s">
        <v>6</v>
      </c>
      <c r="D171" s="59">
        <v>0</v>
      </c>
      <c r="E171" s="91">
        <v>30</v>
      </c>
    </row>
    <row r="172" spans="1:5">
      <c r="A172" s="21">
        <f t="shared" si="6"/>
        <v>89</v>
      </c>
      <c r="B172" s="85" t="str">
        <f ca="1">IFERROR(__xludf.DUMMYFUNCTION("GOOGLETRANSLATE(B1011:B1026,""RU"",""UK"")"),"Свердло 4.0Р6М5А1")</f>
        <v>Свердло 4.0Р6М5А1</v>
      </c>
      <c r="C172" s="59" t="s">
        <v>6</v>
      </c>
      <c r="D172" s="59">
        <v>5</v>
      </c>
      <c r="E172" s="91" t="s">
        <v>366</v>
      </c>
    </row>
    <row r="173" spans="1:5">
      <c r="A173" s="21">
        <f t="shared" si="6"/>
        <v>90</v>
      </c>
      <c r="B173" s="85" t="str">
        <f ca="1">IFERROR(__xludf.DUMMYFUNCTION("GOOGLETRANSLATE(B1012:B1027,""RU"",""UK"")"),"Свердло 4,0х150дл.Р6М5")</f>
        <v>Свердло 4,0х150дл.Р6М5</v>
      </c>
      <c r="C173" s="59" t="s">
        <v>6</v>
      </c>
      <c r="D173" s="59">
        <v>14</v>
      </c>
      <c r="E173" s="91" t="s">
        <v>124</v>
      </c>
    </row>
    <row r="174" spans="1:5">
      <c r="A174" s="21">
        <f t="shared" si="6"/>
        <v>91</v>
      </c>
      <c r="B174" s="85" t="str">
        <f ca="1">IFERROR(__xludf.DUMMYFUNCTION("GOOGLETRANSLATE(B1013:B1028,""RU"",""UK"")"),"Свердло 4,1Р9")</f>
        <v>Свердло 4,1Р9</v>
      </c>
      <c r="C174" s="59" t="s">
        <v>6</v>
      </c>
      <c r="D174" s="59">
        <v>5</v>
      </c>
      <c r="E174" s="91" t="s">
        <v>417</v>
      </c>
    </row>
    <row r="175" spans="1:5">
      <c r="A175" s="21">
        <f t="shared" si="6"/>
        <v>92</v>
      </c>
      <c r="B175" s="85" t="str">
        <f ca="1">IFERROR(__xludf.DUMMYFUNCTION("GOOGLETRANSLATE(B1014:B1029,""RU"",""UK"")"),"Свердло 4,1 Р6М5")</f>
        <v>Свердло 4,1 Р6М5</v>
      </c>
      <c r="C175" s="59" t="s">
        <v>6</v>
      </c>
      <c r="D175" s="160">
        <v>2</v>
      </c>
      <c r="E175" s="91" t="s">
        <v>290</v>
      </c>
    </row>
    <row r="176" spans="1:5">
      <c r="A176" s="21">
        <f t="shared" si="6"/>
        <v>93</v>
      </c>
      <c r="B176" s="85" t="str">
        <f ca="1">IFERROR(__xludf.DUMMYFUNCTION("GOOGLETRANSLATE(B1014:B1029,""RU"",""UK"")"),"Свердло 4,2Р6М5")</f>
        <v>Свердло 4,2Р6М5</v>
      </c>
      <c r="C176" s="59" t="s">
        <v>6</v>
      </c>
      <c r="D176" s="160">
        <v>0</v>
      </c>
      <c r="E176" s="91" t="s">
        <v>290</v>
      </c>
    </row>
    <row r="177" spans="1:5">
      <c r="A177" s="21">
        <f t="shared" si="6"/>
        <v>94</v>
      </c>
      <c r="B177" s="85" t="str">
        <f ca="1">IFERROR(__xludf.DUMMYFUNCTION("GOOGLETRANSLATE(B1013:B1028,""RU"",""UK"")"),"Свердло 4,2Р9")</f>
        <v>Свердло 4,2Р9</v>
      </c>
      <c r="C177" s="59" t="s">
        <v>6</v>
      </c>
      <c r="D177" s="59">
        <v>9</v>
      </c>
      <c r="E177" s="91" t="s">
        <v>417</v>
      </c>
    </row>
    <row r="178" spans="1:5">
      <c r="A178" s="21">
        <f t="shared" si="6"/>
        <v>95</v>
      </c>
      <c r="B178" s="169" t="str">
        <f ca="1">IFERROR(__xludf.DUMMYFUNCTION("GOOGLETRANSLATE(B1015:B1030,""RU"",""UK"")"),"Свердло 4,2Р6М5К5")</f>
        <v>Свердло 4,2Р6М5К5</v>
      </c>
      <c r="C178" s="59" t="s">
        <v>6</v>
      </c>
      <c r="D178" s="59">
        <v>100</v>
      </c>
      <c r="E178" s="91" t="s">
        <v>124</v>
      </c>
    </row>
    <row r="179" spans="1:5">
      <c r="A179" s="21">
        <f t="shared" si="6"/>
        <v>96</v>
      </c>
      <c r="B179" s="164" t="str">
        <f ca="1">IFERROR(__xludf.DUMMYFUNCTION("GOOGLETRANSLATE(B1015:B1030,""RU"",""UK"")"),"Свердло 4,2Р18")</f>
        <v>Свердло 4,2Р18</v>
      </c>
      <c r="C179" s="59" t="s">
        <v>6</v>
      </c>
      <c r="D179" s="59">
        <v>0</v>
      </c>
      <c r="E179" s="91">
        <v>31.5</v>
      </c>
    </row>
    <row r="180" spans="1:5">
      <c r="A180" s="21">
        <f t="shared" si="6"/>
        <v>97</v>
      </c>
      <c r="B180" s="85" t="str">
        <f ca="1">IFERROR(__xludf.DUMMYFUNCTION("GOOGLETRANSLATE(B1015:B1030,""RU"",""UK"")"),"Свердло 4,2Р6М5А1")</f>
        <v>Свердло 4,2Р6М5А1</v>
      </c>
      <c r="C180" s="59" t="s">
        <v>6</v>
      </c>
      <c r="D180" s="59">
        <v>2</v>
      </c>
      <c r="E180" s="91" t="s">
        <v>124</v>
      </c>
    </row>
    <row r="181" spans="1:5">
      <c r="A181" s="21">
        <f t="shared" si="6"/>
        <v>98</v>
      </c>
      <c r="B181" s="85" t="str">
        <f ca="1">IFERROR(__xludf.DUMMYFUNCTION("GOOGLETRANSLATE(B1015:B1030,""RU"",""UK"")"),"Свердло 4,2Р6М5Аtaka")</f>
        <v>Свердло 4,2Р6М5Аtaka</v>
      </c>
      <c r="C181" s="59" t="s">
        <v>6</v>
      </c>
      <c r="D181" s="59">
        <v>6</v>
      </c>
      <c r="E181" s="91" t="s">
        <v>124</v>
      </c>
    </row>
    <row r="182" spans="1:5">
      <c r="A182" s="21">
        <f t="shared" si="6"/>
        <v>99</v>
      </c>
      <c r="B182" s="85" t="str">
        <f ca="1">IFERROR(__xludf.DUMMYFUNCTION("GOOGLETRANSLATE(B1016:B1031,""RU"",""UK"")"),"Свердло 4,2х120 дл.Р6М5А1")</f>
        <v>Свердло 4,2х120 дл.Р6М5А1</v>
      </c>
      <c r="C182" s="59" t="s">
        <v>6</v>
      </c>
      <c r="D182" s="59">
        <v>43</v>
      </c>
      <c r="E182" s="91">
        <v>36</v>
      </c>
    </row>
    <row r="183" spans="1:5">
      <c r="A183" s="21">
        <f t="shared" si="6"/>
        <v>100</v>
      </c>
      <c r="B183" s="85" t="str">
        <f ca="1">IFERROR(__xludf.DUMMYFUNCTION("GOOGLETRANSLATE(B1017:B1032,""RU"",""UK"")"),"Свердло 4,3Р9")</f>
        <v>Свердло 4,3Р9</v>
      </c>
      <c r="C183" s="59" t="s">
        <v>6</v>
      </c>
      <c r="D183" s="59">
        <v>7</v>
      </c>
      <c r="E183" s="91" t="s">
        <v>1427</v>
      </c>
    </row>
    <row r="184" spans="1:5">
      <c r="A184" s="21">
        <f t="shared" si="6"/>
        <v>101</v>
      </c>
      <c r="B184" s="85" t="str">
        <f ca="1">IFERROR(__xludf.DUMMYFUNCTION("GOOGLETRANSLATE(B1018:B1033,""RU"",""UK"")"),"Свердло 4,3Р6М5")</f>
        <v>Свердло 4,3Р6М5</v>
      </c>
      <c r="C184" s="59" t="s">
        <v>6</v>
      </c>
      <c r="D184" s="59">
        <v>76</v>
      </c>
      <c r="E184" s="91" t="s">
        <v>1430</v>
      </c>
    </row>
    <row r="185" spans="1:5">
      <c r="A185" s="21">
        <f t="shared" si="6"/>
        <v>102</v>
      </c>
      <c r="B185" s="85" t="str">
        <f ca="1">IFERROR(__xludf.DUMMYFUNCTION("GOOGLETRANSLATE(B1016:B1031,""RU"",""UK"")"),"Свердло 4,3дл.Р6М5 А1")</f>
        <v>Свердло 4,3дл.Р6М5 А1</v>
      </c>
      <c r="C185" s="59" t="s">
        <v>6</v>
      </c>
      <c r="D185" s="59">
        <v>1</v>
      </c>
      <c r="E185" s="91" t="s">
        <v>248</v>
      </c>
    </row>
    <row r="186" spans="1:5">
      <c r="A186" s="21">
        <f t="shared" si="6"/>
        <v>103</v>
      </c>
      <c r="B186" s="85" t="str">
        <f ca="1">IFERROR(__xludf.DUMMYFUNCTION("GOOGLETRANSLATE(B1018:B1033,""RU"",""UK"")"),"Свердло 4,4Р6М5")</f>
        <v>Свердло 4,4Р6М5</v>
      </c>
      <c r="C186" s="59" t="s">
        <v>6</v>
      </c>
      <c r="D186" s="59">
        <v>61</v>
      </c>
      <c r="E186" s="91" t="s">
        <v>1430</v>
      </c>
    </row>
    <row r="187" spans="1:5">
      <c r="A187" s="21">
        <f t="shared" si="6"/>
        <v>104</v>
      </c>
      <c r="B187" s="85" t="str">
        <f ca="1">IFERROR(__xludf.DUMMYFUNCTION("GOOGLETRANSLATE(B1019:B1034,""RU"",""UK"")"),"Свердло 4.4х120Р6М5")</f>
        <v>Свердло 4.4х120Р6М5</v>
      </c>
      <c r="C187" s="59" t="s">
        <v>6</v>
      </c>
      <c r="D187" s="59">
        <v>54</v>
      </c>
      <c r="E187" s="91">
        <v>33</v>
      </c>
    </row>
    <row r="188" spans="1:5">
      <c r="A188" s="21">
        <f t="shared" si="6"/>
        <v>105</v>
      </c>
      <c r="B188" s="85" t="str">
        <f ca="1">IFERROR(__xludf.DUMMYFUNCTION("GOOGLETRANSLATE(B1019:B1034,""RU"",""UK"")"),"Свердло 4,4х125удл. Р6М5")</f>
        <v>Свердло 4,4х125удл. Р6М5</v>
      </c>
      <c r="C188" s="59" t="s">
        <v>6</v>
      </c>
      <c r="D188" s="59">
        <v>24</v>
      </c>
      <c r="E188" s="91">
        <v>33</v>
      </c>
    </row>
    <row r="189" spans="1:5">
      <c r="A189" s="21">
        <f t="shared" si="6"/>
        <v>106</v>
      </c>
      <c r="B189" s="85" t="str">
        <f ca="1">IFERROR(__xludf.DUMMYFUNCTION("GOOGLETRANSLATE(B1021:B1036,""RU"",""UK"")"),"Свердло 4,5Р6М5")</f>
        <v>Свердло 4,5Р6М5</v>
      </c>
      <c r="C189" s="59" t="s">
        <v>6</v>
      </c>
      <c r="D189" s="59">
        <v>6</v>
      </c>
      <c r="E189" s="91" t="s">
        <v>1434</v>
      </c>
    </row>
    <row r="190" spans="1:5">
      <c r="A190" s="21">
        <f t="shared" si="6"/>
        <v>107</v>
      </c>
      <c r="B190" s="85" t="str">
        <f ca="1">IFERROR(__xludf.DUMMYFUNCTION("GOOGLETRANSLATE(B1021:B1036,""RU"",""UK"")"),"Свердло 4,5Р6М5К5")</f>
        <v>Свердло 4,5Р6М5К5</v>
      </c>
      <c r="C190" s="59" t="s">
        <v>6</v>
      </c>
      <c r="D190" s="59">
        <v>29</v>
      </c>
      <c r="E190" s="91">
        <v>31.5</v>
      </c>
    </row>
    <row r="191" spans="1:5">
      <c r="A191" s="21">
        <f t="shared" si="6"/>
        <v>108</v>
      </c>
      <c r="B191" s="85" t="str">
        <f ca="1">IFERROR(__xludf.DUMMYFUNCTION("GOOGLETRANSLATE(B1015:B1030,""RU"",""UK"")"),"Свердло 4,5Р18")</f>
        <v>Свердло 4,5Р18</v>
      </c>
      <c r="C191" s="59" t="s">
        <v>6</v>
      </c>
      <c r="D191" s="59">
        <v>34</v>
      </c>
      <c r="E191" s="91">
        <v>31.5</v>
      </c>
    </row>
    <row r="192" spans="1:5">
      <c r="A192" s="21">
        <f t="shared" si="6"/>
        <v>109</v>
      </c>
      <c r="B192" s="85" t="str">
        <f ca="1">IFERROR(__xludf.DUMMYFUNCTION("GOOGLETRANSLATE(B1021:B1036,""RU"",""UK"")"),"Свердло 4,6Р6М5")</f>
        <v>Свердло 4,6Р6М5</v>
      </c>
      <c r="C192" s="59" t="s">
        <v>6</v>
      </c>
      <c r="D192" s="59">
        <v>70</v>
      </c>
      <c r="E192" s="91" t="s">
        <v>1437</v>
      </c>
    </row>
    <row r="193" spans="1:5">
      <c r="A193" s="21">
        <f t="shared" si="6"/>
        <v>110</v>
      </c>
      <c r="B193" s="85" t="str">
        <f ca="1">IFERROR(__xludf.DUMMYFUNCTION("GOOGLETRANSLATE(B1022:B1037,""RU"",""UK"")"),"Свердло 4,5х120дл.Р6М5А1")</f>
        <v>Свердло 4,5х120дл.Р6М5А1</v>
      </c>
      <c r="C193" s="59" t="s">
        <v>6</v>
      </c>
      <c r="D193" s="59">
        <v>15</v>
      </c>
      <c r="E193" s="91">
        <v>39</v>
      </c>
    </row>
    <row r="194" spans="1:5">
      <c r="A194" s="21">
        <f t="shared" si="6"/>
        <v>111</v>
      </c>
      <c r="B194" s="85" t="str">
        <f ca="1">IFERROR(__xludf.DUMMYFUNCTION("GOOGLETRANSLATE(B1023:B1038,""RU"",""UK"")"),"Свердло 4,7 Р6М5")</f>
        <v>Свердло 4,7 Р6М5</v>
      </c>
      <c r="C194" s="59" t="s">
        <v>6</v>
      </c>
      <c r="D194" s="59">
        <v>55</v>
      </c>
      <c r="E194" s="91" t="s">
        <v>124</v>
      </c>
    </row>
    <row r="195" spans="1:5">
      <c r="A195" s="21">
        <f t="shared" si="6"/>
        <v>112</v>
      </c>
      <c r="B195" s="200" t="str">
        <f ca="1">IFERROR(__xludf.DUMMYFUNCTION("GOOGLETRANSLATE(B1024:B1039,""RU"",""UK"")"),"Свердло 4,7х120дл.Р6М5")</f>
        <v>Свердло 4,7х120дл.Р6М5</v>
      </c>
      <c r="C195" s="59" t="s">
        <v>6</v>
      </c>
      <c r="D195" s="59">
        <v>0</v>
      </c>
      <c r="E195" s="91" t="s">
        <v>167</v>
      </c>
    </row>
    <row r="196" spans="1:5">
      <c r="A196" s="21">
        <f t="shared" si="6"/>
        <v>113</v>
      </c>
      <c r="B196" s="85" t="str">
        <f ca="1">IFERROR(__xludf.DUMMYFUNCTION("GOOGLETRANSLATE(B1023:B1038,""RU"",""UK"")"),"Свердло 4.8 Р6М5")</f>
        <v>Свердло 4.8 Р6М5</v>
      </c>
      <c r="C196" s="59" t="s">
        <v>6</v>
      </c>
      <c r="D196" s="59">
        <v>12</v>
      </c>
      <c r="E196" s="91" t="s">
        <v>124</v>
      </c>
    </row>
    <row r="197" spans="1:5">
      <c r="A197" s="21">
        <f t="shared" si="6"/>
        <v>114</v>
      </c>
      <c r="B197" s="85" t="str">
        <f ca="1">IFERROR(__xludf.DUMMYFUNCTION("GOOGLETRANSLATE(B1025:B1040,""RU"",""UK"")"),"Свердло 4,8Р18")</f>
        <v>Свердло 4,8Р18</v>
      </c>
      <c r="C197" s="59" t="s">
        <v>6</v>
      </c>
      <c r="D197" s="59">
        <v>6</v>
      </c>
      <c r="E197" s="91">
        <v>37.200000000000003</v>
      </c>
    </row>
    <row r="198" spans="1:5">
      <c r="A198" s="21">
        <f t="shared" si="6"/>
        <v>115</v>
      </c>
      <c r="B198" s="85" t="str">
        <f ca="1">IFERROR(__xludf.DUMMYFUNCTION("GOOGLETRANSLATE(B1026:B1041,""RU"",""UK"")"),"Свердло 5,0 Р9")</f>
        <v>Свердло 5,0 Р9</v>
      </c>
      <c r="C198" s="59" t="s">
        <v>6</v>
      </c>
      <c r="D198" s="59">
        <v>5</v>
      </c>
      <c r="E198" s="91" t="s">
        <v>292</v>
      </c>
    </row>
    <row r="199" spans="1:5">
      <c r="A199" s="21">
        <f t="shared" ref="A199:A298" si="9">A198+1</f>
        <v>116</v>
      </c>
      <c r="B199" s="169" t="str">
        <f ca="1">IFERROR(__xludf.DUMMYFUNCTION("GOOGLETRANSLATE(B1027:B1042,""RU"",""UK"")"),"Свердло 5,0 Р6М5К5")</f>
        <v>Свердло 5,0 Р6М5К5</v>
      </c>
      <c r="C199" s="59" t="s">
        <v>6</v>
      </c>
      <c r="D199" s="59">
        <v>56</v>
      </c>
      <c r="E199" s="91">
        <v>37.200000000000003</v>
      </c>
    </row>
    <row r="200" spans="1:5">
      <c r="A200" s="21">
        <f t="shared" si="9"/>
        <v>117</v>
      </c>
      <c r="B200" s="169" t="str">
        <f ca="1">IFERROR(__xludf.DUMMYFUNCTION("GOOGLETRANSLATE(B1027:B1042,""RU"",""UK"")"),"Свердло 5,0 Р6М5")</f>
        <v>Свердло 5,0 Р6М5</v>
      </c>
      <c r="C200" s="59" t="s">
        <v>6</v>
      </c>
      <c r="D200" s="59">
        <v>23</v>
      </c>
      <c r="E200" s="91">
        <v>34.799999999999997</v>
      </c>
    </row>
    <row r="201" spans="1:5">
      <c r="A201" s="21">
        <f t="shared" si="9"/>
        <v>118</v>
      </c>
      <c r="B201" s="85" t="str">
        <f ca="1">IFERROR(__xludf.DUMMYFUNCTION("GOOGLETRANSLATE(B1028:B1043,""RU"",""UK"")"),"Свердло 5,0 дл.")</f>
        <v>Свердло 5,0 дл.</v>
      </c>
      <c r="C201" s="59" t="s">
        <v>6</v>
      </c>
      <c r="D201" s="59">
        <v>1</v>
      </c>
      <c r="E201" s="91" t="s">
        <v>169</v>
      </c>
    </row>
    <row r="202" spans="1:5">
      <c r="A202" s="21">
        <f t="shared" si="9"/>
        <v>119</v>
      </c>
      <c r="B202" s="85" t="str">
        <f ca="1">IFERROR(__xludf.DUMMYFUNCTION("GOOGLETRANSLATE(B1029:B1044,""RU"",""UK"")"),"Свердло 5,1Р6М5")</f>
        <v>Свердло 5,1Р6М5</v>
      </c>
      <c r="C202" s="59" t="s">
        <v>6</v>
      </c>
      <c r="D202" s="160">
        <v>3</v>
      </c>
      <c r="E202" s="91">
        <v>36</v>
      </c>
    </row>
    <row r="203" spans="1:5">
      <c r="A203" s="21">
        <f t="shared" si="9"/>
        <v>120</v>
      </c>
      <c r="B203" s="85" t="str">
        <f ca="1">IFERROR(__xludf.DUMMYFUNCTION("GOOGLETRANSLATE(B1029:B1044,""RU"",""UK"")"),"Свердло 5,1Р6М5К5")</f>
        <v>Свердло 5,1Р6М5К5</v>
      </c>
      <c r="C203" s="59" t="s">
        <v>6</v>
      </c>
      <c r="D203" s="160">
        <v>30</v>
      </c>
      <c r="E203" s="91">
        <v>42</v>
      </c>
    </row>
    <row r="204" spans="1:5">
      <c r="A204" s="21">
        <f t="shared" si="9"/>
        <v>121</v>
      </c>
      <c r="B204" s="85" t="str">
        <f ca="1">IFERROR(__xludf.DUMMYFUNCTION("GOOGLETRANSLATE(B1033:B1048,""RU"",""UK"")"),"Свердло 5,1х130 Р6М5 удл.")</f>
        <v>Свердло 5,1х130 Р6М5 удл.</v>
      </c>
      <c r="C204" s="59" t="s">
        <v>6</v>
      </c>
      <c r="D204" s="59">
        <v>68</v>
      </c>
      <c r="E204" s="91">
        <v>54</v>
      </c>
    </row>
    <row r="205" spans="1:5">
      <c r="A205" s="21">
        <f t="shared" si="9"/>
        <v>122</v>
      </c>
      <c r="B205" s="169" t="str">
        <f ca="1">IFERROR(__xludf.DUMMYFUNCTION("GOOGLETRANSLATE(B1029:B1044,""RU"",""UK"")"),"Свердло 5,2Р6М5")</f>
        <v>Свердло 5,2Р6М5</v>
      </c>
      <c r="C205" s="59" t="s">
        <v>6</v>
      </c>
      <c r="D205" s="59">
        <v>2</v>
      </c>
      <c r="E205" s="91">
        <v>39</v>
      </c>
    </row>
    <row r="206" spans="1:5">
      <c r="A206" s="21">
        <f t="shared" si="9"/>
        <v>123</v>
      </c>
      <c r="B206" s="169" t="str">
        <f ca="1">IFERROR(__xludf.DUMMYFUNCTION("GOOGLETRANSLATE(B1032:B1047,""RU"",""UK"")"),"Свердло 5,2Р18")</f>
        <v>Свердло 5,2Р18</v>
      </c>
      <c r="C206" s="59" t="s">
        <v>6</v>
      </c>
      <c r="D206" s="160">
        <v>9</v>
      </c>
      <c r="E206" s="91" t="s">
        <v>177</v>
      </c>
    </row>
    <row r="207" spans="1:5">
      <c r="A207" s="21">
        <f t="shared" si="9"/>
        <v>124</v>
      </c>
      <c r="B207" s="85" t="str">
        <f ca="1">IFERROR(__xludf.DUMMYFUNCTION("GOOGLETRANSLATE(B1032:B1047,""RU"",""UK"")"),"Свердло 5,2Р6М5К5")</f>
        <v>Свердло 5,2Р6М5К5</v>
      </c>
      <c r="C207" s="59" t="s">
        <v>6</v>
      </c>
      <c r="D207" s="160">
        <v>35</v>
      </c>
      <c r="E207" s="91" t="s">
        <v>177</v>
      </c>
    </row>
    <row r="208" spans="1:5">
      <c r="A208" s="21">
        <f t="shared" si="9"/>
        <v>125</v>
      </c>
      <c r="B208" s="85" t="str">
        <f ca="1">IFERROR(__xludf.DUMMYFUNCTION("GOOGLETRANSLATE(B1033:B1048,""RU"",""UK"")"),"Свердло 5,2х130 Р6М5 удл.")</f>
        <v>Свердло 5,2х130 Р6М5 удл.</v>
      </c>
      <c r="C208" s="59" t="s">
        <v>6</v>
      </c>
      <c r="D208" s="59">
        <v>2</v>
      </c>
      <c r="E208" s="91">
        <v>54</v>
      </c>
    </row>
    <row r="209" spans="1:5">
      <c r="A209" s="21">
        <f t="shared" si="9"/>
        <v>126</v>
      </c>
      <c r="B209" s="85" t="str">
        <f ca="1">IFERROR(__xludf.DUMMYFUNCTION("GOOGLETRANSLATE(B1034:B1049,""RU"",""UK"")"),"Свердло 5,3Р6М5")</f>
        <v>Свердло 5,3Р6М5</v>
      </c>
      <c r="C209" s="59" t="s">
        <v>6</v>
      </c>
      <c r="D209" s="59">
        <v>83</v>
      </c>
      <c r="E209" s="91">
        <v>39</v>
      </c>
    </row>
    <row r="210" spans="1:5">
      <c r="A210" s="21">
        <f t="shared" si="9"/>
        <v>127</v>
      </c>
      <c r="B210" s="85" t="str">
        <f ca="1">IFERROR(__xludf.DUMMYFUNCTION("GOOGLETRANSLATE(B1034:B1049,""RU"",""UK"")"),"Свердло 5,3Р9")</f>
        <v>Свердло 5,3Р9</v>
      </c>
      <c r="C210" s="59" t="s">
        <v>6</v>
      </c>
      <c r="D210" s="59">
        <v>3</v>
      </c>
      <c r="E210" s="91">
        <v>39</v>
      </c>
    </row>
    <row r="211" spans="1:5">
      <c r="A211" s="21">
        <f t="shared" si="9"/>
        <v>128</v>
      </c>
      <c r="B211" s="85" t="str">
        <f ca="1">IFERROR(__xludf.DUMMYFUNCTION("GOOGLETRANSLATE(B1035:B1050,""RU"",""UK"")"),"Свердло 5,4 Р6М5")</f>
        <v>Свердло 5,4 Р6М5</v>
      </c>
      <c r="C211" s="59" t="s">
        <v>6</v>
      </c>
      <c r="D211" s="59">
        <v>145</v>
      </c>
      <c r="E211" s="91">
        <v>39</v>
      </c>
    </row>
    <row r="212" spans="1:5">
      <c r="A212" s="21">
        <f t="shared" si="9"/>
        <v>129</v>
      </c>
      <c r="B212" s="85" t="str">
        <f ca="1">IFERROR(__xludf.DUMMYFUNCTION("GOOGLETRANSLATE(B1036:B1051,""RU"",""UK"")"),"Свердло 5,5 Р6М5")</f>
        <v>Свердло 5,5 Р6М5</v>
      </c>
      <c r="C212" s="59" t="s">
        <v>6</v>
      </c>
      <c r="D212" s="59">
        <v>84</v>
      </c>
      <c r="E212" s="91">
        <v>37.200000000000003</v>
      </c>
    </row>
    <row r="213" spans="1:5">
      <c r="A213" s="21">
        <f t="shared" si="9"/>
        <v>130</v>
      </c>
      <c r="B213" s="169" t="str">
        <f ca="1">IFERROR(__xludf.DUMMYFUNCTION("GOOGLETRANSLATE(B1037:B1052,""RU"",""UK"")"),"Свердло 5,5х140 удлР6М5")</f>
        <v>Свердло 5,5х140 удлР6М5</v>
      </c>
      <c r="C213" s="59" t="s">
        <v>6</v>
      </c>
      <c r="D213" s="59">
        <v>10</v>
      </c>
      <c r="E213" s="91">
        <v>54</v>
      </c>
    </row>
    <row r="214" spans="1:5">
      <c r="A214" s="21">
        <f t="shared" si="9"/>
        <v>131</v>
      </c>
      <c r="B214" s="85" t="str">
        <f ca="1">IFERROR(__xludf.DUMMYFUNCTION("GOOGLETRANSLATE(B1038:B1053,""RU"",""UK"")"),"Свердло 5,6Р6М5")</f>
        <v>Свердло 5,6Р6М5</v>
      </c>
      <c r="C214" s="59" t="s">
        <v>6</v>
      </c>
      <c r="D214" s="59">
        <v>24</v>
      </c>
      <c r="E214" s="91">
        <v>39</v>
      </c>
    </row>
    <row r="215" spans="1:5">
      <c r="A215" s="21">
        <f t="shared" si="9"/>
        <v>132</v>
      </c>
      <c r="B215" s="85" t="str">
        <f ca="1">IFERROR(__xludf.DUMMYFUNCTION("GOOGLETRANSLATE(B1038:B1053,""RU"",""UK"")"),"Свердло 5,7Р6М5")</f>
        <v>Свердло 5,7Р6М5</v>
      </c>
      <c r="C215" s="59" t="s">
        <v>6</v>
      </c>
      <c r="D215" s="59">
        <v>175</v>
      </c>
      <c r="E215" s="91">
        <v>39.799999999999997</v>
      </c>
    </row>
    <row r="216" spans="1:5">
      <c r="A216" s="21">
        <f t="shared" si="9"/>
        <v>133</v>
      </c>
      <c r="B216" s="164" t="str">
        <f ca="1">IFERROR(__xludf.DUMMYFUNCTION("GOOGLETRANSLATE(B1039:B1054,""RU"",""UK"")"),"Свердло 5,7х140удлР6М5А1")</f>
        <v>Свердло 5,7х140удлР6М5А1</v>
      </c>
      <c r="C216" s="59" t="s">
        <v>6</v>
      </c>
      <c r="D216" s="59">
        <v>0</v>
      </c>
      <c r="E216" s="91" t="s">
        <v>596</v>
      </c>
    </row>
    <row r="217" spans="1:5">
      <c r="A217" s="21">
        <f t="shared" si="9"/>
        <v>134</v>
      </c>
      <c r="B217" s="85" t="str">
        <f ca="1">IFERROR(__xludf.DUMMYFUNCTION("GOOGLETRANSLATE(B1040:B1055,""RU"",""UK"")"),"Свердло 5,8Р6М5")</f>
        <v>Свердло 5,8Р6М5</v>
      </c>
      <c r="C217" s="59" t="s">
        <v>6</v>
      </c>
      <c r="D217" s="59">
        <v>79</v>
      </c>
      <c r="E217" s="91">
        <v>42</v>
      </c>
    </row>
    <row r="218" spans="1:5">
      <c r="A218" s="21">
        <f t="shared" si="9"/>
        <v>135</v>
      </c>
      <c r="B218" s="85" t="str">
        <f ca="1">IFERROR(__xludf.DUMMYFUNCTION("GOOGLETRANSLATE(B1040:B1055,""RU"",""UK"")"),"Свердло 5,9Р6М5")</f>
        <v>Свердло 5,9Р6М5</v>
      </c>
      <c r="C218" s="59" t="s">
        <v>6</v>
      </c>
      <c r="D218" s="59">
        <v>20</v>
      </c>
      <c r="E218" s="91">
        <v>42</v>
      </c>
    </row>
    <row r="219" spans="1:5">
      <c r="A219" s="21">
        <f t="shared" si="9"/>
        <v>136</v>
      </c>
      <c r="B219" s="85" t="str">
        <f ca="1">IFERROR(__xludf.DUMMYFUNCTION("GOOGLETRANSLATE(B1041:B1056,""RU"",""UK"")"),"Свердло 6,0 Р9")</f>
        <v>Свердло 6,0 Р9</v>
      </c>
      <c r="C219" s="59" t="s">
        <v>6</v>
      </c>
      <c r="D219" s="59">
        <v>9</v>
      </c>
      <c r="E219" s="91" t="s">
        <v>134</v>
      </c>
    </row>
    <row r="220" spans="1:5">
      <c r="A220" s="21">
        <f t="shared" si="9"/>
        <v>137</v>
      </c>
      <c r="B220" s="85" t="str">
        <f ca="1">IFERROR(__xludf.DUMMYFUNCTION("GOOGLETRANSLATE(B1042:B1057,""RU"",""UK"")"),"Свердло 6,0 HSS-G (P12) BOСSH")</f>
        <v>Свердло 6,0 HSS-G (P12) BOСSH</v>
      </c>
      <c r="C220" s="59" t="s">
        <v>6</v>
      </c>
      <c r="D220" s="59">
        <v>40</v>
      </c>
      <c r="E220" s="91" t="s">
        <v>1468</v>
      </c>
    </row>
    <row r="221" spans="1:5">
      <c r="A221" s="21">
        <f t="shared" si="9"/>
        <v>138</v>
      </c>
      <c r="B221" s="169" t="str">
        <f ca="1">IFERROR(__xludf.DUMMYFUNCTION("GOOGLETRANSLATE(B1043:B1058,""RU"",""UK"")"),"Свердло 6,0 Р6М5К5")</f>
        <v>Свердло 6,0 Р6М5К5</v>
      </c>
      <c r="C221" s="59" t="s">
        <v>6</v>
      </c>
      <c r="D221" s="59">
        <v>16</v>
      </c>
      <c r="E221" s="91" t="s">
        <v>1468</v>
      </c>
    </row>
    <row r="222" spans="1:5">
      <c r="A222" s="21">
        <f t="shared" si="9"/>
        <v>139</v>
      </c>
      <c r="B222" s="169" t="str">
        <f ca="1">IFERROR(__xludf.DUMMYFUNCTION("GOOGLETRANSLATE(B1043:B1058,""RU"",""UK"")"),"Свердло 6,0 Р18")</f>
        <v>Свердло 6,0 Р18</v>
      </c>
      <c r="C222" s="59" t="s">
        <v>6</v>
      </c>
      <c r="D222" s="59">
        <v>16</v>
      </c>
      <c r="E222" s="91" t="s">
        <v>1468</v>
      </c>
    </row>
    <row r="223" spans="1:5">
      <c r="A223" s="21">
        <f t="shared" si="9"/>
        <v>140</v>
      </c>
      <c r="B223" s="85" t="str">
        <f ca="1">IFERROR(__xludf.DUMMYFUNCTION("GOOGLETRANSLATE(B1044:B1059,""RU"",""UK"")"),"Свердло 6,0х300(200мм раб.)удл Р6М5 СРСР")</f>
        <v>Свердло 6,0х300(200мм раб.)удл Р6М5 СРСР</v>
      </c>
      <c r="C223" s="59" t="s">
        <v>6</v>
      </c>
      <c r="D223" s="59">
        <v>0</v>
      </c>
      <c r="E223" s="91">
        <v>120</v>
      </c>
    </row>
    <row r="224" spans="1:5">
      <c r="A224" s="21">
        <f t="shared" si="9"/>
        <v>141</v>
      </c>
      <c r="B224" s="85" t="str">
        <f ca="1">IFERROR(__xludf.DUMMYFUNCTION("GOOGLETRANSLATE(B1045:B1060,""RU"",""UK"")"),"Свердло 6,1Р6М5")</f>
        <v>Свердло 6,1Р6М5</v>
      </c>
      <c r="C224" s="59" t="s">
        <v>6</v>
      </c>
      <c r="D224" s="59">
        <v>241</v>
      </c>
      <c r="E224" s="91" t="s">
        <v>304</v>
      </c>
    </row>
    <row r="225" spans="1:5">
      <c r="A225" s="21">
        <f t="shared" si="9"/>
        <v>142</v>
      </c>
      <c r="B225" s="85" t="str">
        <f ca="1">IFERROR(__xludf.DUMMYFUNCTION("GOOGLETRANSLATE(B1045:B1060,""RU"",""UK"")"),"Свердло 6,2Р6М5")</f>
        <v>Свердло 6,2Р6М5</v>
      </c>
      <c r="C225" s="59" t="s">
        <v>6</v>
      </c>
      <c r="D225" s="59">
        <v>15</v>
      </c>
      <c r="E225" s="91" t="s">
        <v>304</v>
      </c>
    </row>
    <row r="226" spans="1:5">
      <c r="A226" s="21">
        <f t="shared" si="9"/>
        <v>143</v>
      </c>
      <c r="B226" s="85" t="str">
        <f ca="1">IFERROR(__xludf.DUMMYFUNCTION("GOOGLETRANSLATE(B1045:B1060,""RU"",""UK"")"),"Свердло 6,2Р6АМ5")</f>
        <v>Свердло 6,2Р6АМ5</v>
      </c>
      <c r="C226" s="59" t="s">
        <v>6</v>
      </c>
      <c r="D226" s="59">
        <v>27</v>
      </c>
      <c r="E226" s="91">
        <v>51</v>
      </c>
    </row>
    <row r="227" spans="1:5">
      <c r="A227" s="21">
        <f t="shared" si="9"/>
        <v>144</v>
      </c>
      <c r="B227" s="85" t="str">
        <f ca="1">IFERROR(__xludf.DUMMYFUNCTION("GOOGLETRANSLATE(B1045:B1060,""RU"",""UK"")"),"Свердло 6,2Р18")</f>
        <v>Свердло 6,2Р18</v>
      </c>
      <c r="C227" s="59" t="s">
        <v>6</v>
      </c>
      <c r="D227" s="59">
        <v>10</v>
      </c>
      <c r="E227" s="91">
        <v>54</v>
      </c>
    </row>
    <row r="228" spans="1:5">
      <c r="A228" s="21">
        <f t="shared" si="9"/>
        <v>145</v>
      </c>
      <c r="B228" s="85" t="str">
        <f ca="1">IFERROR(__xludf.DUMMYFUNCTION("GOOGLETRANSLATE(B1046:B1061,""RU"",""UK"")"),"Свердло 6,2х150 Р6М5А1")</f>
        <v>Свердло 6,2х150 Р6М5А1</v>
      </c>
      <c r="C228" s="59" t="s">
        <v>6</v>
      </c>
      <c r="D228" s="59">
        <v>13</v>
      </c>
      <c r="E228" s="91" t="s">
        <v>255</v>
      </c>
    </row>
    <row r="229" spans="1:5">
      <c r="A229" s="21">
        <f t="shared" si="9"/>
        <v>146</v>
      </c>
      <c r="B229" s="85" t="str">
        <f ca="1">IFERROR(__xludf.DUMMYFUNCTION("GOOGLETRANSLATE(B1046:B1061,""RU"",""UK"")"),"Свердло 6,2х150 Р6М5К5")</f>
        <v>Свердло 6,2х150 Р6М5К5</v>
      </c>
      <c r="C229" s="59" t="s">
        <v>6</v>
      </c>
      <c r="D229" s="59">
        <v>7</v>
      </c>
      <c r="E229" s="91" t="s">
        <v>255</v>
      </c>
    </row>
    <row r="230" spans="1:5">
      <c r="A230" s="21">
        <f t="shared" si="9"/>
        <v>147</v>
      </c>
      <c r="B230" s="85" t="str">
        <f ca="1">IFERROR(__xludf.DUMMYFUNCTION("GOOGLETRANSLATE(B1045:B1060,""RU"",""UK"")"),"Свердло 6,3Р6М5")</f>
        <v>Свердло 6,3Р6М5</v>
      </c>
      <c r="C230" s="59" t="s">
        <v>6</v>
      </c>
      <c r="D230" s="59">
        <v>350</v>
      </c>
      <c r="E230" s="91" t="s">
        <v>304</v>
      </c>
    </row>
    <row r="231" spans="1:5">
      <c r="A231" s="21">
        <f t="shared" si="9"/>
        <v>148</v>
      </c>
      <c r="B231" s="85" t="str">
        <f ca="1">IFERROR(__xludf.DUMMYFUNCTION("GOOGLETRANSLATE(B1046:B1061,""RU"",""UK"")"),"Свердло 6,3х140 Р6М5")</f>
        <v>Свердло 6,3х140 Р6М5</v>
      </c>
      <c r="C231" s="59" t="s">
        <v>6</v>
      </c>
      <c r="D231" s="59">
        <v>37</v>
      </c>
      <c r="E231" s="91" t="s">
        <v>255</v>
      </c>
    </row>
    <row r="232" spans="1:5">
      <c r="A232" s="21">
        <f t="shared" si="9"/>
        <v>149</v>
      </c>
      <c r="B232" s="85" t="str">
        <f ca="1">IFERROR(__xludf.DUMMYFUNCTION("GOOGLETRANSLATE(B1047:B1062,""RU"",""UK"")"),"Свердло 6,4Р6М5")</f>
        <v>Свердло 6,4Р6М5</v>
      </c>
      <c r="C232" s="59" t="s">
        <v>6</v>
      </c>
      <c r="D232" s="59">
        <v>420</v>
      </c>
      <c r="E232" s="91" t="s">
        <v>314</v>
      </c>
    </row>
    <row r="233" spans="1:5">
      <c r="A233" s="21">
        <f t="shared" si="9"/>
        <v>150</v>
      </c>
      <c r="B233" s="85" t="str">
        <f ca="1">IFERROR(__xludf.DUMMYFUNCTION("GOOGLETRANSLATE(B1050:B1065,""RU"",""UK"")"),"Свердло 6,4 удл Р6М5")</f>
        <v>Свердло 6,4 удл Р6М5</v>
      </c>
      <c r="C233" s="59" t="s">
        <v>6</v>
      </c>
      <c r="D233" s="59">
        <v>66</v>
      </c>
      <c r="E233" s="91" t="s">
        <v>181</v>
      </c>
    </row>
    <row r="234" spans="1:5">
      <c r="A234" s="21">
        <f t="shared" si="9"/>
        <v>151</v>
      </c>
      <c r="B234" s="85" t="str">
        <f ca="1">IFERROR(__xludf.DUMMYFUNCTION("GOOGLETRANSLATE(B1047:B1062,""RU"",""UK"")"),"Свердло 6,5Р6М5")</f>
        <v>Свердло 6,5Р6М5</v>
      </c>
      <c r="C234" s="59" t="s">
        <v>6</v>
      </c>
      <c r="D234" s="59">
        <v>78</v>
      </c>
      <c r="E234" s="91" t="s">
        <v>314</v>
      </c>
    </row>
    <row r="235" spans="1:5">
      <c r="A235" s="21">
        <f t="shared" si="9"/>
        <v>152</v>
      </c>
      <c r="B235" s="85" t="str">
        <f ca="1">IFERROR(__xludf.DUMMYFUNCTION("GOOGLETRANSLATE(B1048:B1063,""RU"",""UK"")"),"Свердло 6,5 Р9")</f>
        <v>Свердло 6,5 Р9</v>
      </c>
      <c r="C235" s="59" t="s">
        <v>6</v>
      </c>
      <c r="D235" s="59">
        <v>9</v>
      </c>
      <c r="E235" s="91" t="s">
        <v>167</v>
      </c>
    </row>
    <row r="236" spans="1:5">
      <c r="A236" s="21">
        <f t="shared" si="9"/>
        <v>153</v>
      </c>
      <c r="B236" s="85" t="str">
        <f ca="1">IFERROR(__xludf.DUMMYFUNCTION("GOOGLETRANSLATE(B1049:B1064,""RU"",""UK"")"),"Свердло 6,5 Р6М5К5")</f>
        <v>Свердло 6,5 Р6М5К5</v>
      </c>
      <c r="C236" s="59" t="s">
        <v>6</v>
      </c>
      <c r="D236" s="59">
        <v>26</v>
      </c>
      <c r="E236" s="91" t="s">
        <v>598</v>
      </c>
    </row>
    <row r="237" spans="1:5">
      <c r="A237" s="21">
        <f t="shared" si="9"/>
        <v>154</v>
      </c>
      <c r="B237" s="85" t="str">
        <f ca="1">IFERROR(__xludf.DUMMYFUNCTION("GOOGLETRANSLATE(B1050:B1065,""RU"",""UK"")"),"Свердло 6,5 х150удл Р6М5")</f>
        <v>Свердло 6,5 х150удл Р6М5</v>
      </c>
      <c r="C237" s="59" t="s">
        <v>6</v>
      </c>
      <c r="D237" s="59">
        <v>153</v>
      </c>
      <c r="E237" s="91" t="s">
        <v>181</v>
      </c>
    </row>
    <row r="238" spans="1:5">
      <c r="A238" s="21">
        <f t="shared" si="9"/>
        <v>155</v>
      </c>
      <c r="B238" s="85" t="str">
        <f ca="1">IFERROR(__xludf.DUMMYFUNCTION("GOOGLETRANSLATE(B1051:B1066,""RU"",""UK"")"),"Свердло 6,6 Р6М5")</f>
        <v>Свердло 6,6 Р6М5</v>
      </c>
      <c r="C238" s="59" t="s">
        <v>6</v>
      </c>
      <c r="D238" s="59">
        <v>466</v>
      </c>
      <c r="E238" s="91" t="s">
        <v>253</v>
      </c>
    </row>
    <row r="239" spans="1:5">
      <c r="A239" s="21">
        <f t="shared" si="9"/>
        <v>156</v>
      </c>
      <c r="B239" s="85" t="str">
        <f ca="1">IFERROR(__xludf.DUMMYFUNCTION("GOOGLETRANSLATE(B1051:B1066,""RU"",""UK"")"),"Свердло 6,7 Р6М5")</f>
        <v>Свердло 6,7 Р6М5</v>
      </c>
      <c r="C239" s="59" t="s">
        <v>6</v>
      </c>
      <c r="D239" s="59">
        <v>8</v>
      </c>
      <c r="E239" s="91">
        <v>54</v>
      </c>
    </row>
    <row r="240" spans="1:5">
      <c r="A240" s="21">
        <f t="shared" si="9"/>
        <v>157</v>
      </c>
      <c r="B240" s="85" t="str">
        <f ca="1">IFERROR(__xludf.DUMMYFUNCTION("GOOGLETRANSLATE(B1051:B1066,""RU"",""UK"")"),"Свердло 6,7 Р18")</f>
        <v>Свердло 6,7 Р18</v>
      </c>
      <c r="C240" s="59" t="s">
        <v>6</v>
      </c>
      <c r="D240" s="59">
        <v>10</v>
      </c>
      <c r="E240" s="91">
        <v>69</v>
      </c>
    </row>
    <row r="241" spans="1:5">
      <c r="A241" s="21">
        <f t="shared" si="9"/>
        <v>158</v>
      </c>
      <c r="B241" s="85" t="str">
        <f ca="1">IFERROR(__xludf.DUMMYFUNCTION("GOOGLETRANSLATE(B1052:B1067,""RU"",""UK"")"),"Свердло 6,7 х150удл Р6М5")</f>
        <v>Свердло 6,7 х150удл Р6М5</v>
      </c>
      <c r="C241" s="59" t="s">
        <v>6</v>
      </c>
      <c r="D241" s="59">
        <v>19</v>
      </c>
      <c r="E241" s="91" t="s">
        <v>257</v>
      </c>
    </row>
    <row r="242" spans="1:5">
      <c r="A242" s="21">
        <f t="shared" si="9"/>
        <v>159</v>
      </c>
      <c r="B242" s="85" t="str">
        <f ca="1">IFERROR(__xludf.DUMMYFUNCTION("GOOGLETRANSLATE(B1053:B1068,""RU"",""UK"")"),"Свердло 6,7 х150удл Р6М5 А1")</f>
        <v>Свердло 6,7 х150удл Р6М5 А1</v>
      </c>
      <c r="C242" s="59" t="s">
        <v>6</v>
      </c>
      <c r="D242" s="59">
        <v>18</v>
      </c>
      <c r="E242" s="91" t="s">
        <v>104</v>
      </c>
    </row>
    <row r="243" spans="1:5">
      <c r="A243" s="21">
        <f t="shared" si="9"/>
        <v>160</v>
      </c>
      <c r="B243" s="85" t="str">
        <f ca="1">IFERROR(__xludf.DUMMYFUNCTION("GOOGLETRANSLATE(B1053:B1068,""RU"",""UK"")"),"Свердло 6,7 х150удл Р6М5к5 А1")</f>
        <v>Свердло 6,7 х150удл Р6М5к5 А1</v>
      </c>
      <c r="C243" s="59" t="s">
        <v>6</v>
      </c>
      <c r="D243" s="59">
        <v>17</v>
      </c>
      <c r="E243" s="91" t="s">
        <v>104</v>
      </c>
    </row>
    <row r="244" spans="1:5">
      <c r="A244" s="21">
        <f t="shared" si="9"/>
        <v>161</v>
      </c>
      <c r="B244" s="85" t="str">
        <f ca="1">IFERROR(__xludf.DUMMYFUNCTION("GOOGLETRANSLATE(B1054:B1069,""RU"",""UK"")"),"Свердло 6,8 Р6М5")</f>
        <v>Свердло 6,8 Р6М5</v>
      </c>
      <c r="C244" s="59" t="s">
        <v>6</v>
      </c>
      <c r="D244" s="59">
        <v>82</v>
      </c>
      <c r="E244" s="91" t="s">
        <v>314</v>
      </c>
    </row>
    <row r="245" spans="1:5">
      <c r="A245" s="21">
        <f t="shared" si="9"/>
        <v>162</v>
      </c>
      <c r="B245" s="85" t="str">
        <f ca="1">IFERROR(__xludf.DUMMYFUNCTION("GOOGLETRANSLATE(B1055:B1070,""RU"",""UK"")"),"Свердло 6,8 А1 Р6М5")</f>
        <v>Свердло 6,8 А1 Р6М5</v>
      </c>
      <c r="C245" s="59" t="s">
        <v>6</v>
      </c>
      <c r="D245" s="59">
        <v>8</v>
      </c>
      <c r="E245" s="91">
        <v>65.400000000000006</v>
      </c>
    </row>
    <row r="246" spans="1:5">
      <c r="A246" s="21">
        <f t="shared" si="9"/>
        <v>163</v>
      </c>
      <c r="B246" s="85" t="str">
        <f ca="1">IFERROR(__xludf.DUMMYFUNCTION("GOOGLETRANSLATE(B1055:B1070,""RU"",""UK"")"),"Свердло 6,8 Р6М5К5")</f>
        <v>Свердло 6,8 Р6М5К5</v>
      </c>
      <c r="C246" s="59" t="s">
        <v>6</v>
      </c>
      <c r="D246" s="59">
        <v>10</v>
      </c>
      <c r="E246" s="91" t="s">
        <v>598</v>
      </c>
    </row>
    <row r="247" spans="1:5">
      <c r="A247" s="21">
        <f t="shared" si="9"/>
        <v>164</v>
      </c>
      <c r="B247" s="85" t="str">
        <f ca="1">IFERROR(__xludf.DUMMYFUNCTION("GOOGLETRANSLATE(B1055:B1070,""RU"",""UK"")"),"Свердло 6,8 Р6АМ5")</f>
        <v>Свердло 6,8 Р6АМ5</v>
      </c>
      <c r="C247" s="59" t="s">
        <v>6</v>
      </c>
      <c r="D247" s="59">
        <v>38</v>
      </c>
      <c r="E247" s="91" t="s">
        <v>598</v>
      </c>
    </row>
    <row r="248" spans="1:5">
      <c r="A248" s="21">
        <f t="shared" si="9"/>
        <v>165</v>
      </c>
      <c r="B248" s="85" t="str">
        <f ca="1">IFERROR(__xludf.DUMMYFUNCTION("GOOGLETRANSLATE(B1056:B1071,""RU"",""UK"")"),"Свердло 6,8х140-150 Р6М5")</f>
        <v>Свердло 6,8х140-150 Р6М5</v>
      </c>
      <c r="C248" s="59" t="s">
        <v>6</v>
      </c>
      <c r="D248" s="59">
        <v>56</v>
      </c>
      <c r="E248" s="91" t="s">
        <v>257</v>
      </c>
    </row>
    <row r="249" spans="1:5">
      <c r="A249" s="21">
        <f t="shared" si="9"/>
        <v>166</v>
      </c>
      <c r="B249" s="85" t="str">
        <f ca="1">IFERROR(__xludf.DUMMYFUNCTION("GOOGLETRANSLATE(B1054:B1069,""RU"",""UK"")"),"Свердло 6,9 Р6М5")</f>
        <v>Свердло 6,9 Р6М5</v>
      </c>
      <c r="C249" s="59" t="s">
        <v>6</v>
      </c>
      <c r="D249" s="59">
        <v>160</v>
      </c>
      <c r="E249" s="91" t="s">
        <v>314</v>
      </c>
    </row>
    <row r="250" spans="1:5">
      <c r="A250" s="21">
        <f t="shared" si="9"/>
        <v>167</v>
      </c>
      <c r="B250" s="85" t="str">
        <f ca="1">IFERROR(__xludf.DUMMYFUNCTION("GOOGLETRANSLATE(B1056:B1071,""RU"",""UK"")"),"Свердло 6,9х140уд.Р6М5")</f>
        <v>Свердло 6,9х140уд.Р6М5</v>
      </c>
      <c r="C250" s="59" t="s">
        <v>6</v>
      </c>
      <c r="D250" s="59">
        <v>56</v>
      </c>
      <c r="E250" s="91" t="s">
        <v>257</v>
      </c>
    </row>
    <row r="251" spans="1:5">
      <c r="A251" s="21">
        <f t="shared" si="9"/>
        <v>168</v>
      </c>
      <c r="B251" s="85" t="str">
        <f ca="1">IFERROR(__xludf.DUMMYFUNCTION("GOOGLETRANSLATE(B1058:B1073,""RU"",""UK"")"),"Свердло 7,0 Р6М5 СРСР")</f>
        <v>Свердло 7,0 Р6М5 СРСР</v>
      </c>
      <c r="C251" s="59" t="s">
        <v>6</v>
      </c>
      <c r="D251" s="59">
        <v>72</v>
      </c>
      <c r="E251" s="91" t="s">
        <v>209</v>
      </c>
    </row>
    <row r="252" spans="1:5">
      <c r="A252" s="21">
        <f t="shared" si="9"/>
        <v>169</v>
      </c>
      <c r="B252" s="85" t="str">
        <f ca="1">IFERROR(__xludf.DUMMYFUNCTION("GOOGLETRANSLATE(B1059:B1074,""RU"",""UK"")"),"Свердло 7,0 HSS-G (P12) BOСSH")</f>
        <v>Свердло 7,0 HSS-G (P12) BOСSH</v>
      </c>
      <c r="C252" s="59" t="s">
        <v>6</v>
      </c>
      <c r="D252" s="59">
        <v>92</v>
      </c>
      <c r="E252" s="91" t="s">
        <v>257</v>
      </c>
    </row>
    <row r="253" spans="1:5">
      <c r="A253" s="21">
        <f t="shared" si="9"/>
        <v>170</v>
      </c>
      <c r="B253" s="85" t="s">
        <v>6116</v>
      </c>
      <c r="C253" s="59" t="s">
        <v>6</v>
      </c>
      <c r="D253" s="59">
        <v>12</v>
      </c>
      <c r="E253" s="91" t="s">
        <v>257</v>
      </c>
    </row>
    <row r="254" spans="1:5">
      <c r="A254" s="21">
        <f t="shared" si="9"/>
        <v>171</v>
      </c>
      <c r="B254" s="85" t="s">
        <v>6128</v>
      </c>
      <c r="C254" s="59" t="s">
        <v>6</v>
      </c>
      <c r="D254" s="59">
        <v>13</v>
      </c>
      <c r="E254" s="91" t="s">
        <v>257</v>
      </c>
    </row>
    <row r="255" spans="1:5">
      <c r="A255" s="21">
        <f t="shared" si="9"/>
        <v>172</v>
      </c>
      <c r="B255" s="85" t="str">
        <f ca="1">IFERROR(__xludf.DUMMYFUNCTION("GOOGLETRANSLATE(B1060:B1075,""RU"",""UK"")"),"Свердло 7,0 удл.Р6М5")</f>
        <v>Свердло 7,0 удл.Р6М5</v>
      </c>
      <c r="C255" s="59" t="s">
        <v>6</v>
      </c>
      <c r="D255" s="59">
        <v>175</v>
      </c>
      <c r="E255" s="91" t="s">
        <v>183</v>
      </c>
    </row>
    <row r="256" spans="1:5">
      <c r="A256" s="21">
        <f t="shared" si="9"/>
        <v>173</v>
      </c>
      <c r="B256" s="85" t="str">
        <f ca="1">IFERROR(__xludf.DUMMYFUNCTION("GOOGLETRANSLATE(B1060:B1075,""RU"",""UK"")"),"Свердло 7,0х150удл.Р6М5")</f>
        <v>Свердло 7,0х150удл.Р6М5</v>
      </c>
      <c r="C256" s="59" t="s">
        <v>6</v>
      </c>
      <c r="D256" s="59">
        <v>29</v>
      </c>
      <c r="E256" s="91" t="s">
        <v>183</v>
      </c>
    </row>
    <row r="257" spans="1:5">
      <c r="A257" s="21">
        <f t="shared" si="9"/>
        <v>174</v>
      </c>
      <c r="B257" s="85" t="str">
        <f ca="1">IFERROR(__xludf.DUMMYFUNCTION("GOOGLETRANSLATE(B1061:B1076,""RU"",""UK"")"),"Свердло 7,0х370удл.Р6М5")</f>
        <v>Свердло 7,0х370удл.Р6М5</v>
      </c>
      <c r="C257" s="59" t="s">
        <v>6</v>
      </c>
      <c r="D257" s="59">
        <v>1</v>
      </c>
      <c r="E257" s="91" t="s">
        <v>371</v>
      </c>
    </row>
    <row r="258" spans="1:5">
      <c r="A258" s="21">
        <f t="shared" si="9"/>
        <v>175</v>
      </c>
      <c r="B258" s="85" t="str">
        <f ca="1">IFERROR(__xludf.DUMMYFUNCTION("GOOGLETRANSLATE(B1062:B1077,""RU"",""UK"")"),"Свердло 7,1удл. Р6М5")</f>
        <v>Свердло 7,1удл. Р6М5</v>
      </c>
      <c r="C258" s="59" t="s">
        <v>6</v>
      </c>
      <c r="D258" s="59">
        <v>12</v>
      </c>
      <c r="E258" s="91" t="s">
        <v>183</v>
      </c>
    </row>
    <row r="259" spans="1:5">
      <c r="A259" s="21">
        <f t="shared" si="9"/>
        <v>176</v>
      </c>
      <c r="B259" s="85" t="str">
        <f ca="1">IFERROR(__xludf.DUMMYFUNCTION("GOOGLETRANSLATE(B1063:B1078,""RU"",""UK"")"),"Свердло 7,1 Р6М5")</f>
        <v>Свердло 7,1 Р6М5</v>
      </c>
      <c r="C259" s="59" t="s">
        <v>6</v>
      </c>
      <c r="D259" s="59">
        <v>487</v>
      </c>
      <c r="E259" s="91" t="s">
        <v>209</v>
      </c>
    </row>
    <row r="260" spans="1:5">
      <c r="A260" s="21">
        <f t="shared" si="9"/>
        <v>177</v>
      </c>
      <c r="B260" s="85" t="str">
        <f ca="1">IFERROR(__xludf.DUMMYFUNCTION("GOOGLETRANSLATE(B1063:B1078,""RU"",""UK"")"),"Свердло 7,2 Р6М5")</f>
        <v>Свердло 7,2 Р6М5</v>
      </c>
      <c r="C260" s="59" t="s">
        <v>6</v>
      </c>
      <c r="D260" s="59">
        <v>137</v>
      </c>
      <c r="E260" s="91" t="s">
        <v>209</v>
      </c>
    </row>
    <row r="261" spans="1:5">
      <c r="A261" s="21">
        <f t="shared" si="9"/>
        <v>178</v>
      </c>
      <c r="B261" s="85" t="str">
        <f ca="1">IFERROR(__xludf.DUMMYFUNCTION("GOOGLETRANSLATE(B1062:B1077,""RU"",""UK"")"),"Свердло 7,2х150удл.Р6М5")</f>
        <v>Свердло 7,2х150удл.Р6М5</v>
      </c>
      <c r="C261" s="59" t="s">
        <v>6</v>
      </c>
      <c r="D261" s="59">
        <v>11</v>
      </c>
      <c r="E261" s="91" t="s">
        <v>183</v>
      </c>
    </row>
    <row r="262" spans="1:5">
      <c r="A262" s="21">
        <f t="shared" si="9"/>
        <v>179</v>
      </c>
      <c r="B262" s="85" t="str">
        <f ca="1">IFERROR(__xludf.DUMMYFUNCTION("GOOGLETRANSLATE(B1064:B1079,""RU"",""UK"")"),"Свердло 7,3Р6М5")</f>
        <v>Свердло 7,3Р6М5</v>
      </c>
      <c r="C262" s="59" t="s">
        <v>6</v>
      </c>
      <c r="D262" s="59">
        <v>770</v>
      </c>
      <c r="E262" s="91" t="s">
        <v>181</v>
      </c>
    </row>
    <row r="263" spans="1:5">
      <c r="A263" s="21">
        <f t="shared" si="9"/>
        <v>180</v>
      </c>
      <c r="B263" s="85" t="str">
        <f ca="1">IFERROR(__xludf.DUMMYFUNCTION("GOOGLETRANSLATE(B1067:B1082,""RU"",""UK"")"),"Свердло 7,3х160удл Р6М5")</f>
        <v>Свердло 7,3х160удл Р6М5</v>
      </c>
      <c r="C263" s="59" t="s">
        <v>6</v>
      </c>
      <c r="D263" s="59">
        <v>9</v>
      </c>
      <c r="E263" s="91" t="s">
        <v>371</v>
      </c>
    </row>
    <row r="264" spans="1:5">
      <c r="A264" s="21">
        <f t="shared" si="9"/>
        <v>181</v>
      </c>
      <c r="B264" s="85" t="str">
        <f ca="1">IFERROR(__xludf.DUMMYFUNCTION("GOOGLETRANSLATE(B1064:B1079,""RU"",""UK"")"),"Свердло 7,4Р6М5")</f>
        <v>Свердло 7,4Р6М5</v>
      </c>
      <c r="C264" s="59" t="s">
        <v>6</v>
      </c>
      <c r="D264" s="59">
        <v>82</v>
      </c>
      <c r="E264" s="91" t="s">
        <v>181</v>
      </c>
    </row>
    <row r="265" spans="1:5">
      <c r="A265" s="21">
        <f t="shared" si="9"/>
        <v>182</v>
      </c>
      <c r="B265" s="85" t="str">
        <f ca="1">IFERROR(__xludf.DUMMYFUNCTION("GOOGLETRANSLATE(B1065:B1080,""RU"",""UK"")"),"Свердло 7,5Р6М5")</f>
        <v>Свердло 7,5Р6М5</v>
      </c>
      <c r="C265" s="59" t="s">
        <v>6</v>
      </c>
      <c r="D265" s="59">
        <v>142</v>
      </c>
      <c r="E265" s="91" t="s">
        <v>257</v>
      </c>
    </row>
    <row r="266" spans="1:5">
      <c r="A266" s="21">
        <f t="shared" si="9"/>
        <v>183</v>
      </c>
      <c r="B266" s="85" t="str">
        <f ca="1">IFERROR(__xludf.DUMMYFUNCTION("GOOGLETRANSLATE(B1066:B1081,""RU"",""UK"")"),"Свердло 7,5 Р6М5К5")</f>
        <v>Свердло 7,5 Р6М5К5</v>
      </c>
      <c r="C266" s="58" t="s">
        <v>6</v>
      </c>
      <c r="D266" s="58">
        <v>10</v>
      </c>
      <c r="E266" s="102" t="s">
        <v>104</v>
      </c>
    </row>
    <row r="267" spans="1:5">
      <c r="A267" s="21">
        <f t="shared" si="9"/>
        <v>184</v>
      </c>
      <c r="B267" s="85" t="str">
        <f ca="1">IFERROR(__xludf.DUMMYFUNCTION("GOOGLETRANSLATE(B1067:B1082,""RU"",""UK"")"),"Свердло 7,5х150удл.Р6М5")</f>
        <v>Свердло 7,5х150удл.Р6М5</v>
      </c>
      <c r="C267" s="59" t="s">
        <v>6</v>
      </c>
      <c r="D267" s="160">
        <v>9</v>
      </c>
      <c r="E267" s="91" t="s">
        <v>371</v>
      </c>
    </row>
    <row r="268" spans="1:5">
      <c r="A268" s="21">
        <f t="shared" si="9"/>
        <v>185</v>
      </c>
      <c r="B268" s="85" t="str">
        <f ca="1">IFERROR(__xludf.DUMMYFUNCTION("GOOGLETRANSLATE(B1068:B1083,""RU"",""UK"")"),"Свердло 7,6 Р6М5")</f>
        <v>Свердло 7,6 Р6М5</v>
      </c>
      <c r="C268" s="59" t="s">
        <v>6</v>
      </c>
      <c r="D268" s="59">
        <v>236</v>
      </c>
      <c r="E268" s="91" t="s">
        <v>183</v>
      </c>
    </row>
    <row r="269" spans="1:5">
      <c r="A269" s="21">
        <f t="shared" si="9"/>
        <v>186</v>
      </c>
      <c r="B269" s="85" t="str">
        <f ca="1">IFERROR(__xludf.DUMMYFUNCTION("GOOGLETRANSLATE(B1067:B1082,""RU"",""UK"")"),"Свердло 7,6х160 удл Р6М5")</f>
        <v>Свердло 7,6х160 удл Р6М5</v>
      </c>
      <c r="C269" s="59" t="s">
        <v>6</v>
      </c>
      <c r="D269" s="160">
        <v>35</v>
      </c>
      <c r="E269" s="91" t="s">
        <v>371</v>
      </c>
    </row>
    <row r="270" spans="1:5">
      <c r="A270" s="21">
        <f t="shared" si="9"/>
        <v>187</v>
      </c>
      <c r="B270" s="85" t="str">
        <f ca="1">IFERROR(__xludf.DUMMYFUNCTION("GOOGLETRANSLATE(B1068:B1083,""RU"",""UK"")"),"Свердло 7,7 Р6М5")</f>
        <v>Свердло 7,7 Р6М5</v>
      </c>
      <c r="C270" s="59" t="s">
        <v>6</v>
      </c>
      <c r="D270" s="59">
        <v>242</v>
      </c>
      <c r="E270" s="91" t="s">
        <v>183</v>
      </c>
    </row>
    <row r="271" spans="1:5">
      <c r="A271" s="21">
        <f t="shared" si="9"/>
        <v>188</v>
      </c>
      <c r="B271" s="85" t="str">
        <f ca="1">IFERROR(__xludf.DUMMYFUNCTION("GOOGLETRANSLATE(B1069:B1084,""RU"",""UK"")"),"Свердло 7,8 Р6М5")</f>
        <v>Свердло 7,8 Р6М5</v>
      </c>
      <c r="C271" s="59" t="s">
        <v>6</v>
      </c>
      <c r="D271" s="59">
        <v>527</v>
      </c>
      <c r="E271" s="91" t="s">
        <v>183</v>
      </c>
    </row>
    <row r="272" spans="1:5">
      <c r="A272" s="21">
        <f t="shared" si="9"/>
        <v>189</v>
      </c>
      <c r="B272" s="85" t="str">
        <f ca="1">IFERROR(__xludf.DUMMYFUNCTION("GOOGLETRANSLATE(B1069:B1084,""RU"",""UK"")"),"Свердло 7,9 Р6М5")</f>
        <v>Свердло 7,9 Р6М5</v>
      </c>
      <c r="C272" s="59" t="s">
        <v>6</v>
      </c>
      <c r="D272" s="59">
        <v>216</v>
      </c>
      <c r="E272" s="91" t="s">
        <v>183</v>
      </c>
    </row>
    <row r="273" spans="1:5">
      <c r="A273" s="21">
        <f t="shared" si="9"/>
        <v>190</v>
      </c>
      <c r="B273" s="85" t="str">
        <f ca="1">IFERROR(__xludf.DUMMYFUNCTION("GOOGLETRANSLATE(B1070:B1085,""RU"",""UK"")"),"Свердло 8,0Р9")</f>
        <v>Свердло 8,0Р9</v>
      </c>
      <c r="C273" s="59" t="s">
        <v>6</v>
      </c>
      <c r="D273" s="59">
        <v>3</v>
      </c>
      <c r="E273" s="91" t="s">
        <v>181</v>
      </c>
    </row>
    <row r="274" spans="1:5">
      <c r="A274" s="21">
        <f t="shared" si="9"/>
        <v>191</v>
      </c>
      <c r="B274" s="85" t="str">
        <f ca="1">IFERROR(__xludf.DUMMYFUNCTION("GOOGLETRANSLATE(B1071:B1086,""RU"",""UK"")"),"Свердло 8,0 Р6М5 СРСР")</f>
        <v>Свердло 8,0 Р6М5 СРСР</v>
      </c>
      <c r="C274" s="59" t="s">
        <v>6</v>
      </c>
      <c r="D274" s="59">
        <v>60</v>
      </c>
      <c r="E274" s="91">
        <v>87</v>
      </c>
    </row>
    <row r="275" spans="1:5">
      <c r="A275" s="21">
        <f t="shared" si="9"/>
        <v>192</v>
      </c>
      <c r="B275" s="85" t="str">
        <f ca="1">IFERROR(__xludf.DUMMYFUNCTION("GOOGLETRANSLATE(B1072:B1087,""RU"",""UK"")"),"Свердло 8,0 HSS (Р6М5) Аtaka")</f>
        <v>Свердло 8,0 HSS (Р6М5) Аtaka</v>
      </c>
      <c r="C275" s="59" t="s">
        <v>6</v>
      </c>
      <c r="D275" s="59">
        <v>4</v>
      </c>
      <c r="E275" s="91" t="s">
        <v>564</v>
      </c>
    </row>
    <row r="276" spans="1:5">
      <c r="A276" s="21">
        <f t="shared" si="9"/>
        <v>193</v>
      </c>
      <c r="B276" s="85" t="str">
        <f ca="1">IFERROR(__xludf.DUMMYFUNCTION("GOOGLETRANSLATE(B1073:B1088,""RU"",""UK"")"),"Свердло 8,1 Р6М5")</f>
        <v>Свердло 8,1 Р6М5</v>
      </c>
      <c r="C276" s="59" t="s">
        <v>6</v>
      </c>
      <c r="D276" s="59">
        <v>137</v>
      </c>
      <c r="E276" s="91" t="s">
        <v>614</v>
      </c>
    </row>
    <row r="277" spans="1:5">
      <c r="A277" s="21">
        <f t="shared" si="9"/>
        <v>194</v>
      </c>
      <c r="B277" s="85" t="str">
        <f ca="1">IFERROR(__xludf.DUMMYFUNCTION("GOOGLETRANSLATE(B1074:B1089,""RU"",""UK"")"),"Свердло 8,2Р6М5")</f>
        <v>Свердло 8,2Р6М5</v>
      </c>
      <c r="C277" s="59" t="s">
        <v>6</v>
      </c>
      <c r="D277" s="59">
        <v>7</v>
      </c>
      <c r="E277" s="91">
        <v>87</v>
      </c>
    </row>
    <row r="278" spans="1:5">
      <c r="A278" s="21">
        <f t="shared" si="9"/>
        <v>195</v>
      </c>
      <c r="B278" s="85" t="str">
        <f ca="1">IFERROR(__xludf.DUMMYFUNCTION("GOOGLETRANSLATE(B1075:B1090,""RU"",""UK"")"),"Свердло 8,2 Р6М5К5")</f>
        <v>Свердло 8,2 Р6М5К5</v>
      </c>
      <c r="C278" s="59" t="s">
        <v>6</v>
      </c>
      <c r="D278" s="59">
        <v>20</v>
      </c>
      <c r="E278" s="91" t="s">
        <v>1518</v>
      </c>
    </row>
    <row r="279" spans="1:5">
      <c r="A279" s="21">
        <f t="shared" si="9"/>
        <v>196</v>
      </c>
      <c r="B279" s="85" t="str">
        <f ca="1">IFERROR(__xludf.DUMMYFUNCTION("GOOGLETRANSLATE(B1076:B1091,""RU"",""UK"")"),"Свердло 8,3 удл. Р6М5")</f>
        <v>Свердло 8,3 удл. Р6М5</v>
      </c>
      <c r="C279" s="59" t="s">
        <v>6</v>
      </c>
      <c r="D279" s="59">
        <v>5</v>
      </c>
      <c r="E279" s="91" t="s">
        <v>104</v>
      </c>
    </row>
    <row r="280" spans="1:5">
      <c r="A280" s="21">
        <f t="shared" si="9"/>
        <v>197</v>
      </c>
      <c r="B280" s="85" t="str">
        <f ca="1">IFERROR(__xludf.DUMMYFUNCTION("GOOGLETRANSLATE(B1077:B1092,""RU"",""UK"")"),"Свердло 8,3 Р6М5")</f>
        <v>Свердло 8,3 Р6М5</v>
      </c>
      <c r="C280" s="59" t="s">
        <v>6</v>
      </c>
      <c r="D280" s="59">
        <v>598</v>
      </c>
      <c r="E280" s="91" t="s">
        <v>104</v>
      </c>
    </row>
    <row r="281" spans="1:5">
      <c r="A281" s="21">
        <f t="shared" si="9"/>
        <v>198</v>
      </c>
      <c r="B281" s="85" t="str">
        <f ca="1">IFERROR(__xludf.DUMMYFUNCTION("GOOGLETRANSLATE(B1077:B1092,""RU"",""UK"")"),"Свердло 8,4Р6М5")</f>
        <v>Свердло 8,4Р6М5</v>
      </c>
      <c r="C281" s="59" t="s">
        <v>6</v>
      </c>
      <c r="D281" s="59">
        <v>25</v>
      </c>
      <c r="E281" s="91" t="s">
        <v>104</v>
      </c>
    </row>
    <row r="282" spans="1:5">
      <c r="A282" s="21">
        <f t="shared" si="9"/>
        <v>199</v>
      </c>
      <c r="B282" s="85" t="str">
        <f ca="1">IFERROR(__xludf.DUMMYFUNCTION("GOOGLETRANSLATE(B1080:B1095,""RU"",""UK"")"),"Свердло 8,4 х160удл. Р6М5")</f>
        <v>Свердло 8,4 х160удл. Р6М5</v>
      </c>
      <c r="C282" s="59" t="s">
        <v>6</v>
      </c>
      <c r="D282" s="59">
        <v>33</v>
      </c>
      <c r="E282" s="91" t="s">
        <v>194</v>
      </c>
    </row>
    <row r="283" spans="1:5">
      <c r="A283" s="21">
        <f t="shared" si="9"/>
        <v>200</v>
      </c>
      <c r="B283" s="169" t="str">
        <f ca="1">IFERROR(__xludf.DUMMYFUNCTION("GOOGLETRANSLATE(B1078:B1093,""RU"",""UK"")"),"Свердло 8,5 Р9")</f>
        <v>Свердло 8,5 Р9</v>
      </c>
      <c r="C283" s="59" t="s">
        <v>6</v>
      </c>
      <c r="D283" s="59">
        <v>3</v>
      </c>
      <c r="E283" s="91" t="s">
        <v>371</v>
      </c>
    </row>
    <row r="284" spans="1:5">
      <c r="A284" s="21">
        <f t="shared" si="9"/>
        <v>201</v>
      </c>
      <c r="B284" s="169" t="str">
        <f ca="1">IFERROR(__xludf.DUMMYFUNCTION("GOOGLETRANSLATE(B1079:B1094,""RU"",""UK"")"),"Свердло 8,5 Р6М5 СРСР")</f>
        <v>Свердло 8,5 Р6М5 СРСР</v>
      </c>
      <c r="C284" s="59" t="s">
        <v>6</v>
      </c>
      <c r="D284" s="59">
        <v>44</v>
      </c>
      <c r="E284" s="91">
        <v>96</v>
      </c>
    </row>
    <row r="285" spans="1:5">
      <c r="A285" s="21">
        <f t="shared" si="9"/>
        <v>202</v>
      </c>
      <c r="B285" s="85" t="str">
        <f ca="1">IFERROR(__xludf.DUMMYFUNCTION("GOOGLETRANSLATE(B1079:B1094,""RU"",""UK"")"),"Свердло 8,5 Р6М5К5")</f>
        <v>Свердло 8,5 Р6М5К5</v>
      </c>
      <c r="C285" s="59" t="s">
        <v>6</v>
      </c>
      <c r="D285" s="59">
        <v>45</v>
      </c>
      <c r="E285" s="91">
        <v>125</v>
      </c>
    </row>
    <row r="286" spans="1:5">
      <c r="A286" s="21">
        <f t="shared" si="9"/>
        <v>203</v>
      </c>
      <c r="B286" s="85" t="str">
        <f ca="1">IFERROR(__xludf.DUMMYFUNCTION("GOOGLETRANSLATE(B1080:B1095,""RU"",""UK"")"),"Свердло 8,5х160удл Р6М5")</f>
        <v>Свердло 8,5х160удл Р6М5</v>
      </c>
      <c r="C286" s="59" t="s">
        <v>6</v>
      </c>
      <c r="D286" s="59">
        <v>122</v>
      </c>
      <c r="E286" s="91" t="s">
        <v>194</v>
      </c>
    </row>
    <row r="287" spans="1:5">
      <c r="A287" s="21">
        <f t="shared" si="9"/>
        <v>204</v>
      </c>
      <c r="B287" s="85" t="str">
        <f ca="1">IFERROR(__xludf.DUMMYFUNCTION("GOOGLETRANSLATE(B1081:B1096,""RU"",""UK"")"),"Свердло 8,5х160(100)удл Р6М5А1")</f>
        <v>Свердло 8,5х160(100)удл Р6М5А1</v>
      </c>
      <c r="C287" s="59" t="s">
        <v>6</v>
      </c>
      <c r="D287" s="59">
        <v>18</v>
      </c>
      <c r="E287" s="91">
        <v>150</v>
      </c>
    </row>
    <row r="288" spans="1:5">
      <c r="A288" s="21">
        <f t="shared" si="9"/>
        <v>205</v>
      </c>
      <c r="B288" s="85" t="str">
        <f ca="1">IFERROR(__xludf.DUMMYFUNCTION("GOOGLETRANSLATE(B1080:B1095,""RU"",""UK"")"),"Свердло 8,5х280(100)удл Р6М5")</f>
        <v>Свердло 8,5х280(100)удл Р6М5</v>
      </c>
      <c r="C288" s="59" t="s">
        <v>6</v>
      </c>
      <c r="D288" s="59">
        <v>2</v>
      </c>
      <c r="E288" s="91">
        <v>170</v>
      </c>
    </row>
    <row r="289" spans="1:5">
      <c r="A289" s="21">
        <f t="shared" si="9"/>
        <v>206</v>
      </c>
      <c r="B289" s="85" t="str">
        <f ca="1">IFERROR(__xludf.DUMMYFUNCTION("GOOGLETRANSLATE(B1080:B1095,""RU"",""UK"")"),"Свердло 8,5х400(120)удл Р6М5")</f>
        <v>Свердло 8,5х400(120)удл Р6М5</v>
      </c>
      <c r="C289" s="59" t="s">
        <v>6</v>
      </c>
      <c r="D289" s="59">
        <v>2</v>
      </c>
      <c r="E289" s="91">
        <v>180</v>
      </c>
    </row>
    <row r="290" spans="1:5">
      <c r="A290" s="21">
        <f t="shared" si="9"/>
        <v>207</v>
      </c>
      <c r="B290" s="85" t="str">
        <f ca="1">IFERROR(__xludf.DUMMYFUNCTION("GOOGLETRANSLATE(B1082:B1097,""RU"",""UK"")"),"Свердло 8.6удл Р6М5")</f>
        <v>Свердло 8.6удл Р6М5</v>
      </c>
      <c r="C290" s="59" t="s">
        <v>6</v>
      </c>
      <c r="D290" s="59">
        <v>1</v>
      </c>
      <c r="E290" s="91" t="s">
        <v>1518</v>
      </c>
    </row>
    <row r="291" spans="1:5">
      <c r="A291" s="21">
        <f t="shared" si="9"/>
        <v>208</v>
      </c>
      <c r="B291" s="85" t="str">
        <f ca="1">IFERROR(__xludf.DUMMYFUNCTION("GOOGLETRANSLATE(B1083:B1098,""RU"",""UK"")"),"Свердло 8,6 Р6М5")</f>
        <v>Свердло 8,6 Р6М5</v>
      </c>
      <c r="C291" s="59" t="s">
        <v>6</v>
      </c>
      <c r="D291" s="59">
        <v>227</v>
      </c>
      <c r="E291" s="91">
        <v>96</v>
      </c>
    </row>
    <row r="292" spans="1:5">
      <c r="A292" s="21">
        <f t="shared" si="9"/>
        <v>209</v>
      </c>
      <c r="B292" s="85" t="str">
        <f ca="1">IFERROR(__xludf.DUMMYFUNCTION("GOOGLETRANSLATE(B1083:B1098,""RU"",""UK"")"),"Свердло 8,7 Р6М5")</f>
        <v>Свердло 8,7 Р6М5</v>
      </c>
      <c r="C292" s="59" t="s">
        <v>6</v>
      </c>
      <c r="D292" s="59">
        <v>486</v>
      </c>
      <c r="E292" s="91">
        <v>96</v>
      </c>
    </row>
    <row r="293" spans="1:5">
      <c r="A293" s="21">
        <f t="shared" si="9"/>
        <v>210</v>
      </c>
      <c r="B293" s="85" t="str">
        <f ca="1">IFERROR(__xludf.DUMMYFUNCTION("GOOGLETRANSLATE(B1084:B1099,""RU"",""UK"")"),"Свердло 8,7х170 Р6М5")</f>
        <v>Свердло 8,7х170 Р6М5</v>
      </c>
      <c r="C293" s="59" t="s">
        <v>6</v>
      </c>
      <c r="D293" s="59">
        <v>1</v>
      </c>
      <c r="E293" s="91" t="s">
        <v>1518</v>
      </c>
    </row>
    <row r="294" spans="1:5">
      <c r="A294" s="21">
        <f t="shared" si="9"/>
        <v>211</v>
      </c>
      <c r="B294" s="85" t="str">
        <f ca="1">IFERROR(__xludf.DUMMYFUNCTION("GOOGLETRANSLATE(B1085:B1100,""RU"",""UK"")"),"Свердло 8,8 Р6М5")</f>
        <v>Свердло 8,8 Р6М5</v>
      </c>
      <c r="C294" s="59" t="s">
        <v>6</v>
      </c>
      <c r="D294" s="59">
        <v>76</v>
      </c>
      <c r="E294" s="91">
        <v>96</v>
      </c>
    </row>
    <row r="295" spans="1:5">
      <c r="A295" s="21">
        <f t="shared" si="9"/>
        <v>212</v>
      </c>
      <c r="B295" s="85" t="str">
        <f ca="1">IFERROR(__xludf.DUMMYFUNCTION("GOOGLETRANSLATE(B1085:B1100,""RU"",""UK"")"),"Свердло 8,9Р6М5")</f>
        <v>Свердло 8,9Р6М5</v>
      </c>
      <c r="C295" s="59" t="s">
        <v>6</v>
      </c>
      <c r="D295" s="59">
        <v>37</v>
      </c>
      <c r="E295" s="91">
        <v>96</v>
      </c>
    </row>
    <row r="296" spans="1:5">
      <c r="A296" s="21">
        <f t="shared" si="9"/>
        <v>213</v>
      </c>
      <c r="B296" s="85" t="str">
        <f ca="1">IFERROR(__xludf.DUMMYFUNCTION("GOOGLETRANSLATE(B1086:B1101,""RU"",""UK"")"),"Свердло 8.9х170удл. Р6М5")</f>
        <v>Свердло 8.9х170удл. Р6М5</v>
      </c>
      <c r="C296" s="59" t="s">
        <v>6</v>
      </c>
      <c r="D296" s="59">
        <v>25</v>
      </c>
      <c r="E296" s="91" t="s">
        <v>1518</v>
      </c>
    </row>
    <row r="297" spans="1:5">
      <c r="A297" s="21">
        <f t="shared" si="9"/>
        <v>214</v>
      </c>
      <c r="B297" s="85" t="str">
        <f ca="1">IFERROR(__xludf.DUMMYFUNCTION("GOOGLETRANSLATE(B1088:B1103,""RU"",""UK"")"),"Свердло 9,0 Р6М5")</f>
        <v>Свердло 9,0 Р6М5</v>
      </c>
      <c r="C297" s="59" t="s">
        <v>6</v>
      </c>
      <c r="D297" s="59">
        <v>154</v>
      </c>
      <c r="E297" s="91">
        <v>102</v>
      </c>
    </row>
    <row r="298" spans="1:5">
      <c r="A298" s="21">
        <f t="shared" si="9"/>
        <v>215</v>
      </c>
      <c r="B298" s="85" t="str">
        <f ca="1">IFERROR(__xludf.DUMMYFUNCTION("GOOGLETRANSLATE(B1088:B1103,""RU"",""UK"")"),"Свердло 9,0 Р18")</f>
        <v>Свердло 9,0 Р18</v>
      </c>
      <c r="C298" s="59" t="s">
        <v>6</v>
      </c>
      <c r="D298" s="59">
        <v>16</v>
      </c>
      <c r="E298" s="91">
        <v>125</v>
      </c>
    </row>
    <row r="299" spans="1:5">
      <c r="A299" s="21">
        <f t="shared" ref="A299" si="10">A298+1</f>
        <v>216</v>
      </c>
      <c r="B299" s="85" t="str">
        <f ca="1">IFERROR(__xludf.DUMMYFUNCTION("GOOGLETRANSLATE(B1089:B1104,""RU"",""UK"")"),"Свердло 9,0х170-180 удл.Р6М5")</f>
        <v>Свердло 9,0х170-180 удл.Р6М5</v>
      </c>
      <c r="C299" s="59" t="s">
        <v>6</v>
      </c>
      <c r="D299" s="59">
        <v>22</v>
      </c>
      <c r="E299" s="91">
        <v>135</v>
      </c>
    </row>
    <row r="300" spans="1:5">
      <c r="A300" s="21">
        <f t="shared" ref="A300:A321" si="11">A299+1</f>
        <v>217</v>
      </c>
      <c r="B300" s="85" t="str">
        <f ca="1">IFERROR(__xludf.DUMMYFUNCTION("GOOGLETRANSLATE(B1089:B1104,""RU"",""UK"")"),"Свердло 9,0х300дл.Р6М5")</f>
        <v>Свердло 9,0х300дл.Р6М5</v>
      </c>
      <c r="C300" s="59" t="s">
        <v>6</v>
      </c>
      <c r="D300" s="59">
        <v>97</v>
      </c>
      <c r="E300" s="91">
        <v>150</v>
      </c>
    </row>
    <row r="301" spans="1:5">
      <c r="A301" s="21">
        <f t="shared" si="11"/>
        <v>218</v>
      </c>
      <c r="B301" s="85" t="str">
        <f ca="1">IFERROR(__xludf.DUMMYFUNCTION("GOOGLETRANSLATE(B1088:B1103,""RU"",""UK"")"),"Свердло 9,1Р6М5")</f>
        <v>Свердло 9,1Р6М5</v>
      </c>
      <c r="C301" s="59" t="s">
        <v>6</v>
      </c>
      <c r="D301" s="59">
        <v>98</v>
      </c>
      <c r="E301" s="91">
        <v>102</v>
      </c>
    </row>
    <row r="302" spans="1:5">
      <c r="A302" s="21">
        <f t="shared" si="11"/>
        <v>219</v>
      </c>
      <c r="B302" s="85" t="str">
        <f ca="1">IFERROR(__xludf.DUMMYFUNCTION("GOOGLETRANSLATE(B1090:B1105,""RU"",""UK"")"),"Свердло 9,2 Р6М5")</f>
        <v>Свердло 9,2 Р6М5</v>
      </c>
      <c r="C302" s="59" t="s">
        <v>6</v>
      </c>
      <c r="D302" s="59">
        <v>107</v>
      </c>
      <c r="E302" s="91">
        <v>102</v>
      </c>
    </row>
    <row r="303" spans="1:5">
      <c r="A303" s="21">
        <f t="shared" si="11"/>
        <v>220</v>
      </c>
      <c r="B303" s="85" t="str">
        <f ca="1">IFERROR(__xludf.DUMMYFUNCTION("GOOGLETRANSLATE(B1090:B1105,""RU"",""UK"")"),"Свердло 9,3Р6М5")</f>
        <v>Свердло 9,3Р6М5</v>
      </c>
      <c r="C303" s="59" t="s">
        <v>6</v>
      </c>
      <c r="D303" s="59">
        <v>123</v>
      </c>
      <c r="E303" s="91">
        <v>102</v>
      </c>
    </row>
    <row r="304" spans="1:5">
      <c r="A304" s="21">
        <f t="shared" si="11"/>
        <v>221</v>
      </c>
      <c r="B304" s="85" t="str">
        <f ca="1">IFERROR(__xludf.DUMMYFUNCTION("GOOGLETRANSLATE(B1092:B1107,""RU"",""UK"")"),"Свердло 9,3х200удл Р6М5")</f>
        <v>Свердло 9,3х200удл Р6М5</v>
      </c>
      <c r="C304" s="59" t="s">
        <v>6</v>
      </c>
      <c r="D304" s="59">
        <v>10</v>
      </c>
      <c r="E304" s="91">
        <v>138</v>
      </c>
    </row>
    <row r="305" spans="1:5">
      <c r="A305" s="21">
        <f t="shared" si="11"/>
        <v>222</v>
      </c>
      <c r="B305" s="85" t="str">
        <f ca="1">IFERROR(__xludf.DUMMYFUNCTION("GOOGLETRANSLATE(B1091:B1106,""RU"",""UK"")"),"Свердло 9,4 Р6М5")</f>
        <v>Свердло 9,4 Р6М5</v>
      </c>
      <c r="C305" s="59" t="s">
        <v>6</v>
      </c>
      <c r="D305" s="59">
        <v>153</v>
      </c>
      <c r="E305" s="91">
        <v>105</v>
      </c>
    </row>
    <row r="306" spans="1:5">
      <c r="A306" s="21">
        <f t="shared" si="11"/>
        <v>223</v>
      </c>
      <c r="B306" s="85" t="str">
        <f ca="1">IFERROR(__xludf.DUMMYFUNCTION("GOOGLETRANSLATE(B1091:B1106,""RU"",""UK"")"),"Свердло 9,5Р6М5")</f>
        <v>Свердло 9,5Р6М5</v>
      </c>
      <c r="C306" s="59" t="s">
        <v>6</v>
      </c>
      <c r="D306" s="59">
        <v>586</v>
      </c>
      <c r="E306" s="91">
        <v>105</v>
      </c>
    </row>
    <row r="307" spans="1:5">
      <c r="A307" s="21">
        <f t="shared" si="11"/>
        <v>224</v>
      </c>
      <c r="B307" s="85" t="str">
        <f ca="1">IFERROR(__xludf.DUMMYFUNCTION("GOOGLETRANSLATE(B1092:B1107,""RU"",""UK"")"),"Свердло 9,5удл. Р6М5")</f>
        <v>Свердло 9,5удл. Р6М5</v>
      </c>
      <c r="C307" s="59" t="s">
        <v>6</v>
      </c>
      <c r="D307" s="59">
        <v>117</v>
      </c>
      <c r="E307" s="91">
        <v>138</v>
      </c>
    </row>
    <row r="308" spans="1:5">
      <c r="A308" s="21">
        <f t="shared" si="11"/>
        <v>225</v>
      </c>
      <c r="B308" s="85" t="str">
        <f ca="1">IFERROR(__xludf.DUMMYFUNCTION("GOOGLETRANSLATE(B1092:B1107,""RU"",""UK"")"),"Свердло 9,5 х170удл. Р6М5")</f>
        <v>Свердло 9,5 х170удл. Р6М5</v>
      </c>
      <c r="C308" s="59" t="s">
        <v>6</v>
      </c>
      <c r="D308" s="59">
        <v>2</v>
      </c>
      <c r="E308" s="91">
        <v>138</v>
      </c>
    </row>
    <row r="309" spans="1:5">
      <c r="A309" s="21">
        <f t="shared" si="11"/>
        <v>226</v>
      </c>
      <c r="B309" s="85" t="str">
        <f ca="1">IFERROR(__xludf.DUMMYFUNCTION("GOOGLETRANSLATE(B1093:B1108,""RU"",""UK"")"),"Свердло 9,6 Р6М5")</f>
        <v>Свердло 9,6 Р6М5</v>
      </c>
      <c r="C309" s="59" t="s">
        <v>6</v>
      </c>
      <c r="D309" s="59">
        <v>448</v>
      </c>
      <c r="E309" s="91">
        <v>108</v>
      </c>
    </row>
    <row r="310" spans="1:5">
      <c r="A310" s="21">
        <f t="shared" si="11"/>
        <v>227</v>
      </c>
      <c r="B310" s="85" t="str">
        <f ca="1">IFERROR(__xludf.DUMMYFUNCTION("GOOGLETRANSLATE(B1094:B1109,""RU"",""UK"")"),"Свердло 9,6 х185 (110) удл Р6М5")</f>
        <v>Свердло 9,6 х185 (110) удл Р6М5</v>
      </c>
      <c r="C310" s="59" t="s">
        <v>6</v>
      </c>
      <c r="D310" s="59">
        <v>2</v>
      </c>
      <c r="E310" s="91">
        <v>138</v>
      </c>
    </row>
    <row r="311" spans="1:5">
      <c r="A311" s="21">
        <f t="shared" si="11"/>
        <v>228</v>
      </c>
      <c r="B311" s="85" t="str">
        <f ca="1">IFERROR(__xludf.DUMMYFUNCTION("GOOGLETRANSLATE(B1093:B1108,""RU"",""UK"")"),"Свердло 9,7Р6М5")</f>
        <v>Свердло 9,7Р6М5</v>
      </c>
      <c r="C311" s="59" t="s">
        <v>6</v>
      </c>
      <c r="D311" s="59">
        <v>165</v>
      </c>
      <c r="E311" s="91">
        <v>108</v>
      </c>
    </row>
    <row r="312" spans="1:5">
      <c r="A312" s="21">
        <f t="shared" si="11"/>
        <v>229</v>
      </c>
      <c r="B312" s="85" t="str">
        <f ca="1">IFERROR(__xludf.DUMMYFUNCTION("GOOGLETRANSLATE(B1094:B1109,""RU"",""UK"")"),"Свердло 9,7 удл.Р6М5")</f>
        <v>Свердло 9,7 удл.Р6М5</v>
      </c>
      <c r="C312" s="59" t="s">
        <v>6</v>
      </c>
      <c r="D312" s="59">
        <v>7</v>
      </c>
      <c r="E312" s="91">
        <v>138</v>
      </c>
    </row>
    <row r="313" spans="1:5">
      <c r="A313" s="21">
        <f t="shared" si="11"/>
        <v>230</v>
      </c>
      <c r="B313" s="85" t="str">
        <f ca="1">IFERROR(__xludf.DUMMYFUNCTION("GOOGLETRANSLATE(B1095:B1110,""RU"",""UK"")"),"Свердло 9,8 Р6М5")</f>
        <v>Свердло 9,8 Р6М5</v>
      </c>
      <c r="C313" s="59" t="s">
        <v>6</v>
      </c>
      <c r="D313" s="59">
        <v>315</v>
      </c>
      <c r="E313" s="91">
        <v>111</v>
      </c>
    </row>
    <row r="314" spans="1:5">
      <c r="A314" s="21">
        <f t="shared" si="11"/>
        <v>231</v>
      </c>
      <c r="B314" s="85" t="str">
        <f ca="1">IFERROR(__xludf.DUMMYFUNCTION("GOOGLETRANSLATE(B1094:B1109,""RU"",""UK"")"),"Свердло 9.8х180удл.Р6М5")</f>
        <v>Свердло 9.8х180удл.Р6М5</v>
      </c>
      <c r="C314" s="59" t="s">
        <v>6</v>
      </c>
      <c r="D314" s="59">
        <v>13</v>
      </c>
      <c r="E314" s="91">
        <v>138</v>
      </c>
    </row>
    <row r="315" spans="1:5">
      <c r="A315" s="21">
        <f t="shared" si="11"/>
        <v>232</v>
      </c>
      <c r="B315" s="85" t="str">
        <f ca="1">IFERROR(__xludf.DUMMYFUNCTION("GOOGLETRANSLATE(B1095:B1110,""RU"",""UK"")"),"Свердло 9,9Р6М5")</f>
        <v>Свердло 9,9Р6М5</v>
      </c>
      <c r="C315" s="59" t="s">
        <v>6</v>
      </c>
      <c r="D315" s="59">
        <v>208</v>
      </c>
      <c r="E315" s="91">
        <v>111</v>
      </c>
    </row>
    <row r="316" spans="1:5">
      <c r="A316" s="21">
        <f t="shared" si="11"/>
        <v>233</v>
      </c>
      <c r="B316" s="85" t="str">
        <f ca="1">IFERROR(__xludf.DUMMYFUNCTION("GOOGLETRANSLATE(B1096:B1111,""RU"",""UK"")"),"Свердло 10,0 Р6М5")</f>
        <v>Свердло 10,0 Р6М5</v>
      </c>
      <c r="C316" s="59" t="s">
        <v>6</v>
      </c>
      <c r="D316" s="59">
        <v>54</v>
      </c>
      <c r="E316" s="91">
        <v>123</v>
      </c>
    </row>
    <row r="317" spans="1:5">
      <c r="A317" s="21">
        <f t="shared" si="11"/>
        <v>234</v>
      </c>
      <c r="B317" s="85" t="str">
        <f ca="1">IFERROR(__xludf.DUMMYFUNCTION("GOOGLETRANSLATE(B1097:B1112,""RU"",""UK"")"),"Свердло 10,0Р9")</f>
        <v>Свердло 10,0Р9</v>
      </c>
      <c r="C317" s="59" t="s">
        <v>6</v>
      </c>
      <c r="D317" s="59">
        <v>2</v>
      </c>
      <c r="E317" s="91">
        <v>114</v>
      </c>
    </row>
    <row r="318" spans="1:5">
      <c r="A318" s="21">
        <f t="shared" si="11"/>
        <v>235</v>
      </c>
      <c r="B318" s="85" t="str">
        <f ca="1">IFERROR(__xludf.DUMMYFUNCTION("GOOGLETRANSLATE(B1098:B1113,""RU"",""UK"")"),"Свердло 10,0Р6М5К5")</f>
        <v>Свердло 10,0Р6М5К5</v>
      </c>
      <c r="C318" s="59" t="s">
        <v>6</v>
      </c>
      <c r="D318" s="59">
        <v>38</v>
      </c>
      <c r="E318" s="91" t="s">
        <v>1559</v>
      </c>
    </row>
    <row r="319" spans="1:5">
      <c r="A319" s="21">
        <f t="shared" si="11"/>
        <v>236</v>
      </c>
      <c r="B319" s="85" t="str">
        <f ca="1">IFERROR(__xludf.DUMMYFUNCTION("GOOGLETRANSLATE(B1098:B1113,""RU"",""UK"")"),"Свердло 10,0Р6М5Аtaka")</f>
        <v>Свердло 10,0Р6М5Аtaka</v>
      </c>
      <c r="C319" s="59" t="s">
        <v>6</v>
      </c>
      <c r="D319" s="59">
        <v>10</v>
      </c>
      <c r="E319" s="91" t="s">
        <v>1559</v>
      </c>
    </row>
    <row r="320" spans="1:5">
      <c r="A320" s="21">
        <f t="shared" si="11"/>
        <v>237</v>
      </c>
      <c r="B320" s="85" t="str">
        <f ca="1">IFERROR(__xludf.DUMMYFUNCTION("GOOGLETRANSLATE(B1096:B1111,""RU"",""UK"")"),"Свердло 10,1 Р6М5")</f>
        <v>Свердло 10,1 Р6М5</v>
      </c>
      <c r="C320" s="59" t="s">
        <v>6</v>
      </c>
      <c r="D320" s="59">
        <v>177</v>
      </c>
      <c r="E320" s="91">
        <v>138</v>
      </c>
    </row>
    <row r="321" spans="1:5">
      <c r="A321" s="21">
        <f t="shared" si="11"/>
        <v>238</v>
      </c>
      <c r="B321" s="85" t="str">
        <f ca="1">IFERROR(__xludf.DUMMYFUNCTION("GOOGLETRANSLATE(B1099:B1114,""RU"",""UK"")"),"Свердло 10.1 удл Р6М5")</f>
        <v>Свердло 10.1 удл Р6М5</v>
      </c>
      <c r="C321" s="59" t="s">
        <v>6</v>
      </c>
      <c r="D321" s="59">
        <v>9</v>
      </c>
      <c r="E321" s="91" t="s">
        <v>319</v>
      </c>
    </row>
    <row r="322" spans="1:5">
      <c r="A322" s="21">
        <f t="shared" ref="A322:A394" si="12">A321+1</f>
        <v>239</v>
      </c>
      <c r="B322" s="85" t="str">
        <f ca="1">IFERROR(__xludf.DUMMYFUNCTION("GOOGLETRANSLATE(B1100:B1115,""RU"",""UK"")"),"Свердло 10,2Р6М5")</f>
        <v>Свердло 10,2Р6М5</v>
      </c>
      <c r="C322" s="59" t="s">
        <v>6</v>
      </c>
      <c r="D322" s="59">
        <v>0</v>
      </c>
      <c r="E322" s="91">
        <v>130</v>
      </c>
    </row>
    <row r="323" spans="1:5">
      <c r="A323" s="21">
        <f t="shared" si="12"/>
        <v>240</v>
      </c>
      <c r="B323" s="85" t="str">
        <f ca="1">IFERROR(__xludf.DUMMYFUNCTION("GOOGLETRANSLATE(B1101:B1116,""RU"",""UK"")"),"Свердло 10,2 Р6М5К5")</f>
        <v>Свердло 10,2 Р6М5К5</v>
      </c>
      <c r="C323" s="59" t="s">
        <v>6</v>
      </c>
      <c r="D323" s="59">
        <v>5</v>
      </c>
      <c r="E323" s="91" t="s">
        <v>119</v>
      </c>
    </row>
    <row r="324" spans="1:5">
      <c r="A324" s="21">
        <f t="shared" si="12"/>
        <v>241</v>
      </c>
      <c r="B324" s="85" t="str">
        <f ca="1">IFERROR(__xludf.DUMMYFUNCTION("GOOGLETRANSLATE(B1101:B1116,""RU"",""UK"")"),"Свердло 10,2 Р6М5А1 булат")</f>
        <v>Свердло 10,2 Р6М5А1 булат</v>
      </c>
      <c r="C324" s="59" t="s">
        <v>6</v>
      </c>
      <c r="D324" s="59">
        <v>4</v>
      </c>
      <c r="E324" s="91" t="s">
        <v>119</v>
      </c>
    </row>
    <row r="325" spans="1:5">
      <c r="A325" s="21">
        <f t="shared" si="12"/>
        <v>242</v>
      </c>
      <c r="B325" s="85" t="str">
        <f ca="1">IFERROR(__xludf.DUMMYFUNCTION("GOOGLETRANSLATE(B1101:B1116,""RU"",""UK"")"),"Свердло 10,2 Р18")</f>
        <v>Свердло 10,2 Р18</v>
      </c>
      <c r="C325" s="59" t="s">
        <v>6</v>
      </c>
      <c r="D325" s="59">
        <v>6</v>
      </c>
      <c r="E325" s="91" t="s">
        <v>119</v>
      </c>
    </row>
    <row r="326" spans="1:5">
      <c r="A326" s="21">
        <f t="shared" si="12"/>
        <v>243</v>
      </c>
      <c r="B326" s="85" t="str">
        <f ca="1">IFERROR(__xludf.DUMMYFUNCTION("GOOGLETRANSLATE(B1102:B1117,""RU"",""UK"")"),"Свердло 10.2х180удл Р6М5")</f>
        <v>Свердло 10.2х180удл Р6М5</v>
      </c>
      <c r="C326" s="59" t="s">
        <v>6</v>
      </c>
      <c r="D326" s="59">
        <v>73</v>
      </c>
      <c r="E326" s="91" t="s">
        <v>353</v>
      </c>
    </row>
    <row r="327" spans="1:5">
      <c r="A327" s="21">
        <f t="shared" si="12"/>
        <v>244</v>
      </c>
      <c r="B327" s="85" t="str">
        <f ca="1">IFERROR(__xludf.DUMMYFUNCTION("GOOGLETRANSLATE(B1103:B1118,""RU"",""UK"")"),"Свердло 10,3 Р6М5")</f>
        <v>Свердло 10,3 Р6М5</v>
      </c>
      <c r="C327" s="59" t="s">
        <v>6</v>
      </c>
      <c r="D327" s="59">
        <v>23</v>
      </c>
      <c r="E327" s="91">
        <v>130</v>
      </c>
    </row>
    <row r="328" spans="1:5">
      <c r="A328" s="21">
        <f t="shared" si="12"/>
        <v>245</v>
      </c>
      <c r="B328" s="85" t="str">
        <f ca="1">IFERROR(__xludf.DUMMYFUNCTION("GOOGLETRANSLATE(B1103:B1118,""RU"",""UK"")"),"Свердло 10,4Р6М5")</f>
        <v>Свердло 10,4Р6М5</v>
      </c>
      <c r="C328" s="59" t="s">
        <v>6</v>
      </c>
      <c r="D328" s="59">
        <v>21</v>
      </c>
      <c r="E328" s="91">
        <v>130</v>
      </c>
    </row>
    <row r="329" spans="1:5">
      <c r="A329" s="21">
        <f t="shared" si="12"/>
        <v>246</v>
      </c>
      <c r="B329" s="85" t="str">
        <f ca="1">IFERROR(__xludf.DUMMYFUNCTION("GOOGLETRANSLATE(B1105:B1120,""RU"",""UK"")"),"Свердло 10.5Р6М5")</f>
        <v>Свердло 10.5Р6М5</v>
      </c>
      <c r="C329" s="59" t="s">
        <v>6</v>
      </c>
      <c r="D329" s="59">
        <v>133</v>
      </c>
      <c r="E329" s="91" t="s">
        <v>319</v>
      </c>
    </row>
    <row r="330" spans="1:5">
      <c r="A330" s="21">
        <f t="shared" si="12"/>
        <v>247</v>
      </c>
      <c r="B330" s="85" t="str">
        <f ca="1">IFERROR(__xludf.DUMMYFUNCTION("GOOGLETRANSLATE(B1106:B1121,""RU"",""UK"")"),"Свердло 10.5 HSS-G (P12) BOСSH")</f>
        <v>Свердло 10.5 HSS-G (P12) BOСSH</v>
      </c>
      <c r="C330" s="59" t="s">
        <v>6</v>
      </c>
      <c r="D330" s="59">
        <v>21</v>
      </c>
      <c r="E330" s="91" t="s">
        <v>319</v>
      </c>
    </row>
    <row r="331" spans="1:5">
      <c r="A331" s="21">
        <f t="shared" si="12"/>
        <v>248</v>
      </c>
      <c r="B331" s="85" t="str">
        <f ca="1">IFERROR(__xludf.DUMMYFUNCTION("GOOGLETRANSLATE(B1107:B1122,""RU"",""UK"")"),"Свердло 10,5 х220дл. Р6М5")</f>
        <v>Свердло 10,5 х220дл. Р6М5</v>
      </c>
      <c r="C331" s="59" t="s">
        <v>6</v>
      </c>
      <c r="D331" s="59">
        <v>66</v>
      </c>
      <c r="E331" s="91" t="s">
        <v>1570</v>
      </c>
    </row>
    <row r="332" spans="1:5">
      <c r="A332" s="21">
        <f t="shared" si="12"/>
        <v>249</v>
      </c>
      <c r="B332" s="85" t="str">
        <f ca="1">IFERROR(__xludf.DUMMYFUNCTION("GOOGLETRANSLATE(B1108:B1123,""RU"",""UK"")"),"Свердло 10,6 Р6М5К5")</f>
        <v>Свердло 10,6 Р6М5К5</v>
      </c>
      <c r="C332" s="59" t="s">
        <v>6</v>
      </c>
      <c r="D332" s="59">
        <v>85</v>
      </c>
      <c r="E332" s="91" t="s">
        <v>119</v>
      </c>
    </row>
    <row r="333" spans="1:5">
      <c r="A333" s="21">
        <f t="shared" si="12"/>
        <v>250</v>
      </c>
      <c r="B333" s="85" t="str">
        <f ca="1">IFERROR(__xludf.DUMMYFUNCTION("GOOGLETRANSLATE(B1109:B1124,""RU"",""UK"")"),"Свердло 10,6Р6М5")</f>
        <v>Свердло 10,6Р6М5</v>
      </c>
      <c r="C333" s="59" t="s">
        <v>6</v>
      </c>
      <c r="D333" s="59">
        <v>21</v>
      </c>
      <c r="E333" s="91" t="s">
        <v>319</v>
      </c>
    </row>
    <row r="334" spans="1:5">
      <c r="A334" s="21">
        <f t="shared" si="12"/>
        <v>251</v>
      </c>
      <c r="B334" s="85" t="str">
        <f ca="1">IFERROR(__xludf.DUMMYFUNCTION("GOOGLETRANSLATE(B1109:B1124,""RU"",""UK"")"),"Свердло 10,7Р6М5")</f>
        <v>Свердло 10,7Р6М5</v>
      </c>
      <c r="C334" s="59" t="s">
        <v>6</v>
      </c>
      <c r="D334" s="59">
        <v>25</v>
      </c>
      <c r="E334" s="91" t="s">
        <v>319</v>
      </c>
    </row>
    <row r="335" spans="1:5">
      <c r="A335" s="21">
        <f t="shared" si="12"/>
        <v>252</v>
      </c>
      <c r="B335" s="85" t="str">
        <f ca="1">IFERROR(__xludf.DUMMYFUNCTION("GOOGLETRANSLATE(B1111:B1126,""RU"",""UK"")"),"Свердло 10,7 х190удл Р6М5")</f>
        <v>Свердло 10,7 х190удл Р6М5</v>
      </c>
      <c r="C335" s="59" t="s">
        <v>6</v>
      </c>
      <c r="D335" s="59">
        <v>60</v>
      </c>
      <c r="E335" s="91" t="s">
        <v>1570</v>
      </c>
    </row>
    <row r="336" spans="1:5">
      <c r="A336" s="21">
        <f t="shared" si="12"/>
        <v>253</v>
      </c>
      <c r="B336" s="85" t="str">
        <f ca="1">IFERROR(__xludf.DUMMYFUNCTION("GOOGLETRANSLATE(B1110:B1125,""RU"",""UK"")"),"Свердло 10,8 Р6М5 ")</f>
        <v xml:space="preserve">Свердло 10,8 Р6М5 </v>
      </c>
      <c r="C336" s="59" t="s">
        <v>6</v>
      </c>
      <c r="D336" s="59">
        <v>187</v>
      </c>
      <c r="E336" s="91" t="s">
        <v>346</v>
      </c>
    </row>
    <row r="337" spans="1:5">
      <c r="A337" s="21">
        <f t="shared" si="12"/>
        <v>254</v>
      </c>
      <c r="B337" s="85" t="str">
        <f ca="1">IFERROR(__xludf.DUMMYFUNCTION("GOOGLETRANSLATE(B1111:B1126,""RU"",""UK"")"),"Свердло 10.8удл.Р6М5")</f>
        <v>Свердло 10.8удл.Р6М5</v>
      </c>
      <c r="C337" s="59" t="s">
        <v>6</v>
      </c>
      <c r="D337" s="59">
        <v>1</v>
      </c>
      <c r="E337" s="91" t="s">
        <v>1570</v>
      </c>
    </row>
    <row r="338" spans="1:5">
      <c r="A338" s="21">
        <f t="shared" si="12"/>
        <v>255</v>
      </c>
      <c r="B338" s="85" t="str">
        <f ca="1">IFERROR(__xludf.DUMMYFUNCTION("GOOGLETRANSLATE(B1110:B1125,""RU"",""UK"")"),"Свердло 10,9 Р6М5")</f>
        <v>Свердло 10,9 Р6М5</v>
      </c>
      <c r="C338" s="59" t="s">
        <v>6</v>
      </c>
      <c r="D338" s="59">
        <v>35</v>
      </c>
      <c r="E338" s="91" t="s">
        <v>346</v>
      </c>
    </row>
    <row r="339" spans="1:5">
      <c r="A339" s="21">
        <f t="shared" si="12"/>
        <v>256</v>
      </c>
      <c r="B339" s="85" t="str">
        <f ca="1">IFERROR(__xludf.DUMMYFUNCTION("GOOGLETRANSLATE(B1112:B1127,""RU"",""UK"")"),"Свердло 11,0 Р9")</f>
        <v>Свердло 11,0 Р9</v>
      </c>
      <c r="C339" s="59" t="s">
        <v>6</v>
      </c>
      <c r="D339" s="59">
        <v>7</v>
      </c>
      <c r="E339" s="91" t="s">
        <v>346</v>
      </c>
    </row>
    <row r="340" spans="1:5">
      <c r="A340" s="21">
        <f t="shared" si="12"/>
        <v>257</v>
      </c>
      <c r="B340" s="169" t="str">
        <f ca="1">IFERROR(__xludf.DUMMYFUNCTION("GOOGLETRANSLATE(B1113:B1128,""RU"",""UK"")"),"Свердло 11,0 Р18")</f>
        <v>Свердло 11,0 Р18</v>
      </c>
      <c r="C340" s="59" t="s">
        <v>6</v>
      </c>
      <c r="D340" s="59">
        <v>0</v>
      </c>
      <c r="E340" s="91">
        <v>210</v>
      </c>
    </row>
    <row r="341" spans="1:5">
      <c r="A341" s="21">
        <f t="shared" si="12"/>
        <v>258</v>
      </c>
      <c r="B341" s="85" t="str">
        <f ca="1">IFERROR(__xludf.DUMMYFUNCTION("GOOGLETRANSLATE(B1114:B1129,""RU"",""UK"")"),"Свердло 11,0 Р6М5К5")</f>
        <v>Свердло 11,0 Р6М5К5</v>
      </c>
      <c r="C341" s="59" t="s">
        <v>6</v>
      </c>
      <c r="D341" s="160">
        <v>13</v>
      </c>
      <c r="E341" s="91" t="s">
        <v>327</v>
      </c>
    </row>
    <row r="342" spans="1:5">
      <c r="A342" s="21">
        <f t="shared" si="12"/>
        <v>259</v>
      </c>
      <c r="B342" s="85" t="str">
        <f ca="1">IFERROR(__xludf.DUMMYFUNCTION("GOOGLETRANSLATE(B1115:B1130,""RU"",""UK"")"),"Свердло 11.0х195удл. Р6М5")</f>
        <v>Свердло 11.0х195удл. Р6М5</v>
      </c>
      <c r="C342" s="59" t="s">
        <v>6</v>
      </c>
      <c r="D342" s="59">
        <v>105</v>
      </c>
      <c r="E342" s="91" t="s">
        <v>119</v>
      </c>
    </row>
    <row r="343" spans="1:5">
      <c r="A343" s="21">
        <f t="shared" si="12"/>
        <v>260</v>
      </c>
      <c r="B343" s="85" t="str">
        <f ca="1">IFERROR(__xludf.DUMMYFUNCTION("GOOGLETRANSLATE(B1113:B1128,""RU"",""UK"")"),"Свердло 11.1 Р6М5")</f>
        <v>Свердло 11.1 Р6М5</v>
      </c>
      <c r="C343" s="59" t="s">
        <v>6</v>
      </c>
      <c r="D343" s="59">
        <v>43</v>
      </c>
      <c r="E343" s="91" t="s">
        <v>317</v>
      </c>
    </row>
    <row r="344" spans="1:5">
      <c r="A344" s="21">
        <f t="shared" si="12"/>
        <v>261</v>
      </c>
      <c r="B344" s="85" t="str">
        <f ca="1">IFERROR(__xludf.DUMMYFUNCTION("GOOGLETRANSLATE(B1116:B1131,""RU"",""UK"")"),"Свердло 11.2 Р6М5")</f>
        <v>Свердло 11.2 Р6М5</v>
      </c>
      <c r="C344" s="59" t="s">
        <v>6</v>
      </c>
      <c r="D344" s="59">
        <v>51</v>
      </c>
      <c r="E344" s="91" t="s">
        <v>1585</v>
      </c>
    </row>
    <row r="345" spans="1:5">
      <c r="A345" s="21">
        <f t="shared" si="12"/>
        <v>262</v>
      </c>
      <c r="B345" s="85" t="str">
        <f ca="1">IFERROR(__xludf.DUMMYFUNCTION("GOOGLETRANSLATE(B1116:B1131,""RU"",""UK"")"),"Свердло 11,3Р6М5")</f>
        <v>Свердло 11,3Р6М5</v>
      </c>
      <c r="C345" s="59" t="s">
        <v>6</v>
      </c>
      <c r="D345" s="59">
        <v>233</v>
      </c>
      <c r="E345" s="91" t="s">
        <v>1585</v>
      </c>
    </row>
    <row r="346" spans="1:5">
      <c r="A346" s="21">
        <f t="shared" si="12"/>
        <v>263</v>
      </c>
      <c r="B346" s="85" t="str">
        <f ca="1">IFERROR(__xludf.DUMMYFUNCTION("GOOGLETRANSLATE(B1117:B1132,""RU"",""UK"")"),"Свердло 11,4 удл Р6М5")</f>
        <v>Свердло 11,4 удл Р6М5</v>
      </c>
      <c r="C346" s="59" t="s">
        <v>6</v>
      </c>
      <c r="D346" s="59">
        <v>5</v>
      </c>
      <c r="E346" s="91" t="s">
        <v>1559</v>
      </c>
    </row>
    <row r="347" spans="1:5">
      <c r="A347" s="21">
        <f t="shared" si="12"/>
        <v>264</v>
      </c>
      <c r="B347" s="85" t="str">
        <f ca="1">IFERROR(__xludf.DUMMYFUNCTION("GOOGLETRANSLATE(B1119:B1134,""RU"",""UK"")"),"Свердло 11,5Р6М5")</f>
        <v>Свердло 11,5Р6М5</v>
      </c>
      <c r="C347" s="59" t="s">
        <v>6</v>
      </c>
      <c r="D347" s="59">
        <v>29</v>
      </c>
      <c r="E347" s="91" t="s">
        <v>1320</v>
      </c>
    </row>
    <row r="348" spans="1:5">
      <c r="A348" s="21">
        <f t="shared" si="12"/>
        <v>265</v>
      </c>
      <c r="B348" s="85" t="str">
        <f ca="1">IFERROR(__xludf.DUMMYFUNCTION("GOOGLETRANSLATE(B1120:B1135,""RU"",""UK"")"),"Свердло 11,5 х190 удл Р6М5")</f>
        <v>Свердло 11,5 х190 удл Р6М5</v>
      </c>
      <c r="C348" s="59" t="s">
        <v>6</v>
      </c>
      <c r="D348" s="59">
        <v>29</v>
      </c>
      <c r="E348" s="91" t="s">
        <v>119</v>
      </c>
    </row>
    <row r="349" spans="1:5">
      <c r="A349" s="21">
        <f t="shared" si="12"/>
        <v>266</v>
      </c>
      <c r="B349" s="85" t="str">
        <f ca="1">IFERROR(__xludf.DUMMYFUNCTION("GOOGLETRANSLATE(B1119:B1134,""RU"",""UK"")"),"Свердло 11,6Р6М5")</f>
        <v>Свердло 11,6Р6М5</v>
      </c>
      <c r="C349" s="59" t="s">
        <v>6</v>
      </c>
      <c r="D349" s="59">
        <v>50</v>
      </c>
      <c r="E349" s="91" t="s">
        <v>1320</v>
      </c>
    </row>
    <row r="350" spans="1:5">
      <c r="A350" s="21">
        <f t="shared" si="12"/>
        <v>267</v>
      </c>
      <c r="B350" s="164" t="str">
        <f ca="1">IFERROR(__xludf.DUMMYFUNCTION("GOOGLETRANSLATE(B1120:B1135,""RU"",""UK"")"),"Свердло 11,8 удл.Р6М5")</f>
        <v>Свердло 11,8 удл.Р6М5</v>
      </c>
      <c r="C350" s="59" t="s">
        <v>6</v>
      </c>
      <c r="D350" s="59">
        <v>0</v>
      </c>
      <c r="E350" s="91" t="s">
        <v>119</v>
      </c>
    </row>
    <row r="351" spans="1:5">
      <c r="A351" s="21">
        <f t="shared" si="12"/>
        <v>268</v>
      </c>
      <c r="B351" s="164" t="str">
        <f ca="1">IFERROR(__xludf.DUMMYFUNCTION("GOOGLETRANSLATE(B1122:B1137,""RU"",""UK"")"),"Свердло 12,0Р6М5")</f>
        <v>Свердло 12,0Р6М5</v>
      </c>
      <c r="C351" s="59" t="s">
        <v>6</v>
      </c>
      <c r="D351" s="59">
        <v>0</v>
      </c>
      <c r="E351" s="91" t="s">
        <v>1559</v>
      </c>
    </row>
    <row r="352" spans="1:5">
      <c r="A352" s="21">
        <f t="shared" si="12"/>
        <v>269</v>
      </c>
      <c r="B352" s="85" t="str">
        <f ca="1">IFERROR(__xludf.DUMMYFUNCTION("GOOGLETRANSLATE(B1123:B1138,""RU"",""UK"")"),"Свердло 12,0Р18")</f>
        <v>Свердло 12,0Р18</v>
      </c>
      <c r="C352" s="59" t="s">
        <v>6</v>
      </c>
      <c r="D352" s="59">
        <v>4</v>
      </c>
      <c r="E352" s="91" t="s">
        <v>1595</v>
      </c>
    </row>
    <row r="353" spans="1:5">
      <c r="A353" s="21">
        <f t="shared" si="12"/>
        <v>270</v>
      </c>
      <c r="B353" s="169" t="str">
        <f ca="1">IFERROR(__xludf.DUMMYFUNCTION("GOOGLETRANSLATE(B1124:B1139,""RU"",""UK"")"),"Свердло 12,2Р6М5")</f>
        <v>Свердло 12,2Р6М5</v>
      </c>
      <c r="C353" s="59" t="s">
        <v>6</v>
      </c>
      <c r="D353" s="59">
        <v>1</v>
      </c>
      <c r="E353" s="91" t="s">
        <v>1559</v>
      </c>
    </row>
    <row r="354" spans="1:5">
      <c r="A354" s="21">
        <f t="shared" si="12"/>
        <v>271</v>
      </c>
      <c r="B354" s="85" t="str">
        <f ca="1">IFERROR(__xludf.DUMMYFUNCTION("GOOGLETRANSLATE(B1125:B1140,""RU"",""UK"")"),"Свердло 12,3 Р6М5")</f>
        <v>Свердло 12,3 Р6М5</v>
      </c>
      <c r="C354" s="59" t="s">
        <v>6</v>
      </c>
      <c r="D354" s="59">
        <v>2</v>
      </c>
      <c r="E354" s="91" t="s">
        <v>1559</v>
      </c>
    </row>
    <row r="355" spans="1:5">
      <c r="A355" s="21">
        <f t="shared" si="12"/>
        <v>272</v>
      </c>
      <c r="B355" s="85" t="str">
        <f ca="1">IFERROR(__xludf.DUMMYFUNCTION("GOOGLETRANSLATE(B1125:B1140,""RU"",""UK"")"),"Свердло 12,4 Р6М5")</f>
        <v>Свердло 12,4 Р6М5</v>
      </c>
      <c r="C355" s="59" t="s">
        <v>6</v>
      </c>
      <c r="D355" s="59">
        <v>2</v>
      </c>
      <c r="E355" s="91" t="s">
        <v>1559</v>
      </c>
    </row>
    <row r="356" spans="1:5">
      <c r="A356" s="21">
        <f t="shared" si="12"/>
        <v>273</v>
      </c>
      <c r="B356" s="169" t="str">
        <f ca="1">IFERROR(__xludf.DUMMYFUNCTION("GOOGLETRANSLATE(B1127:B1142,""RU"",""UK"")"),"Свердло 12,5 Р18")</f>
        <v>Свердло 12,5 Р18</v>
      </c>
      <c r="C356" s="59" t="s">
        <v>6</v>
      </c>
      <c r="D356" s="59">
        <v>1</v>
      </c>
      <c r="E356" s="91">
        <v>243</v>
      </c>
    </row>
    <row r="357" spans="1:5">
      <c r="A357" s="21">
        <f t="shared" si="12"/>
        <v>274</v>
      </c>
      <c r="B357" s="85" t="str">
        <f ca="1">IFERROR(__xludf.DUMMYFUNCTION("GOOGLETRANSLATE(B1125:B1140,""RU"",""UK"")"),"Свердло 12,5 Р6М5")</f>
        <v>Свердло 12,5 Р6М5</v>
      </c>
      <c r="C357" s="59" t="s">
        <v>6</v>
      </c>
      <c r="D357" s="59">
        <v>0</v>
      </c>
      <c r="E357" s="91">
        <v>180</v>
      </c>
    </row>
    <row r="358" spans="1:5">
      <c r="A358" s="21">
        <f t="shared" si="12"/>
        <v>275</v>
      </c>
      <c r="B358" s="85" t="str">
        <f ca="1">IFERROR(__xludf.DUMMYFUNCTION("GOOGLETRANSLATE(B1128:B1143,""RU"",""UK"")"),"Свердло 12,5 200(120) Р6М5")</f>
        <v>Свердло 12,5 200(120) Р6М5</v>
      </c>
      <c r="C358" s="59" t="s">
        <v>6</v>
      </c>
      <c r="D358" s="59">
        <v>2</v>
      </c>
      <c r="E358" s="91" t="s">
        <v>222</v>
      </c>
    </row>
    <row r="359" spans="1:5">
      <c r="A359" s="21">
        <f t="shared" si="12"/>
        <v>276</v>
      </c>
      <c r="B359" s="85" t="str">
        <f ca="1">IFERROR(__xludf.DUMMYFUNCTION("GOOGLETRANSLATE(B1126:B1141,""RU"",""UK"")"),"Свердло 12,6Р6М5")</f>
        <v>Свердло 12,6Р6М5</v>
      </c>
      <c r="C359" s="59" t="s">
        <v>6</v>
      </c>
      <c r="D359" s="59">
        <v>10</v>
      </c>
      <c r="E359" s="91">
        <v>180</v>
      </c>
    </row>
    <row r="360" spans="1:5">
      <c r="A360" s="21">
        <f t="shared" si="12"/>
        <v>277</v>
      </c>
      <c r="B360" s="85" t="str">
        <f ca="1">IFERROR(__xludf.DUMMYFUNCTION("GOOGLETRANSLATE(B1129:B1144,""RU"",""UK"")"),"Свердло 12,7 Р6М5")</f>
        <v>Свердло 12,7 Р6М5</v>
      </c>
      <c r="C360" s="59" t="s">
        <v>6</v>
      </c>
      <c r="D360" s="59">
        <v>56</v>
      </c>
      <c r="E360" s="91">
        <v>180</v>
      </c>
    </row>
    <row r="361" spans="1:5">
      <c r="A361" s="21">
        <f t="shared" si="12"/>
        <v>278</v>
      </c>
      <c r="B361" s="85" t="str">
        <f ca="1">IFERROR(__xludf.DUMMYFUNCTION("GOOGLETRANSLATE(B1129:B1144,""RU"",""UK"")"),"Свердло 12,8Р6М5")</f>
        <v>Свердло 12,8Р6М5</v>
      </c>
      <c r="C361" s="59" t="s">
        <v>6</v>
      </c>
      <c r="D361" s="59">
        <v>38</v>
      </c>
      <c r="E361" s="91">
        <v>180</v>
      </c>
    </row>
    <row r="362" spans="1:5">
      <c r="A362" s="21">
        <f t="shared" si="12"/>
        <v>279</v>
      </c>
      <c r="B362" s="85" t="str">
        <f ca="1">IFERROR(__xludf.DUMMYFUNCTION("GOOGLETRANSLATE(B1130:B1145,""RU"",""UK"")"),"Свердло 12,8 удл.Р6М5")</f>
        <v>Свердло 12,8 удл.Р6М5</v>
      </c>
      <c r="C362" s="59" t="s">
        <v>6</v>
      </c>
      <c r="D362" s="59">
        <v>52</v>
      </c>
      <c r="E362" s="91">
        <v>198</v>
      </c>
    </row>
    <row r="363" spans="1:5">
      <c r="A363" s="21">
        <f t="shared" si="12"/>
        <v>280</v>
      </c>
      <c r="B363" s="85" t="str">
        <f ca="1">IFERROR(__xludf.DUMMYFUNCTION("GOOGLETRANSLATE(B1131:B1146,""RU"",""UK"")"),"Свердло 13,0Р9")</f>
        <v>Свердло 13,0Р9</v>
      </c>
      <c r="C363" s="59" t="s">
        <v>6</v>
      </c>
      <c r="D363" s="59">
        <v>3</v>
      </c>
      <c r="E363" s="91" t="s">
        <v>351</v>
      </c>
    </row>
    <row r="364" spans="1:5">
      <c r="A364" s="21">
        <f t="shared" si="12"/>
        <v>281</v>
      </c>
      <c r="B364" s="85" t="str">
        <f ca="1">IFERROR(__xludf.DUMMYFUNCTION("GOOGLETRANSLATE(B1132:B1147,""RU"",""UK"")"),"Свердло 13.0Р6М5")</f>
        <v>Свердло 13.0Р6М5</v>
      </c>
      <c r="C364" s="59" t="s">
        <v>6</v>
      </c>
      <c r="D364" s="59">
        <v>0</v>
      </c>
      <c r="E364" s="91" t="s">
        <v>222</v>
      </c>
    </row>
    <row r="365" spans="1:5">
      <c r="A365" s="21">
        <f t="shared" si="12"/>
        <v>282</v>
      </c>
      <c r="B365" s="85" t="str">
        <f ca="1">IFERROR(__xludf.DUMMYFUNCTION("GOOGLETRANSLATE(B1133:B1148,""RU"",""UK"")"),"Свердло 13,0Р18")</f>
        <v>Свердло 13,0Р18</v>
      </c>
      <c r="C365" s="59" t="s">
        <v>6</v>
      </c>
      <c r="D365" s="59">
        <v>5</v>
      </c>
      <c r="E365" s="91">
        <v>278</v>
      </c>
    </row>
    <row r="366" spans="1:5">
      <c r="A366" s="21">
        <f t="shared" si="12"/>
        <v>283</v>
      </c>
      <c r="B366" s="85" t="str">
        <f ca="1">IFERROR(__xludf.DUMMYFUNCTION("GOOGLETRANSLATE(B1134:B1149,""RU"",""UK"")"),"Свердло 13,0 удл.Р6М5")</f>
        <v>Свердло 13,0 удл.Р6М5</v>
      </c>
      <c r="C366" s="59" t="s">
        <v>6</v>
      </c>
      <c r="D366" s="59">
        <v>11</v>
      </c>
      <c r="E366" s="91" t="s">
        <v>327</v>
      </c>
    </row>
    <row r="367" spans="1:5">
      <c r="A367" s="21">
        <f t="shared" si="12"/>
        <v>284</v>
      </c>
      <c r="B367" s="85" t="str">
        <f ca="1">IFERROR(__xludf.DUMMYFUNCTION("GOOGLETRANSLATE(B1136:B1151,""RU"",""UK"")"),"Свердло 13,1 Р6М5")</f>
        <v>Свердло 13,1 Р6М5</v>
      </c>
      <c r="C367" s="59" t="s">
        <v>6</v>
      </c>
      <c r="D367" s="59">
        <v>43</v>
      </c>
      <c r="E367" s="91" t="s">
        <v>222</v>
      </c>
    </row>
    <row r="368" spans="1:5">
      <c r="A368" s="21">
        <f t="shared" si="12"/>
        <v>285</v>
      </c>
      <c r="B368" s="85" t="str">
        <f ca="1">IFERROR(__xludf.DUMMYFUNCTION("GOOGLETRANSLATE(B1136:B1151,""RU"",""UK"")"),"Свердло 13,2Р6М5")</f>
        <v>Свердло 13,2Р6М5</v>
      </c>
      <c r="C368" s="59" t="s">
        <v>6</v>
      </c>
      <c r="D368" s="59">
        <v>214</v>
      </c>
      <c r="E368" s="91" t="s">
        <v>222</v>
      </c>
    </row>
    <row r="369" spans="1:5">
      <c r="A369" s="21">
        <f t="shared" si="12"/>
        <v>286</v>
      </c>
      <c r="B369" s="85" t="str">
        <f ca="1">IFERROR(__xludf.DUMMYFUNCTION("GOOGLETRANSLATE(B1135:B1150,""RU"",""UK"")"),"Свердло 13,2 удл.Р6М5")</f>
        <v>Свердло 13,2 удл.Р6М5</v>
      </c>
      <c r="C369" s="59" t="s">
        <v>6</v>
      </c>
      <c r="D369" s="59">
        <v>8</v>
      </c>
      <c r="E369" s="91" t="s">
        <v>327</v>
      </c>
    </row>
    <row r="370" spans="1:5">
      <c r="A370" s="21">
        <f t="shared" si="12"/>
        <v>287</v>
      </c>
      <c r="B370" s="85" t="str">
        <f ca="1">IFERROR(__xludf.DUMMYFUNCTION("GOOGLETRANSLATE(B1137:B1152,""RU"",""UK"")"),"Свердло 13,3 Р6М5")</f>
        <v>Свердло 13,3 Р6М5</v>
      </c>
      <c r="C370" s="59" t="s">
        <v>6</v>
      </c>
      <c r="D370" s="59">
        <v>72</v>
      </c>
      <c r="E370" s="91" t="s">
        <v>222</v>
      </c>
    </row>
    <row r="371" spans="1:5">
      <c r="A371" s="21">
        <f t="shared" si="12"/>
        <v>288</v>
      </c>
      <c r="B371" s="85" t="str">
        <f ca="1">IFERROR(__xludf.DUMMYFUNCTION("GOOGLETRANSLATE(B1137:B1152,""RU"",""UK"")"),"Свердло 13,5Р6М5")</f>
        <v>Свердло 13,5Р6М5</v>
      </c>
      <c r="C371" s="59" t="s">
        <v>6</v>
      </c>
      <c r="D371" s="59">
        <v>24</v>
      </c>
      <c r="E371" s="91" t="s">
        <v>222</v>
      </c>
    </row>
    <row r="372" spans="1:5">
      <c r="A372" s="21">
        <f t="shared" si="12"/>
        <v>289</v>
      </c>
      <c r="B372" s="85" t="str">
        <f ca="1">IFERROR(__xludf.DUMMYFUNCTION("GOOGLETRANSLATE(B1135:B1150,""RU"",""UK"")"),"Свердло 13,5 удл.Р6М5")</f>
        <v>Свердло 13,5 удл.Р6М5</v>
      </c>
      <c r="C372" s="59" t="s">
        <v>6</v>
      </c>
      <c r="D372" s="59">
        <v>44</v>
      </c>
      <c r="E372" s="91" t="s">
        <v>327</v>
      </c>
    </row>
    <row r="373" spans="1:5">
      <c r="A373" s="21">
        <f t="shared" si="12"/>
        <v>290</v>
      </c>
      <c r="B373" s="85" t="str">
        <f ca="1">IFERROR(__xludf.DUMMYFUNCTION("GOOGLETRANSLATE(B1135:B1150,""RU"",""UK"")"),"Свердло 13,5х200 (раб.120мм) удл.Р6М5")</f>
        <v>Свердло 13,5х200 (раб.120мм) удл.Р6М5</v>
      </c>
      <c r="C373" s="59" t="s">
        <v>6</v>
      </c>
      <c r="D373" s="59">
        <v>1</v>
      </c>
      <c r="E373" s="91">
        <v>228</v>
      </c>
    </row>
    <row r="374" spans="1:5">
      <c r="A374" s="21">
        <f t="shared" si="12"/>
        <v>291</v>
      </c>
      <c r="B374" s="85" t="str">
        <f ca="1">IFERROR(__xludf.DUMMYFUNCTION("GOOGLETRANSLATE(B1138:B1153,""RU"",""UK"")"),"Свердло 13,7 Р6М5")</f>
        <v>Свердло 13,7 Р6М5</v>
      </c>
      <c r="C374" s="59" t="s">
        <v>6</v>
      </c>
      <c r="D374" s="59">
        <v>104</v>
      </c>
      <c r="E374" s="91" t="s">
        <v>222</v>
      </c>
    </row>
    <row r="375" spans="1:5">
      <c r="A375" s="21">
        <f t="shared" si="12"/>
        <v>292</v>
      </c>
      <c r="B375" s="85" t="str">
        <f ca="1">IFERROR(__xludf.DUMMYFUNCTION("GOOGLETRANSLATE(B1138:B1153,""RU"",""UK"")"),"Свердло 13,8Р6М5")</f>
        <v>Свердло 13,8Р6М5</v>
      </c>
      <c r="C375" s="59" t="s">
        <v>6</v>
      </c>
      <c r="D375" s="59">
        <v>10</v>
      </c>
      <c r="E375" s="91" t="s">
        <v>222</v>
      </c>
    </row>
    <row r="376" spans="1:5">
      <c r="A376" s="21">
        <f t="shared" si="12"/>
        <v>293</v>
      </c>
      <c r="B376" s="85" t="str">
        <f ca="1">IFERROR(__xludf.DUMMYFUNCTION("GOOGLETRANSLATE(B1139:B1154,""RU"",""UK"")"),"Свердло 13,8 удл Р6М5")</f>
        <v>Свердло 13,8 удл Р6М5</v>
      </c>
      <c r="C376" s="59" t="s">
        <v>6</v>
      </c>
      <c r="D376" s="59">
        <v>1</v>
      </c>
      <c r="E376" s="91" t="s">
        <v>327</v>
      </c>
    </row>
    <row r="377" spans="1:5">
      <c r="A377" s="21">
        <f t="shared" si="12"/>
        <v>294</v>
      </c>
      <c r="B377" s="169" t="str">
        <f ca="1">IFERROR(__xludf.DUMMYFUNCTION("GOOGLETRANSLATE(B1141:B1156,""RU"",""UK"")"),"Свердло 14,0 9ХС")</f>
        <v>Свердло 14,0 9ХС</v>
      </c>
      <c r="C377" s="171" t="s">
        <v>6</v>
      </c>
      <c r="D377" s="191">
        <v>13</v>
      </c>
      <c r="E377" s="173">
        <v>171</v>
      </c>
    </row>
    <row r="378" spans="1:5">
      <c r="A378" s="21">
        <f t="shared" si="12"/>
        <v>295</v>
      </c>
      <c r="B378" s="85" t="str">
        <f ca="1">IFERROR(__xludf.DUMMYFUNCTION("GOOGLETRANSLATE(B1142:B1157,""RU"",""UK"")"),"Свердло 14,0Р6М5 Аtaka")</f>
        <v>Свердло 14,0Р6М5 Аtaka</v>
      </c>
      <c r="C378" s="59" t="s">
        <v>6</v>
      </c>
      <c r="D378" s="59">
        <v>5</v>
      </c>
      <c r="E378" s="91" t="s">
        <v>327</v>
      </c>
    </row>
    <row r="379" spans="1:5">
      <c r="A379" s="21">
        <f t="shared" si="12"/>
        <v>296</v>
      </c>
      <c r="B379" s="169" t="str">
        <f ca="1">IFERROR(__xludf.DUMMYFUNCTION("GOOGLETRANSLATE(B1143:B1158,""RU"",""UK"")"),"Свердло 14,0 Р6М5К5")</f>
        <v>Свердло 14,0 Р6М5К5</v>
      </c>
      <c r="C379" s="59" t="s">
        <v>6</v>
      </c>
      <c r="D379" s="59">
        <v>4</v>
      </c>
      <c r="E379" s="91">
        <v>234</v>
      </c>
    </row>
    <row r="380" spans="1:5">
      <c r="A380" s="21">
        <f t="shared" si="12"/>
        <v>297</v>
      </c>
      <c r="B380" s="85" t="str">
        <f ca="1">IFERROR(__xludf.DUMMYFUNCTION("GOOGLETRANSLATE(B1145:B1160,""RU"",""UK"")"),"Свердло 14,25 удл Р6М5")</f>
        <v>Свердло 14,25 удл Р6М5</v>
      </c>
      <c r="C380" s="59" t="s">
        <v>6</v>
      </c>
      <c r="D380" s="160">
        <v>3</v>
      </c>
      <c r="E380" s="91">
        <v>234</v>
      </c>
    </row>
    <row r="381" spans="1:5">
      <c r="A381" s="21">
        <f t="shared" si="12"/>
        <v>298</v>
      </c>
      <c r="B381" s="85" t="str">
        <f ca="1">IFERROR(__xludf.DUMMYFUNCTION("GOOGLETRANSLATE(B1144:B1159,""RU"",""UK"")"),"Свердло 14,5Р6М5")</f>
        <v>Свердло 14,5Р6М5</v>
      </c>
      <c r="C381" s="59" t="s">
        <v>6</v>
      </c>
      <c r="D381" s="59">
        <v>0</v>
      </c>
      <c r="E381" s="91" t="s">
        <v>222</v>
      </c>
    </row>
    <row r="382" spans="1:5">
      <c r="A382" s="21">
        <f t="shared" si="12"/>
        <v>299</v>
      </c>
      <c r="B382" s="85" t="str">
        <f ca="1">IFERROR(__xludf.DUMMYFUNCTION("GOOGLETRANSLATE(B1145:B1160,""RU"",""UK"")"),"Свердло 14,5 удл Р6М5")</f>
        <v>Свердло 14,5 удл Р6М5</v>
      </c>
      <c r="C382" s="59" t="s">
        <v>6</v>
      </c>
      <c r="D382" s="222">
        <v>0</v>
      </c>
      <c r="E382" s="91">
        <v>234</v>
      </c>
    </row>
    <row r="383" spans="1:5">
      <c r="A383" s="21">
        <f t="shared" si="12"/>
        <v>300</v>
      </c>
      <c r="B383" s="85" t="str">
        <f ca="1">IFERROR(__xludf.DUMMYFUNCTION("GOOGLETRANSLATE(B1146:B1161,""RU"",""UK"")"),"Свердло 14.6 Р6М5")</f>
        <v>Свердло 14.6 Р6М5</v>
      </c>
      <c r="C383" s="59" t="s">
        <v>6</v>
      </c>
      <c r="D383" s="59">
        <v>35</v>
      </c>
      <c r="E383" s="91" t="s">
        <v>222</v>
      </c>
    </row>
    <row r="384" spans="1:5">
      <c r="A384" s="21">
        <f t="shared" si="12"/>
        <v>301</v>
      </c>
      <c r="B384" s="169" t="str">
        <f ca="1">IFERROR(__xludf.DUMMYFUNCTION("GOOGLETRANSLATE(B1147:B1162,""RU"",""UK"")"),"Свердло 15,0 Р6М5")</f>
        <v>Свердло 15,0 Р6М5</v>
      </c>
      <c r="C384" s="59" t="s">
        <v>6</v>
      </c>
      <c r="D384" s="160">
        <v>7</v>
      </c>
      <c r="E384" s="91" t="s">
        <v>327</v>
      </c>
    </row>
    <row r="385" spans="1:5">
      <c r="A385" s="21">
        <f t="shared" si="12"/>
        <v>302</v>
      </c>
      <c r="B385" s="85" t="str">
        <f ca="1">IFERROR(__xludf.DUMMYFUNCTION("GOOGLETRANSLATE(B1148:B1163,""RU"",""UK"")"),"Свердло 15,0Р9")</f>
        <v>Свердло 15,0Р9</v>
      </c>
      <c r="C385" s="59" t="s">
        <v>6</v>
      </c>
      <c r="D385" s="59">
        <v>1</v>
      </c>
      <c r="E385" s="91" t="s">
        <v>220</v>
      </c>
    </row>
    <row r="386" spans="1:5">
      <c r="A386" s="21">
        <f t="shared" si="12"/>
        <v>303</v>
      </c>
      <c r="B386" s="85" t="str">
        <f ca="1">IFERROR(__xludf.DUMMYFUNCTION("GOOGLETRANSLATE(B1149:B1164,""RU"",""UK"")"),"Свердло 15,0Р6М5К5")</f>
        <v>Свердло 15,0Р6М5К5</v>
      </c>
      <c r="C386" s="59" t="s">
        <v>6</v>
      </c>
      <c r="D386" s="59">
        <v>0</v>
      </c>
      <c r="E386" s="91" t="s">
        <v>327</v>
      </c>
    </row>
    <row r="387" spans="1:5">
      <c r="A387" s="21">
        <f t="shared" si="12"/>
        <v>304</v>
      </c>
      <c r="B387" s="85" t="str">
        <f ca="1">IFERROR(__xludf.DUMMYFUNCTION("GOOGLETRANSLATE(B1150:B1165,""RU"",""UK"")"),"Свердло 15,0 удл Р6М5")</f>
        <v>Свердло 15,0 удл Р6М5</v>
      </c>
      <c r="C387" s="59" t="s">
        <v>6</v>
      </c>
      <c r="D387" s="59">
        <v>10</v>
      </c>
      <c r="E387" s="91">
        <v>240</v>
      </c>
    </row>
    <row r="388" spans="1:5">
      <c r="A388" s="21">
        <f t="shared" si="12"/>
        <v>305</v>
      </c>
      <c r="B388" s="85" t="str">
        <f ca="1">IFERROR(__xludf.DUMMYFUNCTION("GOOGLETRANSLATE(B1147:B1162,""RU"",""UK"")"),"Свердло 15,25 Р6М5")</f>
        <v>Свердло 15,25 Р6М5</v>
      </c>
      <c r="C388" s="59" t="s">
        <v>6</v>
      </c>
      <c r="D388" s="160">
        <v>2</v>
      </c>
      <c r="E388" s="91" t="s">
        <v>327</v>
      </c>
    </row>
    <row r="389" spans="1:5">
      <c r="A389" s="21">
        <f t="shared" si="12"/>
        <v>306</v>
      </c>
      <c r="B389" s="85" t="str">
        <f ca="1">IFERROR(__xludf.DUMMYFUNCTION("GOOGLETRANSLATE(B1151:B1166,""RU"",""UK"")"),"Свердло 15.4 Р6М5")</f>
        <v>Свердло 15.4 Р6М5</v>
      </c>
      <c r="C389" s="59" t="s">
        <v>6</v>
      </c>
      <c r="D389" s="160">
        <v>13</v>
      </c>
      <c r="E389" s="91" t="s">
        <v>327</v>
      </c>
    </row>
    <row r="390" spans="1:5">
      <c r="A390" s="21">
        <f t="shared" si="12"/>
        <v>307</v>
      </c>
      <c r="B390" s="85" t="str">
        <f ca="1">IFERROR(__xludf.DUMMYFUNCTION("GOOGLETRANSLATE(B1151:B1166,""RU"",""UK"")"),"Свердло 15,5Р6М5")</f>
        <v>Свердло 15,5Р6М5</v>
      </c>
      <c r="C390" s="59" t="s">
        <v>6</v>
      </c>
      <c r="D390" s="160">
        <v>5</v>
      </c>
      <c r="E390" s="91" t="s">
        <v>327</v>
      </c>
    </row>
    <row r="391" spans="1:5">
      <c r="A391" s="21">
        <f t="shared" si="12"/>
        <v>308</v>
      </c>
      <c r="B391" s="85" t="str">
        <f ca="1">IFERROR(__xludf.DUMMYFUNCTION("GOOGLETRANSLATE(B1150:B1165,""RU"",""UK"")"),"Свердло 15.5х230удлР6М5")</f>
        <v>Свердло 15.5х230удлР6М5</v>
      </c>
      <c r="C391" s="59" t="s">
        <v>6</v>
      </c>
      <c r="D391" s="59">
        <v>6</v>
      </c>
      <c r="E391" s="91">
        <v>240</v>
      </c>
    </row>
    <row r="392" spans="1:5">
      <c r="A392" s="21">
        <f t="shared" si="12"/>
        <v>309</v>
      </c>
      <c r="B392" s="85" t="str">
        <f ca="1">IFERROR(__xludf.DUMMYFUNCTION("GOOGLETRANSLATE(B1152:B1167,""RU"",""UK"")"),"Свердло 16,0 Р9/16,0 Р6М5")</f>
        <v>Свердло 16,0 Р9/16,0 Р6М5</v>
      </c>
      <c r="C392" s="59" t="s">
        <v>6</v>
      </c>
      <c r="D392" s="59" t="s">
        <v>6127</v>
      </c>
      <c r="E392" s="91">
        <v>222</v>
      </c>
    </row>
    <row r="393" spans="1:5">
      <c r="A393" s="21">
        <f t="shared" si="12"/>
        <v>310</v>
      </c>
      <c r="B393" s="85" t="str">
        <f ca="1">IFERROR(__xludf.DUMMYFUNCTION("GOOGLETRANSLATE(B1153:B1168,""RU"",""UK"")"),"Свердло 16,25 Р6М5")</f>
        <v>Свердло 16,25 Р6М5</v>
      </c>
      <c r="C393" s="59" t="s">
        <v>6</v>
      </c>
      <c r="D393" s="59">
        <v>33</v>
      </c>
      <c r="E393" s="91" t="s">
        <v>506</v>
      </c>
    </row>
    <row r="394" spans="1:5">
      <c r="A394" s="21">
        <f t="shared" si="12"/>
        <v>311</v>
      </c>
      <c r="B394" s="85" t="str">
        <f ca="1">IFERROR(__xludf.DUMMYFUNCTION("GOOGLETRANSLATE(B1153:B1168,""RU"",""UK"")"),"Свердло 16.5Р6М5")</f>
        <v>Свердло 16.5Р6М5</v>
      </c>
      <c r="C394" s="59" t="s">
        <v>6</v>
      </c>
      <c r="D394" s="59">
        <v>3</v>
      </c>
      <c r="E394" s="91" t="s">
        <v>506</v>
      </c>
    </row>
    <row r="395" spans="1:5">
      <c r="A395" s="21">
        <f t="shared" ref="A395" si="13">A394+1</f>
        <v>312</v>
      </c>
      <c r="B395" s="85" t="str">
        <f ca="1">IFERROR(__xludf.DUMMYFUNCTION("GOOGLETRANSLATE(B1154:B1169,""RU"",""UK"")"),"Свердло 16,5х240удл Р6М5")</f>
        <v>Свердло 16,5х240удл Р6М5</v>
      </c>
      <c r="C395" s="59" t="s">
        <v>6</v>
      </c>
      <c r="D395" s="59">
        <v>13</v>
      </c>
      <c r="E395" s="91" t="s">
        <v>510</v>
      </c>
    </row>
    <row r="396" spans="1:5">
      <c r="A396" s="21">
        <f t="shared" ref="A396:A402" si="14">A395+1</f>
        <v>313</v>
      </c>
      <c r="B396" s="85" t="str">
        <f ca="1">IFERROR(__xludf.DUMMYFUNCTION("GOOGLETRANSLATE(B1155:B1170,""RU"",""UK"")"),"Свердло 17,25х240удл Р6М5")</f>
        <v>Свердло 17,25х240удл Р6М5</v>
      </c>
      <c r="C396" s="59" t="s">
        <v>6</v>
      </c>
      <c r="D396" s="59">
        <v>6</v>
      </c>
      <c r="E396" s="91" t="s">
        <v>569</v>
      </c>
    </row>
    <row r="397" spans="1:5">
      <c r="A397" s="21">
        <f t="shared" si="14"/>
        <v>314</v>
      </c>
      <c r="B397" s="85" t="str">
        <f ca="1">IFERROR(__xludf.DUMMYFUNCTION("GOOGLETRANSLATE(B1156:B1171,""RU"",""UK"")"),"Свердло 17.5 Р6М5")</f>
        <v>Свердло 17.5 Р6М5</v>
      </c>
      <c r="C397" s="59" t="s">
        <v>6</v>
      </c>
      <c r="D397" s="59">
        <v>11</v>
      </c>
      <c r="E397" s="91" t="s">
        <v>508</v>
      </c>
    </row>
    <row r="398" spans="1:5">
      <c r="A398" s="21">
        <f t="shared" si="14"/>
        <v>315</v>
      </c>
      <c r="B398" s="85" t="str">
        <f ca="1">IFERROR(__xludf.DUMMYFUNCTION("GOOGLETRANSLATE(B1157:B1172,""RU"",""UK"")"),"Свердло 18.75 Р6М5")</f>
        <v>Свердло 18.75 Р6М5</v>
      </c>
      <c r="C398" s="59" t="s">
        <v>6</v>
      </c>
      <c r="D398" s="59">
        <v>16</v>
      </c>
      <c r="E398" s="91" t="s">
        <v>508</v>
      </c>
    </row>
    <row r="399" spans="1:5">
      <c r="A399" s="21">
        <f t="shared" si="14"/>
        <v>316</v>
      </c>
      <c r="B399" s="85" t="str">
        <f ca="1">IFERROR(__xludf.DUMMYFUNCTION("GOOGLETRANSLATE(B1158:B1173,""RU"",""UK"")"),"Свердло 19.0 Р6М5")</f>
        <v>Свердло 19.0 Р6М5</v>
      </c>
      <c r="C399" s="59" t="s">
        <v>6</v>
      </c>
      <c r="D399" s="59">
        <v>16</v>
      </c>
      <c r="E399" s="91" t="s">
        <v>20</v>
      </c>
    </row>
    <row r="400" spans="1:5">
      <c r="A400" s="21">
        <f t="shared" si="14"/>
        <v>317</v>
      </c>
      <c r="B400" s="85" t="str">
        <f ca="1">IFERROR(__xludf.DUMMYFUNCTION("GOOGLETRANSLATE(B1158:B1173,""RU"",""UK"")"),"Свердло 19.5 Р6М5")</f>
        <v>Свердло 19.5 Р6М5</v>
      </c>
      <c r="C400" s="59" t="s">
        <v>6</v>
      </c>
      <c r="D400" s="59">
        <v>6</v>
      </c>
      <c r="E400" s="91" t="s">
        <v>20</v>
      </c>
    </row>
    <row r="401" spans="1:5">
      <c r="A401" s="21">
        <f t="shared" si="14"/>
        <v>318</v>
      </c>
      <c r="B401" s="85" t="str">
        <f ca="1">IFERROR(__xludf.DUMMYFUNCTION("GOOGLETRANSLATE(B1159:B1174,""RU"",""UK"")"),"Свердло 19,75 Р6М5")</f>
        <v>Свердло 19,75 Р6М5</v>
      </c>
      <c r="C401" s="59" t="s">
        <v>6</v>
      </c>
      <c r="D401" s="59">
        <v>3</v>
      </c>
      <c r="E401" s="91" t="s">
        <v>24</v>
      </c>
    </row>
    <row r="402" spans="1:5">
      <c r="A402" s="21">
        <f t="shared" si="14"/>
        <v>319</v>
      </c>
      <c r="B402" s="115" t="str">
        <f ca="1">IFERROR(__xludf.DUMMYFUNCTION("GOOGLETRANSLATE(B1160:B1175,""RU"",""UK"")"),"Свердло 27,0 Р6М5/28,0 Р6М5")</f>
        <v>Свердло 27,0 Р6М5/28,0 Р6М5</v>
      </c>
      <c r="C402" s="59" t="s">
        <v>6</v>
      </c>
      <c r="D402" s="59" t="s">
        <v>438</v>
      </c>
      <c r="E402" s="91" t="s">
        <v>16</v>
      </c>
    </row>
    <row r="403" spans="1:5">
      <c r="A403" s="43"/>
      <c r="B403" s="119" t="str">
        <f ca="1">IFERROR(__xludf.DUMMYFUNCTION("GOOGLETRANSLATE(B1161:B1176,""RU"",""UK"")"),"14. СВЕРДЛА КОН./ХВ. - Р6М5")</f>
        <v>14. СВЕРДЛА КОН./ХВ. - Р6М5</v>
      </c>
      <c r="C403" s="29"/>
      <c r="D403" s="33"/>
      <c r="E403" s="95"/>
    </row>
    <row r="404" spans="1:5">
      <c r="A404" s="21">
        <v>1</v>
      </c>
      <c r="B404" s="47" t="str">
        <f ca="1">IFERROR(__xludf.DUMMYFUNCTION("GOOGLETRANSLATE(B1162:B1177,""RU"",""UK"")"),"Свердло 6,0")</f>
        <v>Свердло 6,0</v>
      </c>
      <c r="C404" s="59" t="s">
        <v>6</v>
      </c>
      <c r="D404" s="59">
        <v>0</v>
      </c>
      <c r="E404" s="91">
        <v>120</v>
      </c>
    </row>
    <row r="405" spans="1:5">
      <c r="A405" s="21">
        <f>A404+1</f>
        <v>2</v>
      </c>
      <c r="B405" s="85" t="str">
        <f ca="1">IFERROR(__xludf.DUMMYFUNCTION("GOOGLETRANSLATE(B1163:B1178,""RU"",""UK"")"),"Свердло 6.0х220(150)удл.")</f>
        <v>Свердло 6.0х220(150)удл.</v>
      </c>
      <c r="C405" s="59" t="s">
        <v>6</v>
      </c>
      <c r="D405" s="59">
        <v>3</v>
      </c>
      <c r="E405" s="91">
        <v>150</v>
      </c>
    </row>
    <row r="406" spans="1:5">
      <c r="A406" s="21">
        <f t="shared" ref="A406:A417" si="15">A405+1</f>
        <v>3</v>
      </c>
      <c r="B406" s="47" t="str">
        <f ca="1">IFERROR(__xludf.DUMMYFUNCTION("GOOGLETRANSLATE(B1162:B1177,""RU"",""UK"")"),"Свердло 6,2")</f>
        <v>Свердло 6,2</v>
      </c>
      <c r="C406" s="59" t="s">
        <v>6</v>
      </c>
      <c r="D406" s="59">
        <v>84</v>
      </c>
      <c r="E406" s="91">
        <v>123</v>
      </c>
    </row>
    <row r="407" spans="1:5">
      <c r="A407" s="21">
        <f t="shared" si="15"/>
        <v>4</v>
      </c>
      <c r="B407" s="85" t="str">
        <f ca="1">IFERROR(__xludf.DUMMYFUNCTION("GOOGLETRANSLATE(B1164:B1179,""RU"",""UK"")"),"Свердло 6,5")</f>
        <v>Свердло 6,5</v>
      </c>
      <c r="C407" s="59" t="s">
        <v>6</v>
      </c>
      <c r="D407" s="59">
        <v>16</v>
      </c>
      <c r="E407" s="91">
        <v>126</v>
      </c>
    </row>
    <row r="408" spans="1:5">
      <c r="A408" s="21">
        <f t="shared" si="15"/>
        <v>5</v>
      </c>
      <c r="B408" s="85" t="str">
        <f ca="1">IFERROR(__xludf.DUMMYFUNCTION("GOOGLETRANSLATE(B1164:B1179,""RU"",""UK"")"),"Свердло 6,7")</f>
        <v>Свердло 6,7</v>
      </c>
      <c r="C408" s="59" t="s">
        <v>6</v>
      </c>
      <c r="D408" s="160">
        <v>8</v>
      </c>
      <c r="E408" s="91">
        <v>132</v>
      </c>
    </row>
    <row r="409" spans="1:5">
      <c r="A409" s="21">
        <f t="shared" si="15"/>
        <v>6</v>
      </c>
      <c r="B409" s="85" t="str">
        <f ca="1">IFERROR(__xludf.DUMMYFUNCTION("GOOGLETRANSLATE(B1164:B1179,""RU"",""UK"")"),"Свердло 6,8")</f>
        <v>Свердло 6,8</v>
      </c>
      <c r="C409" s="59" t="s">
        <v>6</v>
      </c>
      <c r="D409" s="160">
        <v>1</v>
      </c>
      <c r="E409" s="91">
        <v>132</v>
      </c>
    </row>
    <row r="410" spans="1:5">
      <c r="A410" s="21">
        <f t="shared" si="15"/>
        <v>7</v>
      </c>
      <c r="B410" s="85" t="str">
        <f ca="1">IFERROR(__xludf.DUMMYFUNCTION("GOOGLETRANSLATE(B1165:B1180,""RU"",""UK"")"),"Свердло 7,0")</f>
        <v>Свердло 7,0</v>
      </c>
      <c r="C410" s="59" t="s">
        <v>6</v>
      </c>
      <c r="D410" s="59">
        <v>7</v>
      </c>
      <c r="E410" s="91">
        <v>141</v>
      </c>
    </row>
    <row r="411" spans="1:5">
      <c r="A411" s="21">
        <f t="shared" si="15"/>
        <v>8</v>
      </c>
      <c r="B411" s="85" t="str">
        <f ca="1">IFERROR(__xludf.DUMMYFUNCTION("GOOGLETRANSLATE(B1166:B1181,""RU"",""UK"")"),"Свердло 7,0х230 удл")</f>
        <v>Свердло 7,0х230 удл</v>
      </c>
      <c r="C411" s="59" t="s">
        <v>6</v>
      </c>
      <c r="D411" s="59">
        <v>8</v>
      </c>
      <c r="E411" s="91">
        <v>159</v>
      </c>
    </row>
    <row r="412" spans="1:5">
      <c r="A412" s="21">
        <f t="shared" si="15"/>
        <v>9</v>
      </c>
      <c r="B412" s="85" t="str">
        <f ca="1">IFERROR(__xludf.DUMMYFUNCTION("GOOGLETRANSLATE(B1165:B1180,""RU"",""UK"")"),"Свердло 7,2")</f>
        <v>Свердло 7,2</v>
      </c>
      <c r="C412" s="59" t="s">
        <v>6</v>
      </c>
      <c r="D412" s="59">
        <v>38</v>
      </c>
      <c r="E412" s="91">
        <v>135</v>
      </c>
    </row>
    <row r="413" spans="1:5">
      <c r="A413" s="21">
        <f t="shared" si="15"/>
        <v>10</v>
      </c>
      <c r="B413" s="85" t="str">
        <f ca="1">IFERROR(__xludf.DUMMYFUNCTION("GOOGLETRANSLATE(B1166:B1181,""RU"",""UK"")"),"Свердло 7,2х240 удл")</f>
        <v>Свердло 7,2х240 удл</v>
      </c>
      <c r="C413" s="59" t="s">
        <v>6</v>
      </c>
      <c r="D413" s="59">
        <v>17</v>
      </c>
      <c r="E413" s="91">
        <v>165</v>
      </c>
    </row>
    <row r="414" spans="1:5">
      <c r="A414" s="21">
        <f t="shared" si="15"/>
        <v>11</v>
      </c>
      <c r="B414" s="85" t="str">
        <f ca="1">IFERROR(__xludf.DUMMYFUNCTION("GOOGLETRANSLATE(B1167:B1182,""RU"",""UK"")"),"Свердло 7,5")</f>
        <v>Свердло 7,5</v>
      </c>
      <c r="C414" s="59" t="s">
        <v>6</v>
      </c>
      <c r="D414" s="59">
        <v>35</v>
      </c>
      <c r="E414" s="91">
        <v>138</v>
      </c>
    </row>
    <row r="415" spans="1:5">
      <c r="A415" s="21">
        <f t="shared" si="15"/>
        <v>12</v>
      </c>
      <c r="B415" s="85" t="str">
        <f ca="1">IFERROR(__xludf.DUMMYFUNCTION("GOOGLETRANSLATE(B1168:B1183,""RU"",""UK"")"),"Свердло 7.5х230(160)удл")</f>
        <v>Свердло 7.5х230(160)удл</v>
      </c>
      <c r="C415" s="59" t="s">
        <v>6</v>
      </c>
      <c r="D415" s="59">
        <v>1</v>
      </c>
      <c r="E415" s="91">
        <v>165</v>
      </c>
    </row>
    <row r="416" spans="1:5">
      <c r="A416" s="21">
        <f t="shared" si="15"/>
        <v>13</v>
      </c>
      <c r="B416" s="85" t="str">
        <f ca="1">IFERROR(__xludf.DUMMYFUNCTION("GOOGLETRANSLATE(B1167:B1182,""RU"",""UK"")"),"Свердло 7,8")</f>
        <v>Свердло 7,8</v>
      </c>
      <c r="C416" s="59" t="s">
        <v>6</v>
      </c>
      <c r="D416" s="59">
        <v>662</v>
      </c>
      <c r="E416" s="91">
        <v>138</v>
      </c>
    </row>
    <row r="417" spans="1:5">
      <c r="A417" s="21">
        <f t="shared" si="15"/>
        <v>14</v>
      </c>
      <c r="B417" s="85" t="str">
        <f ca="1">IFERROR(__xludf.DUMMYFUNCTION("GOOGLETRANSLATE(B1168:B1183,""RU"",""UK"")"),"Свердло 7,8х240(150)удл")</f>
        <v>Свердло 7,8х240(150)удл</v>
      </c>
      <c r="C417" s="59" t="s">
        <v>6</v>
      </c>
      <c r="D417" s="59">
        <v>67</v>
      </c>
      <c r="E417" s="91">
        <v>165</v>
      </c>
    </row>
    <row r="418" spans="1:5">
      <c r="A418" s="21">
        <f t="shared" ref="A418:A519" si="16">A417+1</f>
        <v>15</v>
      </c>
      <c r="B418" s="85" t="str">
        <f ca="1">IFERROR(__xludf.DUMMYFUNCTION("GOOGLETRANSLATE(B1169:B1184,""RU"",""UK"")"),"Свердло 8,0")</f>
        <v>Свердло 8,0</v>
      </c>
      <c r="C418" s="59" t="s">
        <v>6</v>
      </c>
      <c r="D418" s="59">
        <v>79</v>
      </c>
      <c r="E418" s="91">
        <v>142</v>
      </c>
    </row>
    <row r="419" spans="1:5">
      <c r="A419" s="21">
        <f t="shared" si="16"/>
        <v>16</v>
      </c>
      <c r="B419" s="85" t="str">
        <f ca="1">IFERROR(__xludf.DUMMYFUNCTION("GOOGLETRANSLATE(B1170:B1185,""RU"",""UK"")"),"Свердло 8,0х240удл.")</f>
        <v>Свердло 8,0х240удл.</v>
      </c>
      <c r="C419" s="59" t="s">
        <v>6</v>
      </c>
      <c r="D419" s="59">
        <v>3</v>
      </c>
      <c r="E419" s="91" t="s">
        <v>119</v>
      </c>
    </row>
    <row r="420" spans="1:5">
      <c r="A420" s="21">
        <f t="shared" si="16"/>
        <v>17</v>
      </c>
      <c r="B420" s="85" t="str">
        <f ca="1">IFERROR(__xludf.DUMMYFUNCTION("GOOGLETRANSLATE(B1171:B1186,""RU"",""UK"")"),"Свердло 8,2")</f>
        <v>Свердло 8,2</v>
      </c>
      <c r="C420" s="59" t="s">
        <v>6</v>
      </c>
      <c r="D420" s="59">
        <v>82</v>
      </c>
      <c r="E420" s="91">
        <v>145</v>
      </c>
    </row>
    <row r="421" spans="1:5">
      <c r="A421" s="21">
        <f t="shared" si="16"/>
        <v>18</v>
      </c>
      <c r="B421" s="164" t="str">
        <f ca="1">IFERROR(__xludf.DUMMYFUNCTION("GOOGLETRANSLATE(B1171:B1186,""RU"",""UK"")"),"Свердло 8,5")</f>
        <v>Свердло 8,5</v>
      </c>
      <c r="C421" s="59" t="s">
        <v>6</v>
      </c>
      <c r="D421" s="59">
        <v>0</v>
      </c>
      <c r="E421" s="91">
        <v>145</v>
      </c>
    </row>
    <row r="422" spans="1:5">
      <c r="A422" s="21">
        <f t="shared" si="16"/>
        <v>19</v>
      </c>
      <c r="B422" s="85" t="str">
        <f ca="1">IFERROR(__xludf.DUMMYFUNCTION("GOOGLETRANSLATE(B1171:B1186,""RU"",""UK"")"),"Свердло 8,8")</f>
        <v>Свердло 8,8</v>
      </c>
      <c r="C422" s="59" t="s">
        <v>6</v>
      </c>
      <c r="D422" s="59">
        <v>45</v>
      </c>
      <c r="E422" s="91">
        <v>145</v>
      </c>
    </row>
    <row r="423" spans="1:5">
      <c r="A423" s="21">
        <f t="shared" si="16"/>
        <v>20</v>
      </c>
      <c r="B423" s="85" t="str">
        <f ca="1">IFERROR(__xludf.DUMMYFUNCTION("GOOGLETRANSLATE(B1173:B1188,""RU"",""UK"")"),"Свердло 9,0")</f>
        <v>Свердло 9,0</v>
      </c>
      <c r="C423" s="59" t="s">
        <v>6</v>
      </c>
      <c r="D423" s="59">
        <v>278</v>
      </c>
      <c r="E423" s="91" t="s">
        <v>319</v>
      </c>
    </row>
    <row r="424" spans="1:5">
      <c r="A424" s="21">
        <f t="shared" si="16"/>
        <v>21</v>
      </c>
      <c r="B424" s="85" t="str">
        <f ca="1">IFERROR(__xludf.DUMMYFUNCTION("GOOGLETRANSLATE(B1174:B1189,""RU"",""UK"")"),"Свердло 9,0х190удл")</f>
        <v>Свердло 9,0х190удл</v>
      </c>
      <c r="C424" s="59" t="s">
        <v>6</v>
      </c>
      <c r="D424" s="59">
        <v>36</v>
      </c>
      <c r="E424" s="91">
        <v>180</v>
      </c>
    </row>
    <row r="425" spans="1:5">
      <c r="A425" s="21">
        <f t="shared" si="16"/>
        <v>22</v>
      </c>
      <c r="B425" s="85" t="str">
        <f ca="1">IFERROR(__xludf.DUMMYFUNCTION("GOOGLETRANSLATE(B1175:B1190,""RU"",""UK"")"),"Свердло 9,2")</f>
        <v>Свердло 9,2</v>
      </c>
      <c r="C425" s="59" t="s">
        <v>6</v>
      </c>
      <c r="D425" s="59">
        <v>3</v>
      </c>
      <c r="E425" s="91">
        <v>156</v>
      </c>
    </row>
    <row r="426" spans="1:5">
      <c r="A426" s="21">
        <f t="shared" si="16"/>
        <v>23</v>
      </c>
      <c r="B426" s="85" t="str">
        <f ca="1">IFERROR(__xludf.DUMMYFUNCTION("GOOGLETRANSLATE(B1175:B1190,""RU"",""UK"")"),"Свердло 9,5")</f>
        <v>Свердло 9,5</v>
      </c>
      <c r="C426" s="59" t="s">
        <v>6</v>
      </c>
      <c r="D426" s="59">
        <v>97</v>
      </c>
      <c r="E426" s="91">
        <v>156</v>
      </c>
    </row>
    <row r="427" spans="1:5">
      <c r="A427" s="21">
        <f t="shared" si="16"/>
        <v>24</v>
      </c>
      <c r="B427" s="85" t="str">
        <f ca="1">IFERROR(__xludf.DUMMYFUNCTION("GOOGLETRANSLATE(B1175:B1190,""RU"",""UK"")"),"Свердло 9,8")</f>
        <v>Свердло 9,8</v>
      </c>
      <c r="C427" s="59" t="s">
        <v>6</v>
      </c>
      <c r="D427" s="59">
        <v>25</v>
      </c>
      <c r="E427" s="91">
        <v>156</v>
      </c>
    </row>
    <row r="428" spans="1:5">
      <c r="A428" s="21">
        <f t="shared" si="16"/>
        <v>25</v>
      </c>
      <c r="B428" s="85" t="str">
        <f ca="1">IFERROR(__xludf.DUMMYFUNCTION("GOOGLETRANSLATE(B1176:B1191,""RU"",""UK"")"),"Свердло 9,8 х100 удл")</f>
        <v>Свердло 9,8 х100 удл</v>
      </c>
      <c r="C428" s="59" t="s">
        <v>6</v>
      </c>
      <c r="D428" s="59">
        <v>14</v>
      </c>
      <c r="E428" s="91">
        <v>180</v>
      </c>
    </row>
    <row r="429" spans="1:5">
      <c r="A429" s="21">
        <f t="shared" si="16"/>
        <v>26</v>
      </c>
      <c r="B429" s="85" t="str">
        <f ca="1">IFERROR(__xludf.DUMMYFUNCTION("GOOGLETRANSLATE(B1177:B1192,""RU"",""UK"")"),"Свердло 10,0")</f>
        <v>Свердло 10,0</v>
      </c>
      <c r="C429" s="59" t="s">
        <v>6</v>
      </c>
      <c r="D429" s="37">
        <v>270</v>
      </c>
      <c r="E429" s="91">
        <v>165</v>
      </c>
    </row>
    <row r="430" spans="1:5">
      <c r="A430" s="21">
        <f t="shared" si="16"/>
        <v>27</v>
      </c>
      <c r="B430" s="85" t="str">
        <f ca="1">IFERROR(__xludf.DUMMYFUNCTION("GOOGLETRANSLATE(B1179:B1194,""RU"",""UK"")"),"Свердло 10,0х200удл.")</f>
        <v>Свердло 10,0х200удл.</v>
      </c>
      <c r="C430" s="59" t="s">
        <v>6</v>
      </c>
      <c r="D430" s="59">
        <v>248</v>
      </c>
      <c r="E430" s="91" t="s">
        <v>119</v>
      </c>
    </row>
    <row r="431" spans="1:5">
      <c r="A431" s="21">
        <f t="shared" si="16"/>
        <v>28</v>
      </c>
      <c r="B431" s="85" t="str">
        <f ca="1">IFERROR(__xludf.DUMMYFUNCTION("GOOGLETRANSLATE(B1179:B1194,""RU"",""UK"")"),"Свердло 10,0х220удл.")</f>
        <v>Свердло 10,0х220удл.</v>
      </c>
      <c r="C431" s="59" t="s">
        <v>6</v>
      </c>
      <c r="D431" s="59">
        <v>82</v>
      </c>
      <c r="E431" s="91" t="s">
        <v>119</v>
      </c>
    </row>
    <row r="432" spans="1:5">
      <c r="A432" s="21">
        <f t="shared" si="16"/>
        <v>29</v>
      </c>
      <c r="B432" s="85" t="str">
        <f ca="1">IFERROR(__xludf.DUMMYFUNCTION("GOOGLETRANSLATE(B1180:B1195,""RU"",""UK"")"),"Свердло 10,0х250удл.")</f>
        <v>Свердло 10,0х250удл.</v>
      </c>
      <c r="C432" s="59" t="s">
        <v>6</v>
      </c>
      <c r="D432" s="59">
        <v>16</v>
      </c>
      <c r="E432" s="91">
        <v>192</v>
      </c>
    </row>
    <row r="433" spans="1:5">
      <c r="A433" s="21">
        <f t="shared" si="16"/>
        <v>30</v>
      </c>
      <c r="B433" s="85" t="str">
        <f ca="1">IFERROR(__xludf.DUMMYFUNCTION("GOOGLETRANSLATE(B1180:B1195,""RU"",""UK"")"),"Свердло 10,0х280удл.")</f>
        <v>Свердло 10,0х280удл.</v>
      </c>
      <c r="C433" s="59" t="s">
        <v>6</v>
      </c>
      <c r="D433" s="59">
        <v>31</v>
      </c>
      <c r="E433" s="91">
        <v>192</v>
      </c>
    </row>
    <row r="434" spans="1:5">
      <c r="A434" s="21">
        <f t="shared" si="16"/>
        <v>31</v>
      </c>
      <c r="B434" s="85" t="str">
        <f ca="1">IFERROR(__xludf.DUMMYFUNCTION("GOOGLETRANSLATE(B1177:B1192,""RU"",""UK"")"),"Свердло 10,2")</f>
        <v>Свердло 10,2</v>
      </c>
      <c r="C434" s="59" t="s">
        <v>6</v>
      </c>
      <c r="D434" s="37">
        <v>56</v>
      </c>
      <c r="E434" s="91">
        <v>165</v>
      </c>
    </row>
    <row r="435" spans="1:5">
      <c r="A435" s="21">
        <f t="shared" si="16"/>
        <v>32</v>
      </c>
      <c r="B435" s="85" t="str">
        <f ca="1">IFERROR(__xludf.DUMMYFUNCTION("GOOGLETRANSLATE(B1181:B1196,""RU"",""UK"")"),"Свердло 10,2 х210удл.")</f>
        <v>Свердло 10,2 х210удл.</v>
      </c>
      <c r="C435" s="59" t="s">
        <v>6</v>
      </c>
      <c r="D435" s="59">
        <v>11</v>
      </c>
      <c r="E435" s="91" t="s">
        <v>220</v>
      </c>
    </row>
    <row r="436" spans="1:5">
      <c r="A436" s="21">
        <f t="shared" si="16"/>
        <v>33</v>
      </c>
      <c r="B436" s="85" t="str">
        <f ca="1">IFERROR(__xludf.DUMMYFUNCTION("GOOGLETRANSLATE(B1181:B1196,""RU"",""UK"")"),"Свердло 10.2х250Дл.")</f>
        <v>Свердло 10.2х250Дл.</v>
      </c>
      <c r="C436" s="59" t="s">
        <v>6</v>
      </c>
      <c r="D436" s="59">
        <v>16</v>
      </c>
      <c r="E436" s="91" t="s">
        <v>220</v>
      </c>
    </row>
    <row r="437" spans="1:5">
      <c r="A437" s="21">
        <f t="shared" si="16"/>
        <v>34</v>
      </c>
      <c r="B437" s="85" t="str">
        <f ca="1">IFERROR(__xludf.DUMMYFUNCTION("GOOGLETRANSLATE(B1181:B1196,""RU"",""UK"")"),"Свердло 10.2х280Дл.")</f>
        <v>Свердло 10.2х280Дл.</v>
      </c>
      <c r="C437" s="59" t="s">
        <v>6</v>
      </c>
      <c r="D437" s="59">
        <v>1</v>
      </c>
      <c r="E437" s="91" t="s">
        <v>220</v>
      </c>
    </row>
    <row r="438" spans="1:5">
      <c r="A438" s="21">
        <f t="shared" si="16"/>
        <v>35</v>
      </c>
      <c r="B438" s="85" t="str">
        <f ca="1">IFERROR(__xludf.DUMMYFUNCTION("GOOGLETRANSLATE(B1178:B1193,""RU"",""UK"")"),"Свердло 10,5")</f>
        <v>Свердло 10,5</v>
      </c>
      <c r="C438" s="59" t="s">
        <v>6</v>
      </c>
      <c r="D438" s="59">
        <v>170</v>
      </c>
      <c r="E438" s="91">
        <v>165</v>
      </c>
    </row>
    <row r="439" spans="1:5">
      <c r="A439" s="21">
        <f t="shared" si="16"/>
        <v>36</v>
      </c>
      <c r="B439" s="85" t="str">
        <f ca="1">IFERROR(__xludf.DUMMYFUNCTION("GOOGLETRANSLATE(B1182:B1197,""RU"",""UK"")"),"Свердло 10,5 х250 удл.")</f>
        <v>Свердло 10,5 х250 удл.</v>
      </c>
      <c r="C439" s="59" t="s">
        <v>6</v>
      </c>
      <c r="D439" s="59">
        <v>4</v>
      </c>
      <c r="E439" s="91" t="s">
        <v>327</v>
      </c>
    </row>
    <row r="440" spans="1:5">
      <c r="A440" s="21">
        <f t="shared" si="16"/>
        <v>37</v>
      </c>
      <c r="B440" s="85" t="str">
        <f ca="1">IFERROR(__xludf.DUMMYFUNCTION("GOOGLETRANSLATE(B1182:B1197,""RU"",""UK"")"),"Свердло 10,5 х300 удл.")</f>
        <v>Свердло 10,5 х300 удл.</v>
      </c>
      <c r="C440" s="59" t="s">
        <v>6</v>
      </c>
      <c r="D440" s="59">
        <v>54</v>
      </c>
      <c r="E440" s="91" t="s">
        <v>327</v>
      </c>
    </row>
    <row r="441" spans="1:5">
      <c r="A441" s="21">
        <f t="shared" si="16"/>
        <v>38</v>
      </c>
      <c r="B441" s="85" t="str">
        <f ca="1">IFERROR(__xludf.DUMMYFUNCTION("GOOGLETRANSLATE(B1183:B1198,""RU"",""UK"")"),"Свердло 10,7 удл. ")</f>
        <v xml:space="preserve">Свердло 10,7 удл. </v>
      </c>
      <c r="C441" s="59" t="s">
        <v>6</v>
      </c>
      <c r="D441" s="59">
        <v>19</v>
      </c>
      <c r="E441" s="91" t="s">
        <v>1688</v>
      </c>
    </row>
    <row r="442" spans="1:5">
      <c r="A442" s="21">
        <f t="shared" si="16"/>
        <v>39</v>
      </c>
      <c r="B442" s="85" t="str">
        <f ca="1">IFERROR(__xludf.DUMMYFUNCTION("GOOGLETRANSLATE(B1178:B1193,""RU"",""UK"")"),"Свердло 10,8")</f>
        <v>Свердло 10,8</v>
      </c>
      <c r="C442" s="59" t="s">
        <v>6</v>
      </c>
      <c r="D442" s="59">
        <v>240</v>
      </c>
      <c r="E442" s="91">
        <v>165</v>
      </c>
    </row>
    <row r="443" spans="1:5">
      <c r="A443" s="21">
        <f t="shared" si="16"/>
        <v>40</v>
      </c>
      <c r="B443" s="85" t="str">
        <f ca="1">IFERROR(__xludf.DUMMYFUNCTION("GOOGLETRANSLATE(B1183:B1198,""RU"",""UK"")"),"Свердло 10,8 удл.")</f>
        <v>Свердло 10,8 удл.</v>
      </c>
      <c r="C443" s="59" t="s">
        <v>6</v>
      </c>
      <c r="D443" s="59">
        <v>120</v>
      </c>
      <c r="E443" s="91" t="s">
        <v>1688</v>
      </c>
    </row>
    <row r="444" spans="1:5">
      <c r="A444" s="21">
        <f t="shared" si="16"/>
        <v>41</v>
      </c>
      <c r="B444" s="85" t="str">
        <f ca="1">IFERROR(__xludf.DUMMYFUNCTION("GOOGLETRANSLATE(B1184:B1199,""RU"",""UK"")"),"Свердло 11,0")</f>
        <v>Свердло 11,0</v>
      </c>
      <c r="C444" s="59" t="s">
        <v>6</v>
      </c>
      <c r="D444" s="59">
        <v>277</v>
      </c>
      <c r="E444" s="91">
        <v>165</v>
      </c>
    </row>
    <row r="445" spans="1:5">
      <c r="A445" s="21">
        <f t="shared" si="16"/>
        <v>42</v>
      </c>
      <c r="B445" s="85" t="str">
        <f ca="1">IFERROR(__xludf.DUMMYFUNCTION("GOOGLETRANSLATE(B1185:B1200,""RU"",""UK"")"),"Свердло 11,0х210(110)удл.")</f>
        <v>Свердло 11,0х210(110)удл.</v>
      </c>
      <c r="C445" s="59" t="s">
        <v>6</v>
      </c>
      <c r="D445" s="59">
        <v>146</v>
      </c>
      <c r="E445" s="91" t="s">
        <v>327</v>
      </c>
    </row>
    <row r="446" spans="1:5">
      <c r="A446" s="21">
        <f t="shared" si="16"/>
        <v>43</v>
      </c>
      <c r="B446" s="85" t="str">
        <f ca="1">IFERROR(__xludf.DUMMYFUNCTION("GOOGLETRANSLATE(B1185:B1200,""RU"",""UK"")"),"Свердло 11,0 х250(150)удл.")</f>
        <v>Свердло 11,0 х250(150)удл.</v>
      </c>
      <c r="C446" s="59" t="s">
        <v>6</v>
      </c>
      <c r="D446" s="59">
        <v>57</v>
      </c>
      <c r="E446" s="91" t="s">
        <v>327</v>
      </c>
    </row>
    <row r="447" spans="1:5">
      <c r="A447" s="21">
        <f t="shared" si="16"/>
        <v>44</v>
      </c>
      <c r="B447" s="85" t="str">
        <f ca="1">IFERROR(__xludf.DUMMYFUNCTION("GOOGLETRANSLATE(B1185:B1200,""RU"",""UK"")"),"Свердло 11,0 х280(180)удл.")</f>
        <v>Свердло 11,0 х280(180)удл.</v>
      </c>
      <c r="C447" s="59" t="s">
        <v>6</v>
      </c>
      <c r="D447" s="59">
        <v>2</v>
      </c>
      <c r="E447" s="91" t="s">
        <v>327</v>
      </c>
    </row>
    <row r="448" spans="1:5">
      <c r="A448" s="21">
        <f t="shared" si="16"/>
        <v>45</v>
      </c>
      <c r="B448" s="85" t="str">
        <f ca="1">IFERROR(__xludf.DUMMYFUNCTION("GOOGLETRANSLATE(B1187:B1202,""RU"",""UK"")"),"Свердло 11,2")</f>
        <v>Свердло 11,2</v>
      </c>
      <c r="C448" s="59" t="s">
        <v>6</v>
      </c>
      <c r="D448" s="59">
        <v>124</v>
      </c>
      <c r="E448" s="91">
        <v>165</v>
      </c>
    </row>
    <row r="449" spans="1:5">
      <c r="A449" s="21">
        <f t="shared" si="16"/>
        <v>46</v>
      </c>
      <c r="B449" s="85" t="str">
        <f ca="1">IFERROR(__xludf.DUMMYFUNCTION("GOOGLETRANSLATE(B1186:B1201,""RU"",""UK"")"),"Свердло 11,2удл.")</f>
        <v>Свердло 11,2удл.</v>
      </c>
      <c r="C449" s="59" t="s">
        <v>6</v>
      </c>
      <c r="D449" s="59">
        <v>114</v>
      </c>
      <c r="E449" s="91" t="s">
        <v>327</v>
      </c>
    </row>
    <row r="450" spans="1:5">
      <c r="A450" s="21">
        <f t="shared" si="16"/>
        <v>47</v>
      </c>
      <c r="B450" s="85" t="str">
        <f ca="1">IFERROR(__xludf.DUMMYFUNCTION("GOOGLETRANSLATE(B1187:B1202,""RU"",""UK"")"),"Свердло 11,5")</f>
        <v>Свердло 11,5</v>
      </c>
      <c r="C450" s="59" t="s">
        <v>6</v>
      </c>
      <c r="D450" s="59">
        <v>439</v>
      </c>
      <c r="E450" s="91">
        <v>162</v>
      </c>
    </row>
    <row r="451" spans="1:5">
      <c r="A451" s="21">
        <f t="shared" si="16"/>
        <v>48</v>
      </c>
      <c r="B451" s="85" t="str">
        <f ca="1">IFERROR(__xludf.DUMMYFUNCTION("GOOGLETRANSLATE(B1186:B1201,""RU"",""UK"")"),"Свердло 11,5 удл.")</f>
        <v>Свердло 11,5 удл.</v>
      </c>
      <c r="C451" s="59" t="s">
        <v>6</v>
      </c>
      <c r="D451" s="59">
        <v>27</v>
      </c>
      <c r="E451" s="91" t="s">
        <v>327</v>
      </c>
    </row>
    <row r="452" spans="1:5">
      <c r="A452" s="21">
        <f t="shared" si="16"/>
        <v>49</v>
      </c>
      <c r="B452" s="85" t="str">
        <f ca="1">IFERROR(__xludf.DUMMYFUNCTION("GOOGLETRANSLATE(B1187:B1202,""RU"",""UK"")"),"Свердло 11,8")</f>
        <v>Свердло 11,8</v>
      </c>
      <c r="C452" s="59" t="s">
        <v>6</v>
      </c>
      <c r="D452" s="59">
        <v>150</v>
      </c>
      <c r="E452" s="91">
        <v>162</v>
      </c>
    </row>
    <row r="453" spans="1:5">
      <c r="A453" s="21">
        <f t="shared" si="16"/>
        <v>50</v>
      </c>
      <c r="B453" s="85" t="str">
        <f ca="1">IFERROR(__xludf.DUMMYFUNCTION("GOOGLETRANSLATE(B1188:B1203,""RU"",""UK"")"),"Свердло 12,0")</f>
        <v>Свердло 12,0</v>
      </c>
      <c r="C453" s="59" t="s">
        <v>6</v>
      </c>
      <c r="D453" s="59">
        <v>94</v>
      </c>
      <c r="E453" s="91" t="s">
        <v>327</v>
      </c>
    </row>
    <row r="454" spans="1:5">
      <c r="A454" s="21">
        <f t="shared" si="16"/>
        <v>51</v>
      </c>
      <c r="B454" s="85" t="str">
        <f ca="1">IFERROR(__xludf.DUMMYFUNCTION("GOOGLETRANSLATE(B1189:B1204,""RU"",""UK"")"),"Свердло 12,0 х270(170) удл.")</f>
        <v>Свердло 12,0 х270(170) удл.</v>
      </c>
      <c r="C454" s="59" t="s">
        <v>6</v>
      </c>
      <c r="D454" s="59">
        <v>2</v>
      </c>
      <c r="E454" s="91">
        <v>240</v>
      </c>
    </row>
    <row r="455" spans="1:5">
      <c r="A455" s="21">
        <f t="shared" si="16"/>
        <v>52</v>
      </c>
      <c r="B455" s="85" t="str">
        <f ca="1">IFERROR(__xludf.DUMMYFUNCTION("GOOGLETRANSLATE(B1188:B1203,""RU"",""UK"")"),"Свердло 12.2")</f>
        <v>Свердло 12.2</v>
      </c>
      <c r="C455" s="59" t="s">
        <v>6</v>
      </c>
      <c r="D455" s="59">
        <v>7</v>
      </c>
      <c r="E455" s="91">
        <v>210</v>
      </c>
    </row>
    <row r="456" spans="1:5">
      <c r="A456" s="21">
        <f t="shared" si="16"/>
        <v>53</v>
      </c>
      <c r="B456" s="85" t="str">
        <f ca="1">IFERROR(__xludf.DUMMYFUNCTION("GOOGLETRANSLATE(B1189:B1204,""RU"",""UK"")"),"Свердло 12,2 х270(170) удл.")</f>
        <v>Свердло 12,2 х270(170) удл.</v>
      </c>
      <c r="C456" s="59" t="s">
        <v>6</v>
      </c>
      <c r="D456" s="59">
        <v>1</v>
      </c>
      <c r="E456" s="91">
        <v>240</v>
      </c>
    </row>
    <row r="457" spans="1:5">
      <c r="A457" s="21">
        <f t="shared" si="16"/>
        <v>54</v>
      </c>
      <c r="B457" s="85" t="str">
        <f ca="1">IFERROR(__xludf.DUMMYFUNCTION("GOOGLETRANSLATE(B1190:B1205,""RU"",""UK"")"),"Свердло 12,5")</f>
        <v>Свердло 12,5</v>
      </c>
      <c r="C457" s="59" t="s">
        <v>6</v>
      </c>
      <c r="D457" s="59">
        <v>120</v>
      </c>
      <c r="E457" s="91">
        <v>240</v>
      </c>
    </row>
    <row r="458" spans="1:5">
      <c r="A458" s="21">
        <f t="shared" si="16"/>
        <v>55</v>
      </c>
      <c r="B458" s="85" t="str">
        <f ca="1">IFERROR(__xludf.DUMMYFUNCTION("GOOGLETRANSLATE(B1189:B1204,""RU"",""UK"")"),"Свердло 12,5 х260(160) удл.")</f>
        <v>Свердло 12,5 х260(160) удл.</v>
      </c>
      <c r="C458" s="59" t="s">
        <v>6</v>
      </c>
      <c r="D458" s="59">
        <v>12</v>
      </c>
      <c r="E458" s="91">
        <v>240</v>
      </c>
    </row>
    <row r="459" spans="1:5">
      <c r="A459" s="21">
        <f t="shared" si="16"/>
        <v>56</v>
      </c>
      <c r="B459" s="85" t="str">
        <f ca="1">IFERROR(__xludf.DUMMYFUNCTION("GOOGLETRANSLATE(B1189:B1204,""RU"",""UK"")"),"Свердло 12,5 х280(180) удл.")</f>
        <v>Свердло 12,5 х280(180) удл.</v>
      </c>
      <c r="C459" s="59" t="s">
        <v>6</v>
      </c>
      <c r="D459" s="59">
        <v>1</v>
      </c>
      <c r="E459" s="91">
        <v>240</v>
      </c>
    </row>
    <row r="460" spans="1:5">
      <c r="A460" s="21">
        <f t="shared" si="16"/>
        <v>57</v>
      </c>
      <c r="B460" s="85" t="str">
        <f ca="1">IFERROR(__xludf.DUMMYFUNCTION("GOOGLETRANSLATE(B1191:B1206,""RU"",""UK"")"),"Свердло 12.7х260")</f>
        <v>Свердло 12.7х260</v>
      </c>
      <c r="C460" s="59" t="s">
        <v>6</v>
      </c>
      <c r="D460" s="59">
        <v>2</v>
      </c>
      <c r="E460" s="91">
        <v>240</v>
      </c>
    </row>
    <row r="461" spans="1:5">
      <c r="A461" s="21">
        <f t="shared" si="16"/>
        <v>58</v>
      </c>
      <c r="B461" s="85" t="str">
        <f ca="1">IFERROR(__xludf.DUMMYFUNCTION("GOOGLETRANSLATE(B1190:B1205,""RU"",""UK"")"),"Свердло 12,8")</f>
        <v>Свердло 12,8</v>
      </c>
      <c r="C461" s="59" t="s">
        <v>6</v>
      </c>
      <c r="D461" s="59">
        <v>15</v>
      </c>
      <c r="E461" s="91">
        <v>225</v>
      </c>
    </row>
    <row r="462" spans="1:5">
      <c r="A462" s="21">
        <f t="shared" si="16"/>
        <v>59</v>
      </c>
      <c r="B462" s="85" t="str">
        <f ca="1">IFERROR(__xludf.DUMMYFUNCTION("GOOGLETRANSLATE(B1192:B1207,""RU"",""UK"")"),"Свердло 13,0")</f>
        <v>Свердло 13,0</v>
      </c>
      <c r="C462" s="236" t="s">
        <v>6</v>
      </c>
      <c r="D462" s="161">
        <v>34</v>
      </c>
      <c r="E462" s="91" t="s">
        <v>1704</v>
      </c>
    </row>
    <row r="463" spans="1:5">
      <c r="A463" s="21">
        <f>A462+1</f>
        <v>60</v>
      </c>
      <c r="B463" s="85" t="str">
        <f ca="1">IFERROR(__xludf.DUMMYFUNCTION("GOOGLETRANSLATE(B1193:B1208,""RU"",""UK"")"),"Свердло 13,0х230(130)удл.")</f>
        <v>Свердло 13,0х230(130)удл.</v>
      </c>
      <c r="C463" s="59" t="s">
        <v>6</v>
      </c>
      <c r="D463" s="59">
        <v>12</v>
      </c>
      <c r="E463" s="91" t="s">
        <v>20</v>
      </c>
    </row>
    <row r="464" spans="1:5">
      <c r="A464" s="21">
        <f t="shared" si="16"/>
        <v>61</v>
      </c>
      <c r="B464" s="85" t="str">
        <f ca="1">IFERROR(__xludf.DUMMYFUNCTION("GOOGLETRANSLATE(B1193:B1208,""RU"",""UK"")"),"Свердло 13,0х280(180)удл.")</f>
        <v>Свердло 13,0х280(180)удл.</v>
      </c>
      <c r="C464" s="59" t="s">
        <v>6</v>
      </c>
      <c r="D464" s="59">
        <v>48</v>
      </c>
      <c r="E464" s="91" t="s">
        <v>20</v>
      </c>
    </row>
    <row r="465" spans="1:5">
      <c r="A465" s="21">
        <f t="shared" si="16"/>
        <v>62</v>
      </c>
      <c r="B465" s="85" t="str">
        <f ca="1">IFERROR(__xludf.DUMMYFUNCTION("GOOGLETRANSLATE(B1193:B1208,""RU"",""UK"")"),"Свердло 13,0х300удл.")</f>
        <v>Свердло 13,0х300удл.</v>
      </c>
      <c r="C465" s="59" t="s">
        <v>6</v>
      </c>
      <c r="D465" s="59">
        <v>2</v>
      </c>
      <c r="E465" s="91" t="s">
        <v>20</v>
      </c>
    </row>
    <row r="466" spans="1:5">
      <c r="A466" s="21">
        <f t="shared" si="16"/>
        <v>63</v>
      </c>
      <c r="B466" s="85" t="str">
        <f ca="1">IFERROR(__xludf.DUMMYFUNCTION("GOOGLETRANSLATE(B1195:B1210,""RU"",""UK"")"),"Свердло 13,2")</f>
        <v>Свердло 13,2</v>
      </c>
      <c r="C466" s="59" t="s">
        <v>6</v>
      </c>
      <c r="D466" s="59">
        <v>128</v>
      </c>
      <c r="E466" s="91" t="s">
        <v>1711</v>
      </c>
    </row>
    <row r="467" spans="1:5">
      <c r="A467" s="21">
        <f t="shared" si="16"/>
        <v>64</v>
      </c>
      <c r="B467" s="85" t="str">
        <f ca="1">IFERROR(__xludf.DUMMYFUNCTION("GOOGLETRANSLATE(B1194:B1209,""RU"",""UK"")"),"Свердло 13,2 х280удл")</f>
        <v>Свердло 13,2 х280удл</v>
      </c>
      <c r="C467" s="59" t="s">
        <v>6</v>
      </c>
      <c r="D467" s="59">
        <v>18</v>
      </c>
      <c r="E467" s="91" t="s">
        <v>20</v>
      </c>
    </row>
    <row r="468" spans="1:5">
      <c r="A468" s="21">
        <f t="shared" si="16"/>
        <v>65</v>
      </c>
      <c r="B468" s="85" t="str">
        <f ca="1">IFERROR(__xludf.DUMMYFUNCTION("GOOGLETRANSLATE(B1195:B1210,""RU"",""UK"")"),"Свердло 13,5")</f>
        <v>Свердло 13,5</v>
      </c>
      <c r="C468" s="59" t="s">
        <v>6</v>
      </c>
      <c r="D468" s="59">
        <v>65</v>
      </c>
      <c r="E468" s="91" t="s">
        <v>1711</v>
      </c>
    </row>
    <row r="469" spans="1:5">
      <c r="A469" s="21">
        <f t="shared" si="16"/>
        <v>66</v>
      </c>
      <c r="B469" s="85" t="str">
        <f ca="1">IFERROR(__xludf.DUMMYFUNCTION("GOOGLETRANSLATE(B1195:B1210,""RU"",""UK"")"),"Свердло 13.8")</f>
        <v>Свердло 13.8</v>
      </c>
      <c r="C469" s="59" t="s">
        <v>6</v>
      </c>
      <c r="D469" s="59">
        <v>58</v>
      </c>
      <c r="E469" s="91" t="s">
        <v>1711</v>
      </c>
    </row>
    <row r="470" spans="1:5">
      <c r="A470" s="21">
        <f t="shared" si="16"/>
        <v>67</v>
      </c>
      <c r="B470" s="85" t="str">
        <f ca="1">IFERROR(__xludf.DUMMYFUNCTION("GOOGLETRANSLATE(B1194:B1209,""RU"",""UK"")"),"Свердло 13,8удл")</f>
        <v>Свердло 13,8удл</v>
      </c>
      <c r="C470" s="59" t="s">
        <v>6</v>
      </c>
      <c r="D470" s="59">
        <v>10</v>
      </c>
      <c r="E470" s="91" t="s">
        <v>20</v>
      </c>
    </row>
    <row r="471" spans="1:5">
      <c r="A471" s="21">
        <f t="shared" si="16"/>
        <v>68</v>
      </c>
      <c r="B471" s="85" t="str">
        <f ca="1">IFERROR(__xludf.DUMMYFUNCTION("GOOGLETRANSLATE(B1196:B1211,""RU"",""UK"")"),"Свердло 14,0 ")</f>
        <v xml:space="preserve">Свердло 14,0 </v>
      </c>
      <c r="C471" s="37" t="s">
        <v>6</v>
      </c>
      <c r="D471" s="37">
        <v>0</v>
      </c>
      <c r="E471" s="92">
        <v>270</v>
      </c>
    </row>
    <row r="472" spans="1:5">
      <c r="A472" s="21">
        <f t="shared" si="16"/>
        <v>69</v>
      </c>
      <c r="B472" s="85" t="str">
        <f ca="1">IFERROR(__xludf.DUMMYFUNCTION("GOOGLETRANSLATE(B1196:B1211,""RU"",""UK"")"),"Свердло 14,0 вживане")</f>
        <v>Свердло 14,0 вживане</v>
      </c>
      <c r="C472" s="37" t="s">
        <v>6</v>
      </c>
      <c r="D472" s="37">
        <v>6</v>
      </c>
      <c r="E472" s="92">
        <v>150</v>
      </c>
    </row>
    <row r="473" spans="1:5">
      <c r="A473" s="21">
        <f t="shared" si="16"/>
        <v>70</v>
      </c>
      <c r="B473" s="85" t="str">
        <f ca="1">IFERROR(__xludf.DUMMYFUNCTION("GOOGLETRANSLATE(B1197:B1212,""RU"",""UK"")"),"Свердло 14,0х280удл")</f>
        <v>Свердло 14,0х280удл</v>
      </c>
      <c r="C473" s="37" t="s">
        <v>6</v>
      </c>
      <c r="D473" s="37">
        <v>44</v>
      </c>
      <c r="E473" s="92" t="s">
        <v>24</v>
      </c>
    </row>
    <row r="474" spans="1:5">
      <c r="A474" s="21">
        <f t="shared" si="16"/>
        <v>71</v>
      </c>
      <c r="B474" s="85" t="str">
        <f ca="1">IFERROR(__xludf.DUMMYFUNCTION("GOOGLETRANSLATE(B1198:B1213,""RU"",""UK"")"),"Свердло 14,0 х300(200)удл.")</f>
        <v>Свердло 14,0 х300(200)удл.</v>
      </c>
      <c r="C474" s="59" t="s">
        <v>6</v>
      </c>
      <c r="D474" s="59">
        <v>70</v>
      </c>
      <c r="E474" s="91" t="s">
        <v>162</v>
      </c>
    </row>
    <row r="475" spans="1:5">
      <c r="A475" s="21">
        <f t="shared" si="16"/>
        <v>72</v>
      </c>
      <c r="B475" s="85" t="str">
        <f ca="1">IFERROR(__xludf.DUMMYFUNCTION("GOOGLETRANSLATE(B1199:B1214,""RU"",""UK"")"),"Свердло 14,0 х320удл.")</f>
        <v>Свердло 14,0 х320удл.</v>
      </c>
      <c r="C475" s="59" t="s">
        <v>6</v>
      </c>
      <c r="D475" s="59">
        <v>17</v>
      </c>
      <c r="E475" s="91" t="s">
        <v>1717</v>
      </c>
    </row>
    <row r="476" spans="1:5">
      <c r="A476" s="21">
        <f t="shared" si="16"/>
        <v>73</v>
      </c>
      <c r="B476" s="85" t="str">
        <f ca="1">IFERROR(__xludf.DUMMYFUNCTION("GOOGLETRANSLATE(B1200:B1215,""RU"",""UK"")"),"Свердло 14,25")</f>
        <v>Свердло 14,25</v>
      </c>
      <c r="C476" s="59" t="s">
        <v>6</v>
      </c>
      <c r="D476" s="59">
        <v>60</v>
      </c>
      <c r="E476" s="91">
        <v>265</v>
      </c>
    </row>
    <row r="477" spans="1:5">
      <c r="A477" s="21">
        <f t="shared" si="16"/>
        <v>74</v>
      </c>
      <c r="B477" s="85" t="str">
        <f ca="1">IFERROR(__xludf.DUMMYFUNCTION("GOOGLETRANSLATE(B1201:B1216,""RU"",""UK"")"),"Свердло 14,25 х300удл.")</f>
        <v>Свердло 14,25 х300удл.</v>
      </c>
      <c r="C477" s="59" t="s">
        <v>6</v>
      </c>
      <c r="D477" s="59">
        <v>23</v>
      </c>
      <c r="E477" s="91" t="s">
        <v>24</v>
      </c>
    </row>
    <row r="478" spans="1:5">
      <c r="A478" s="21">
        <f t="shared" si="16"/>
        <v>75</v>
      </c>
      <c r="B478" s="85" t="str">
        <f ca="1">IFERROR(__xludf.DUMMYFUNCTION("GOOGLETRANSLATE(B1202:B1217,""RU"",""UK"")"),"Свердло 14,5")</f>
        <v>Свердло 14,5</v>
      </c>
      <c r="C478" s="59" t="s">
        <v>6</v>
      </c>
      <c r="D478" s="59">
        <v>16</v>
      </c>
      <c r="E478" s="91">
        <v>265</v>
      </c>
    </row>
    <row r="479" spans="1:5">
      <c r="A479" s="21">
        <f t="shared" si="16"/>
        <v>76</v>
      </c>
      <c r="B479" s="85" t="str">
        <f ca="1">IFERROR(__xludf.DUMMYFUNCTION("GOOGLETRANSLATE(B1203:B1218,""RU"",""UK"")"),"Свердло 14,5 х250удл. ")</f>
        <v xml:space="preserve">Свердло 14,5 х250удл. </v>
      </c>
      <c r="C479" s="59" t="s">
        <v>6</v>
      </c>
      <c r="D479" s="59">
        <v>7</v>
      </c>
      <c r="E479" s="91" t="s">
        <v>24</v>
      </c>
    </row>
    <row r="480" spans="1:5">
      <c r="A480" s="21">
        <f t="shared" si="16"/>
        <v>77</v>
      </c>
      <c r="B480" s="85" t="str">
        <f ca="1">IFERROR(__xludf.DUMMYFUNCTION("GOOGLETRANSLATE(B1203:B1218,""RU"",""UK"")"),"Свердло 14,5 х290удл.")</f>
        <v>Свердло 14,5 х290удл.</v>
      </c>
      <c r="C480" s="59" t="s">
        <v>6</v>
      </c>
      <c r="D480" s="59">
        <v>56</v>
      </c>
      <c r="E480" s="91" t="s">
        <v>24</v>
      </c>
    </row>
    <row r="481" spans="1:5">
      <c r="A481" s="21">
        <f t="shared" si="16"/>
        <v>78</v>
      </c>
      <c r="B481" s="85" t="str">
        <f ca="1">IFERROR(__xludf.DUMMYFUNCTION("GOOGLETRANSLATE(B1204:B1219,""RU"",""UK"")"),"Свердло 14,5 х415удл.")</f>
        <v>Свердло 14,5 х415удл.</v>
      </c>
      <c r="C481" s="59" t="s">
        <v>6</v>
      </c>
      <c r="D481" s="59">
        <v>2</v>
      </c>
      <c r="E481" s="91" t="s">
        <v>162</v>
      </c>
    </row>
    <row r="482" spans="1:5">
      <c r="A482" s="21">
        <f t="shared" si="16"/>
        <v>79</v>
      </c>
      <c r="B482" s="85" t="str">
        <f ca="1">IFERROR(__xludf.DUMMYFUNCTION("GOOGLETRANSLATE(B1205:B1220,""RU"",""UK"")"),"Свердло 14,75х300")</f>
        <v>Свердло 14,75х300</v>
      </c>
      <c r="C482" s="59" t="s">
        <v>6</v>
      </c>
      <c r="D482" s="59">
        <v>37</v>
      </c>
      <c r="E482" s="91">
        <v>330</v>
      </c>
    </row>
    <row r="483" spans="1:5">
      <c r="A483" s="21">
        <f t="shared" si="16"/>
        <v>80</v>
      </c>
      <c r="B483" s="85" t="str">
        <f ca="1">IFERROR(__xludf.DUMMYFUNCTION("GOOGLETRANSLATE(B1206:B1221,""RU"",""UK"")"),"Свердло 14,75 х400удл.")</f>
        <v>Свердло 14,75 х400удл.</v>
      </c>
      <c r="C483" s="59" t="s">
        <v>6</v>
      </c>
      <c r="D483" s="59">
        <v>50</v>
      </c>
      <c r="E483" s="91" t="s">
        <v>162</v>
      </c>
    </row>
    <row r="484" spans="1:5">
      <c r="A484" s="21">
        <f t="shared" si="16"/>
        <v>81</v>
      </c>
      <c r="B484" s="85" t="str">
        <f ca="1">IFERROR(__xludf.DUMMYFUNCTION("GOOGLETRANSLATE(B1207:B1222,""RU"",""UK"")"),"Свердло 15,0мм")</f>
        <v>Свердло 15,0мм</v>
      </c>
      <c r="C484" s="59" t="s">
        <v>6</v>
      </c>
      <c r="D484" s="59">
        <v>15</v>
      </c>
      <c r="E484" s="91">
        <v>320</v>
      </c>
    </row>
    <row r="485" spans="1:5">
      <c r="A485" s="21">
        <f t="shared" si="16"/>
        <v>82</v>
      </c>
      <c r="B485" s="85" t="str">
        <f ca="1">IFERROR(__xludf.DUMMYFUNCTION("GOOGLETRANSLATE(B1208:B1223,""RU"",""UK"")"),"Свердло 15,0х250-280мм довг.")</f>
        <v>Свердло 15,0х250-280мм довг.</v>
      </c>
      <c r="C485" s="59" t="s">
        <v>6</v>
      </c>
      <c r="D485" s="160">
        <v>24</v>
      </c>
      <c r="E485" s="91" t="s">
        <v>162</v>
      </c>
    </row>
    <row r="486" spans="1:5">
      <c r="A486" s="21">
        <f t="shared" si="16"/>
        <v>83</v>
      </c>
      <c r="B486" s="85" t="str">
        <f ca="1">IFERROR(__xludf.DUMMYFUNCTION("GOOGLETRANSLATE(B1209:B1224,""RU"",""UK"")"),"Свердло 15,0х300удл.")</f>
        <v>Свердло 15,0х300удл.</v>
      </c>
      <c r="C486" s="59" t="s">
        <v>6</v>
      </c>
      <c r="D486" s="59">
        <v>249</v>
      </c>
      <c r="E486" s="91" t="s">
        <v>106</v>
      </c>
    </row>
    <row r="487" spans="1:5">
      <c r="A487" s="21">
        <f t="shared" si="16"/>
        <v>84</v>
      </c>
      <c r="B487" s="85" t="str">
        <f ca="1">IFERROR(__xludf.DUMMYFUNCTION("GOOGLETRANSLATE(B1209:B1224,""RU"",""UK"")"),"Свердло 15,0х400удл.")</f>
        <v>Свердло 15,0х400удл.</v>
      </c>
      <c r="C487" s="59" t="s">
        <v>6</v>
      </c>
      <c r="D487" s="59">
        <v>4</v>
      </c>
      <c r="E487" s="91" t="s">
        <v>106</v>
      </c>
    </row>
    <row r="488" spans="1:5">
      <c r="A488" s="21">
        <f t="shared" si="16"/>
        <v>85</v>
      </c>
      <c r="B488" s="85" t="str">
        <f ca="1">IFERROR(__xludf.DUMMYFUNCTION("GOOGLETRANSLATE(B1211:B1226,""RU"",""UK"")"),"Свердло 15,2")</f>
        <v>Свердло 15,2</v>
      </c>
      <c r="C488" s="59" t="s">
        <v>6</v>
      </c>
      <c r="D488" s="59">
        <v>12</v>
      </c>
      <c r="E488" s="91">
        <v>320</v>
      </c>
    </row>
    <row r="489" spans="1:5">
      <c r="A489" s="21">
        <f t="shared" si="16"/>
        <v>86</v>
      </c>
      <c r="B489" s="85" t="str">
        <f ca="1">IFERROR(__xludf.DUMMYFUNCTION("GOOGLETRANSLATE(B1211:B1226,""RU"",""UK"")"),"Свердло 15,25")</f>
        <v>Свердло 15,25</v>
      </c>
      <c r="C489" s="59" t="s">
        <v>6</v>
      </c>
      <c r="D489" s="59">
        <v>15</v>
      </c>
      <c r="E489" s="91">
        <v>320</v>
      </c>
    </row>
    <row r="490" spans="1:5">
      <c r="A490" s="21">
        <f t="shared" si="16"/>
        <v>87</v>
      </c>
      <c r="B490" s="85" t="str">
        <f ca="1">IFERROR(__xludf.DUMMYFUNCTION("GOOGLETRANSLATE(B1210:B1225,""RU"",""UK"")"),"Свердло 15,25 х300 удл.")</f>
        <v>Свердло 15,25 х300 удл.</v>
      </c>
      <c r="C490" s="59" t="s">
        <v>6</v>
      </c>
      <c r="D490" s="59">
        <v>2</v>
      </c>
      <c r="E490" s="91" t="s">
        <v>106</v>
      </c>
    </row>
    <row r="491" spans="1:5">
      <c r="A491" s="21">
        <f t="shared" si="16"/>
        <v>88</v>
      </c>
      <c r="B491" s="200" t="str">
        <f ca="1">IFERROR(__xludf.DUMMYFUNCTION("GOOGLETRANSLATE(B1211:B1226,""RU"",""UK"")"),"Свердло 15.5")</f>
        <v>Свердло 15.5</v>
      </c>
      <c r="C491" s="59" t="s">
        <v>6</v>
      </c>
      <c r="D491" s="59">
        <v>0</v>
      </c>
      <c r="E491" s="91">
        <v>320</v>
      </c>
    </row>
    <row r="492" spans="1:5">
      <c r="A492" s="21">
        <f t="shared" si="16"/>
        <v>89</v>
      </c>
      <c r="B492" s="85" t="str">
        <f ca="1">IFERROR(__xludf.DUMMYFUNCTION("GOOGLETRANSLATE(B1210:B1225,""RU"",""UK"")"),"Свердло 15,5х300 удл.")</f>
        <v>Свердло 15,5х300 удл.</v>
      </c>
      <c r="C492" s="59" t="s">
        <v>6</v>
      </c>
      <c r="D492" s="59">
        <v>71</v>
      </c>
      <c r="E492" s="91" t="s">
        <v>106</v>
      </c>
    </row>
    <row r="493" spans="1:5">
      <c r="A493" s="21">
        <f t="shared" si="16"/>
        <v>90</v>
      </c>
      <c r="B493" s="85" t="str">
        <f ca="1">IFERROR(__xludf.DUMMYFUNCTION("GOOGLETRANSLATE(B1212:B1227,""RU"",""UK"")"),"Свердло 15,75 х300")</f>
        <v>Свердло 15,75 х300</v>
      </c>
      <c r="C493" s="59" t="s">
        <v>6</v>
      </c>
      <c r="D493" s="59">
        <v>10</v>
      </c>
      <c r="E493" s="91" t="s">
        <v>106</v>
      </c>
    </row>
    <row r="494" spans="1:5">
      <c r="A494" s="21">
        <f t="shared" si="16"/>
        <v>91</v>
      </c>
      <c r="B494" s="169" t="str">
        <f ca="1">IFERROR(__xludf.DUMMYFUNCTION("GOOGLETRANSLATE(B1213:B1228,""RU"",""UK"")"),"Свердло 16,0х250(150)")</f>
        <v>Свердло 16,0х250(150)</v>
      </c>
      <c r="C494" s="59" t="s">
        <v>6</v>
      </c>
      <c r="D494" s="59">
        <v>1</v>
      </c>
      <c r="E494" s="91">
        <v>320</v>
      </c>
    </row>
    <row r="495" spans="1:5">
      <c r="A495" s="21">
        <f t="shared" si="16"/>
        <v>92</v>
      </c>
      <c r="B495" s="85" t="str">
        <f ca="1">IFERROR(__xludf.DUMMYFUNCTION("GOOGLETRANSLATE(B1214:B1229,""RU"",""UK"")"),"Свердло 16,0 х300дл")</f>
        <v>Свердло 16,0 х300дл</v>
      </c>
      <c r="C495" s="59" t="s">
        <v>6</v>
      </c>
      <c r="D495" s="59">
        <v>91</v>
      </c>
      <c r="E495" s="91" t="s">
        <v>16</v>
      </c>
    </row>
    <row r="496" spans="1:5">
      <c r="A496" s="21">
        <f t="shared" si="16"/>
        <v>93</v>
      </c>
      <c r="B496" s="85" t="str">
        <f ca="1">IFERROR(__xludf.DUMMYFUNCTION("GOOGLETRANSLATE(B1214:B1229,""RU"",""UK"")"),"Свердло 16,0х315(200)довг.")</f>
        <v>Свердло 16,0х315(200)довг.</v>
      </c>
      <c r="C496" s="59" t="s">
        <v>6</v>
      </c>
      <c r="D496" s="59">
        <v>1</v>
      </c>
      <c r="E496" s="91" t="s">
        <v>16</v>
      </c>
    </row>
    <row r="497" spans="1:5">
      <c r="A497" s="21">
        <f t="shared" si="16"/>
        <v>94</v>
      </c>
      <c r="B497" s="85" t="str">
        <f ca="1">IFERROR(__xludf.DUMMYFUNCTION("GOOGLETRANSLATE(B1215:B1230,""RU"",""UK"")"),"Свердло 16,0 х600удл.")</f>
        <v>Свердло 16,0 х600удл.</v>
      </c>
      <c r="C497" s="59" t="s">
        <v>6</v>
      </c>
      <c r="D497" s="59">
        <v>4</v>
      </c>
      <c r="E497" s="91" t="s">
        <v>272</v>
      </c>
    </row>
    <row r="498" spans="1:5">
      <c r="A498" s="21">
        <f t="shared" si="16"/>
        <v>95</v>
      </c>
      <c r="B498" s="85" t="str">
        <f ca="1">IFERROR(__xludf.DUMMYFUNCTION("GOOGLETRANSLATE(B1216:B1231,""RU"",""UK"")"),"Свердло 16,25")</f>
        <v>Свердло 16,25</v>
      </c>
      <c r="C498" s="59" t="s">
        <v>6</v>
      </c>
      <c r="D498" s="59">
        <v>19</v>
      </c>
      <c r="E498" s="91">
        <v>320</v>
      </c>
    </row>
    <row r="499" spans="1:5">
      <c r="A499" s="21">
        <f t="shared" si="16"/>
        <v>96</v>
      </c>
      <c r="B499" s="85" t="str">
        <f ca="1">IFERROR(__xludf.DUMMYFUNCTION("GOOGLETRANSLATE(B1216:B1231,""RU"",""UK"")"),"Свердло 16,5")</f>
        <v>Свердло 16,5</v>
      </c>
      <c r="C499" s="59" t="s">
        <v>6</v>
      </c>
      <c r="D499" s="59">
        <v>17</v>
      </c>
      <c r="E499" s="91">
        <v>320</v>
      </c>
    </row>
    <row r="500" spans="1:5">
      <c r="A500" s="21">
        <f t="shared" si="16"/>
        <v>97</v>
      </c>
      <c r="B500" s="85" t="str">
        <f ca="1">IFERROR(__xludf.DUMMYFUNCTION("GOOGLETRANSLATE(B1217:B1232,""RU"",""UK"")"),"Свердло 16,5 х300удл.")</f>
        <v>Свердло 16,5 х300удл.</v>
      </c>
      <c r="C500" s="59" t="s">
        <v>6</v>
      </c>
      <c r="D500" s="59">
        <v>79</v>
      </c>
      <c r="E500" s="91" t="s">
        <v>16</v>
      </c>
    </row>
    <row r="501" spans="1:5">
      <c r="A501" s="21">
        <f t="shared" si="16"/>
        <v>98</v>
      </c>
      <c r="B501" s="85" t="str">
        <f ca="1">IFERROR(__xludf.DUMMYFUNCTION("GOOGLETRANSLATE(B1218:B1233,""RU"",""UK"")"),"Свердло 16,75")</f>
        <v>Свердло 16,75</v>
      </c>
      <c r="C501" s="59" t="s">
        <v>6</v>
      </c>
      <c r="D501" s="59">
        <v>50</v>
      </c>
      <c r="E501" s="91">
        <v>330</v>
      </c>
    </row>
    <row r="502" spans="1:5">
      <c r="A502" s="21">
        <f t="shared" si="16"/>
        <v>99</v>
      </c>
      <c r="B502" s="85" t="str">
        <f ca="1">IFERROR(__xludf.DUMMYFUNCTION("GOOGLETRANSLATE(B1217:B1232,""RU"",""UK"")"),"Свердло 16.75х300дов.")</f>
        <v>Свердло 16.75х300дов.</v>
      </c>
      <c r="C502" s="59" t="s">
        <v>6</v>
      </c>
      <c r="D502" s="59">
        <v>15</v>
      </c>
      <c r="E502" s="91" t="s">
        <v>16</v>
      </c>
    </row>
    <row r="503" spans="1:5">
      <c r="A503" s="21">
        <f t="shared" si="16"/>
        <v>100</v>
      </c>
      <c r="B503" s="85" t="str">
        <f ca="1">IFERROR(__xludf.DUMMYFUNCTION("GOOGLETRANSLATE(B1219:B1234,""RU"",""UK"")"),"Свердло 17,0")</f>
        <v>Свердло 17,0</v>
      </c>
      <c r="C503" s="59" t="s">
        <v>6</v>
      </c>
      <c r="D503" s="59">
        <v>393</v>
      </c>
      <c r="E503" s="91" t="s">
        <v>162</v>
      </c>
    </row>
    <row r="504" spans="1:5">
      <c r="A504" s="21">
        <f t="shared" si="16"/>
        <v>101</v>
      </c>
      <c r="B504" s="85" t="str">
        <f ca="1">IFERROR(__xludf.DUMMYFUNCTION("GOOGLETRANSLATE(B1220:B1235,""RU"",""UK"")"),"Свердло 17,0 х250-320дл.")</f>
        <v>Свердло 17,0 х250-320дл.</v>
      </c>
      <c r="C504" s="59" t="s">
        <v>6</v>
      </c>
      <c r="D504" s="59">
        <v>72</v>
      </c>
      <c r="E504" s="91">
        <v>420</v>
      </c>
    </row>
    <row r="505" spans="1:5">
      <c r="A505" s="21">
        <f t="shared" si="16"/>
        <v>102</v>
      </c>
      <c r="B505" s="85" t="str">
        <f ca="1">IFERROR(__xludf.DUMMYFUNCTION("GOOGLETRANSLATE(B1219:B1234,""RU"",""UK"")"),"Свердло 17.25")</f>
        <v>Свердло 17.25</v>
      </c>
      <c r="C505" s="59" t="s">
        <v>6</v>
      </c>
      <c r="D505" s="59">
        <v>46</v>
      </c>
      <c r="E505" s="91" t="s">
        <v>162</v>
      </c>
    </row>
    <row r="506" spans="1:5">
      <c r="A506" s="21">
        <f t="shared" si="16"/>
        <v>103</v>
      </c>
      <c r="B506" s="85" t="str">
        <f ca="1">IFERROR(__xludf.DUMMYFUNCTION("GOOGLETRANSLATE(B1221:B1236,""RU"",""UK"")"),"Свердло 17,4")</f>
        <v>Свердло 17,4</v>
      </c>
      <c r="C506" s="59" t="s">
        <v>6</v>
      </c>
      <c r="D506" s="59">
        <v>19</v>
      </c>
      <c r="E506" s="91" t="s">
        <v>162</v>
      </c>
    </row>
    <row r="507" spans="1:5">
      <c r="A507" s="21">
        <f t="shared" si="16"/>
        <v>104</v>
      </c>
      <c r="B507" s="85" t="str">
        <f ca="1">IFERROR(__xludf.DUMMYFUNCTION("GOOGLETRANSLATE(B1222:B1237,""RU"",""UK"")"),"Свердло 17,4 х330 (220) дл.")</f>
        <v>Свердло 17,4 х330 (220) дл.</v>
      </c>
      <c r="C507" s="59" t="s">
        <v>6</v>
      </c>
      <c r="D507" s="59">
        <v>11</v>
      </c>
      <c r="E507" s="91" t="s">
        <v>272</v>
      </c>
    </row>
    <row r="508" spans="1:5">
      <c r="A508" s="21">
        <f t="shared" si="16"/>
        <v>105</v>
      </c>
      <c r="B508" s="85" t="str">
        <f ca="1">IFERROR(__xludf.DUMMYFUNCTION("GOOGLETRANSLATE(B1221:B1236,""RU"",""UK"")"),"Свердло 17,5")</f>
        <v>Свердло 17,5</v>
      </c>
      <c r="C508" s="59" t="s">
        <v>6</v>
      </c>
      <c r="D508" s="59">
        <v>28</v>
      </c>
      <c r="E508" s="91" t="s">
        <v>162</v>
      </c>
    </row>
    <row r="509" spans="1:5">
      <c r="A509" s="21">
        <f t="shared" si="16"/>
        <v>106</v>
      </c>
      <c r="B509" s="85" t="str">
        <f ca="1">IFERROR(__xludf.DUMMYFUNCTION("GOOGLETRANSLATE(B1223:B1238,""RU"",""UK"")"),"Свердло 17.5х300дов.")</f>
        <v>Свердло 17.5х300дов.</v>
      </c>
      <c r="C509" s="59" t="s">
        <v>6</v>
      </c>
      <c r="D509" s="59">
        <v>1</v>
      </c>
      <c r="E509" s="91">
        <v>450</v>
      </c>
    </row>
    <row r="510" spans="1:5">
      <c r="A510" s="21">
        <f t="shared" si="16"/>
        <v>107</v>
      </c>
      <c r="B510" s="85" t="str">
        <f ca="1">IFERROR(__xludf.DUMMYFUNCTION("GOOGLETRANSLATE(B1223:B1238,""RU"",""UK"")"),"Свердло 17.5х320дов.")</f>
        <v>Свердло 17.5х320дов.</v>
      </c>
      <c r="C510" s="59" t="s">
        <v>6</v>
      </c>
      <c r="D510" s="59">
        <v>30</v>
      </c>
      <c r="E510" s="91">
        <v>480</v>
      </c>
    </row>
    <row r="511" spans="1:5">
      <c r="A511" s="21">
        <f t="shared" si="16"/>
        <v>108</v>
      </c>
      <c r="B511" s="85" t="str">
        <f ca="1">IFERROR(__xludf.DUMMYFUNCTION("GOOGLETRANSLATE(B1223:B1238,""RU"",""UK"")"),"Свердло 17,6х350дов.")</f>
        <v>Свердло 17,6х350дов.</v>
      </c>
      <c r="C511" s="59" t="s">
        <v>6</v>
      </c>
      <c r="D511" s="59">
        <v>5</v>
      </c>
      <c r="E511" s="91" t="s">
        <v>272</v>
      </c>
    </row>
    <row r="512" spans="1:5">
      <c r="A512" s="21">
        <f t="shared" si="16"/>
        <v>109</v>
      </c>
      <c r="B512" s="85" t="str">
        <f ca="1">IFERROR(__xludf.DUMMYFUNCTION("GOOGLETRANSLATE(B1224:B1239,""RU"",""UK"")"),"Свердло 17,75 х300 (роб.180) дл.")</f>
        <v>Свердло 17,75 х300 (роб.180) дл.</v>
      </c>
      <c r="C512" s="59" t="s">
        <v>6</v>
      </c>
      <c r="D512" s="59">
        <v>1</v>
      </c>
      <c r="E512" s="91" t="s">
        <v>272</v>
      </c>
    </row>
    <row r="513" spans="1:5">
      <c r="A513" s="21">
        <f t="shared" si="16"/>
        <v>110</v>
      </c>
      <c r="B513" s="85" t="str">
        <f ca="1">IFERROR(__xludf.DUMMYFUNCTION("GOOGLETRANSLATE(B1224:B1239,""RU"",""UK"")"),"Свердло 17,75 х330 (200) дл.")</f>
        <v>Свердло 17,75 х330 (200) дл.</v>
      </c>
      <c r="C513" s="59" t="s">
        <v>6</v>
      </c>
      <c r="D513" s="59">
        <v>8</v>
      </c>
      <c r="E513" s="91" t="s">
        <v>272</v>
      </c>
    </row>
    <row r="514" spans="1:5">
      <c r="A514" s="21">
        <f t="shared" si="16"/>
        <v>111</v>
      </c>
      <c r="B514" s="85" t="str">
        <f ca="1">IFERROR(__xludf.DUMMYFUNCTION("GOOGLETRANSLATE(B1225:B1240,""RU"",""UK"")"),"Свердло 18.0")</f>
        <v>Свердло 18.0</v>
      </c>
      <c r="C514" s="59" t="s">
        <v>6</v>
      </c>
      <c r="D514" s="59">
        <v>2</v>
      </c>
      <c r="E514" s="91" t="s">
        <v>22</v>
      </c>
    </row>
    <row r="515" spans="1:5">
      <c r="A515" s="21">
        <f t="shared" si="16"/>
        <v>112</v>
      </c>
      <c r="B515" s="85" t="str">
        <f ca="1">IFERROR(__xludf.DUMMYFUNCTION("GOOGLETRANSLATE(B1227:B1242,""RU"",""UK"")"),"Свердло 18,0х250 (190)")</f>
        <v>Свердло 18,0х250 (190)</v>
      </c>
      <c r="C515" s="59" t="s">
        <v>6</v>
      </c>
      <c r="D515" s="59">
        <v>3</v>
      </c>
      <c r="E515" s="91">
        <v>480</v>
      </c>
    </row>
    <row r="516" spans="1:5">
      <c r="A516" s="21">
        <f t="shared" si="16"/>
        <v>113</v>
      </c>
      <c r="B516" s="85" t="str">
        <f ca="1">IFERROR(__xludf.DUMMYFUNCTION("GOOGLETRANSLATE(B1226:B1241,""RU"",""UK"")"),"Свердло 18.0х300 (180)")</f>
        <v>Свердло 18.0х300 (180)</v>
      </c>
      <c r="C516" s="59" t="s">
        <v>6</v>
      </c>
      <c r="D516" s="59">
        <v>7</v>
      </c>
      <c r="E516" s="91" t="s">
        <v>18</v>
      </c>
    </row>
    <row r="517" spans="1:5">
      <c r="A517" s="21">
        <f t="shared" si="16"/>
        <v>114</v>
      </c>
      <c r="B517" s="85" t="str">
        <f ca="1">IFERROR(__xludf.DUMMYFUNCTION("GOOGLETRANSLATE(B1227:B1242,""RU"",""UK"")"),"Свердло 18,0х320 (210)")</f>
        <v>Свердло 18,0х320 (210)</v>
      </c>
      <c r="C517" s="59" t="s">
        <v>6</v>
      </c>
      <c r="D517" s="59">
        <v>32</v>
      </c>
      <c r="E517" s="91" t="s">
        <v>413</v>
      </c>
    </row>
    <row r="518" spans="1:5">
      <c r="A518" s="21">
        <f t="shared" si="16"/>
        <v>115</v>
      </c>
      <c r="B518" s="85" t="str">
        <f ca="1">IFERROR(__xludf.DUMMYFUNCTION("GOOGLETRANSLATE(B1227:B1242,""RU"",""UK"")"),"Свердло 18,0х350 (200")</f>
        <v>Свердло 18,0х350 (200</v>
      </c>
      <c r="C518" s="59" t="s">
        <v>6</v>
      </c>
      <c r="D518" s="59">
        <v>3</v>
      </c>
      <c r="E518" s="91">
        <v>570</v>
      </c>
    </row>
    <row r="519" spans="1:5">
      <c r="A519" s="21">
        <f t="shared" si="16"/>
        <v>116</v>
      </c>
      <c r="B519" s="85" t="str">
        <f ca="1">IFERROR(__xludf.DUMMYFUNCTION("GOOGLETRANSLATE(B1228:B1243,""RU"",""UK"")"),"Свердло 18,25")</f>
        <v>Свердло 18,25</v>
      </c>
      <c r="C519" s="59" t="s">
        <v>6</v>
      </c>
      <c r="D519" s="59">
        <v>5</v>
      </c>
      <c r="E519" s="91" t="s">
        <v>22</v>
      </c>
    </row>
    <row r="520" spans="1:5">
      <c r="A520" s="21">
        <f t="shared" ref="A520:A628" si="17">A519+1</f>
        <v>117</v>
      </c>
      <c r="B520" s="85" t="str">
        <f ca="1">IFERROR(__xludf.DUMMYFUNCTION("GOOGLETRANSLATE(B1229:B1244,""RU"",""UK"")"),"Свердло 18,25 х310 (100)удл.")</f>
        <v>Свердло 18,25 х310 (100)удл.</v>
      </c>
      <c r="C520" s="59" t="s">
        <v>6</v>
      </c>
      <c r="D520" s="59">
        <v>5</v>
      </c>
      <c r="E520" s="91" t="s">
        <v>18</v>
      </c>
    </row>
    <row r="521" spans="1:5">
      <c r="A521" s="21">
        <f t="shared" si="17"/>
        <v>118</v>
      </c>
      <c r="B521" s="85" t="str">
        <f ca="1">IFERROR(__xludf.DUMMYFUNCTION("GOOGLETRANSLATE(B1228:B1243,""RU"",""UK"")"),"Свердло 18,5")</f>
        <v>Свердло 18,5</v>
      </c>
      <c r="C521" s="59" t="s">
        <v>6</v>
      </c>
      <c r="D521" s="59">
        <v>26</v>
      </c>
      <c r="E521" s="91" t="s">
        <v>22</v>
      </c>
    </row>
    <row r="522" spans="1:5">
      <c r="A522" s="21">
        <f t="shared" si="17"/>
        <v>119</v>
      </c>
      <c r="B522" s="85" t="str">
        <f ca="1">IFERROR(__xludf.DUMMYFUNCTION("GOOGLETRANSLATE(B1229:B1244,""RU"",""UK"")"),"Свердло 18,5 х330 удл.")</f>
        <v>Свердло 18,5 х330 удл.</v>
      </c>
      <c r="C522" s="59" t="s">
        <v>6</v>
      </c>
      <c r="D522" s="59">
        <v>3</v>
      </c>
      <c r="E522" s="91" t="s">
        <v>18</v>
      </c>
    </row>
    <row r="523" spans="1:5">
      <c r="A523" s="21">
        <f t="shared" si="17"/>
        <v>120</v>
      </c>
      <c r="B523" s="85" t="str">
        <f ca="1">IFERROR(__xludf.DUMMYFUNCTION("GOOGLETRANSLATE(B1230:B1245,""RU"",""UK"")"),"Свердло 18,5 х400удл.")</f>
        <v>Свердло 18,5 х400удл.</v>
      </c>
      <c r="C523" s="59" t="s">
        <v>6</v>
      </c>
      <c r="D523" s="59">
        <v>2</v>
      </c>
      <c r="E523" s="91" t="s">
        <v>413</v>
      </c>
    </row>
    <row r="524" spans="1:5">
      <c r="A524" s="21">
        <f t="shared" si="17"/>
        <v>121</v>
      </c>
      <c r="B524" s="85" t="str">
        <f ca="1">IFERROR(__xludf.DUMMYFUNCTION("GOOGLETRANSLATE(B1230:B1245,""RU"",""UK"")"),"Свердло 18,5 х450удл.")</f>
        <v>Свердло 18,5 х450удл.</v>
      </c>
      <c r="C524" s="59" t="s">
        <v>6</v>
      </c>
      <c r="D524" s="59">
        <v>56</v>
      </c>
      <c r="E524" s="91" t="s">
        <v>413</v>
      </c>
    </row>
    <row r="525" spans="1:5">
      <c r="A525" s="21">
        <f t="shared" si="17"/>
        <v>122</v>
      </c>
      <c r="B525" s="85" t="str">
        <f ca="1">IFERROR(__xludf.DUMMYFUNCTION("GOOGLETRANSLATE(B1231:B1246,""RU"",""UK"")"),"Свердло 18,75")</f>
        <v>Свердло 18,75</v>
      </c>
      <c r="C525" s="59" t="s">
        <v>6</v>
      </c>
      <c r="D525" s="59">
        <v>56</v>
      </c>
      <c r="E525" s="91" t="s">
        <v>22</v>
      </c>
    </row>
    <row r="526" spans="1:5">
      <c r="A526" s="21">
        <f t="shared" si="17"/>
        <v>123</v>
      </c>
      <c r="B526" s="85" t="str">
        <f ca="1">IFERROR(__xludf.DUMMYFUNCTION("GOOGLETRANSLATE(B1232:B1247,""RU"",""UK"")"),"Свердло 19,0")</f>
        <v>Свердло 19,0</v>
      </c>
      <c r="C526" s="59" t="s">
        <v>6</v>
      </c>
      <c r="D526" s="59">
        <v>54</v>
      </c>
      <c r="E526" s="91" t="s">
        <v>22</v>
      </c>
    </row>
    <row r="527" spans="1:5">
      <c r="A527" s="21">
        <f t="shared" si="17"/>
        <v>124</v>
      </c>
      <c r="B527" s="85" t="str">
        <f ca="1">IFERROR(__xludf.DUMMYFUNCTION("GOOGLETRANSLATE(B1233:B1248,""RU"",""UK"")"),"Свердло 19х300 удл.")</f>
        <v>Свердло 19х300 удл.</v>
      </c>
      <c r="C527" s="59" t="s">
        <v>6</v>
      </c>
      <c r="D527" s="59">
        <v>18</v>
      </c>
      <c r="E527" s="91" t="s">
        <v>1768</v>
      </c>
    </row>
    <row r="528" spans="1:5">
      <c r="A528" s="21">
        <f t="shared" si="17"/>
        <v>125</v>
      </c>
      <c r="B528" s="85" t="str">
        <f ca="1">IFERROR(__xludf.DUMMYFUNCTION("GOOGLETRANSLATE(B1232:B1247,""RU"",""UK"")"),"Свердло 19.25")</f>
        <v>Свердло 19.25</v>
      </c>
      <c r="C528" s="59" t="s">
        <v>6</v>
      </c>
      <c r="D528" s="59">
        <v>32</v>
      </c>
      <c r="E528" s="91" t="s">
        <v>22</v>
      </c>
    </row>
    <row r="529" spans="1:5">
      <c r="A529" s="21">
        <f t="shared" si="17"/>
        <v>126</v>
      </c>
      <c r="B529" s="85" t="str">
        <f ca="1">IFERROR(__xludf.DUMMYFUNCTION("GOOGLETRANSLATE(B1232:B1247,""RU"",""UK"")"),"Свердло 19,4")</f>
        <v>Свердло 19,4</v>
      </c>
      <c r="C529" s="59" t="s">
        <v>6</v>
      </c>
      <c r="D529" s="59">
        <v>7</v>
      </c>
      <c r="E529" s="91" t="s">
        <v>22</v>
      </c>
    </row>
    <row r="530" spans="1:5">
      <c r="A530" s="21">
        <f t="shared" si="17"/>
        <v>127</v>
      </c>
      <c r="B530" s="85" t="str">
        <f ca="1">IFERROR(__xludf.DUMMYFUNCTION("GOOGLETRANSLATE(B1234:B1249,""RU"",""UK"")"),"Свердло 19,5")</f>
        <v>Свердло 19,5</v>
      </c>
      <c r="C530" s="59" t="s">
        <v>6</v>
      </c>
      <c r="D530" s="59">
        <v>57</v>
      </c>
      <c r="E530" s="91" t="s">
        <v>1771</v>
      </c>
    </row>
    <row r="531" spans="1:5">
      <c r="A531" s="21">
        <f t="shared" si="17"/>
        <v>128</v>
      </c>
      <c r="B531" s="85" t="str">
        <f ca="1">IFERROR(__xludf.DUMMYFUNCTION("GOOGLETRANSLATE(B1234:B1249,""RU"",""UK"")"),"Свердло 19,75")</f>
        <v>Свердло 19,75</v>
      </c>
      <c r="C531" s="59" t="s">
        <v>6</v>
      </c>
      <c r="D531" s="59">
        <v>27</v>
      </c>
      <c r="E531" s="91" t="s">
        <v>1771</v>
      </c>
    </row>
    <row r="532" spans="1:5">
      <c r="A532" s="21">
        <f t="shared" si="17"/>
        <v>129</v>
      </c>
      <c r="B532" s="164" t="str">
        <f ca="1">IFERROR(__xludf.DUMMYFUNCTION("GOOGLETRANSLATE(B1236:B1251,""RU"",""UK"")"),"Свердло 20,0 Р6М5")</f>
        <v>Свердло 20,0 Р6М5</v>
      </c>
      <c r="C532" s="59" t="s">
        <v>6</v>
      </c>
      <c r="D532" s="59">
        <v>0</v>
      </c>
      <c r="E532" s="91" t="s">
        <v>413</v>
      </c>
    </row>
    <row r="533" spans="1:5">
      <c r="A533" s="21">
        <f t="shared" si="17"/>
        <v>130</v>
      </c>
      <c r="B533" s="200" t="str">
        <f ca="1">IFERROR(__xludf.DUMMYFUNCTION("GOOGLETRANSLATE(B1237:B1252,""RU"",""UK"")"),"Свердло 20,0х280(170) Р6М5 подовж.")</f>
        <v>Свердло 20,0х280(170) Р6М5 подовж.</v>
      </c>
      <c r="C533" s="59" t="s">
        <v>6</v>
      </c>
      <c r="D533" s="59">
        <v>1</v>
      </c>
      <c r="E533" s="91" t="s">
        <v>36</v>
      </c>
    </row>
    <row r="534" spans="1:5">
      <c r="A534" s="21">
        <f t="shared" si="17"/>
        <v>131</v>
      </c>
      <c r="B534" s="169" t="str">
        <f ca="1">IFERROR(__xludf.DUMMYFUNCTION("GOOGLETRANSLATE(B1237:B1252,""RU"",""UK"")"),"Свердло 20,0х350(220) Р6М5 подовж. ")</f>
        <v xml:space="preserve">Свердло 20,0х350(220) Р6М5 подовж. </v>
      </c>
      <c r="C534" s="59" t="s">
        <v>6</v>
      </c>
      <c r="D534" s="59">
        <v>90</v>
      </c>
      <c r="E534" s="91" t="s">
        <v>27</v>
      </c>
    </row>
    <row r="535" spans="1:5">
      <c r="A535" s="21">
        <f t="shared" si="17"/>
        <v>132</v>
      </c>
      <c r="B535" s="169" t="str">
        <f ca="1">IFERROR(__xludf.DUMMYFUNCTION("GOOGLETRANSLATE(B1238:B1253,""RU"",""UK"")"),"Свердло 20,0х650 (130) Р6М5 подовж.")</f>
        <v>Свердло 20,0х650 (130) Р6М5 подовж.</v>
      </c>
      <c r="C535" s="59" t="s">
        <v>6</v>
      </c>
      <c r="D535" s="59">
        <v>50</v>
      </c>
      <c r="E535" s="91">
        <v>630</v>
      </c>
    </row>
    <row r="536" spans="1:5">
      <c r="A536" s="21">
        <f t="shared" si="17"/>
        <v>133</v>
      </c>
      <c r="B536" s="85" t="str">
        <f ca="1">IFERROR(__xludf.DUMMYFUNCTION("GOOGLETRANSLATE(B1236:B1251,""RU"",""UK"")"),"Свердло 20,25")</f>
        <v>Свердло 20,25</v>
      </c>
      <c r="C536" s="59" t="s">
        <v>6</v>
      </c>
      <c r="D536" s="59">
        <v>4</v>
      </c>
      <c r="E536" s="91">
        <v>630</v>
      </c>
    </row>
    <row r="537" spans="1:5">
      <c r="A537" s="21">
        <f t="shared" si="17"/>
        <v>134</v>
      </c>
      <c r="B537" s="85" t="str">
        <f ca="1">IFERROR(__xludf.DUMMYFUNCTION("GOOGLETRANSLATE(B1239:B1254,""RU"",""UK"")"),"Свердло 20,25х320(220)удл")</f>
        <v>Свердло 20,25х320(220)удл</v>
      </c>
      <c r="C537" s="59" t="s">
        <v>6</v>
      </c>
      <c r="D537" s="59">
        <v>5</v>
      </c>
      <c r="E537" s="91" t="s">
        <v>36</v>
      </c>
    </row>
    <row r="538" spans="1:5">
      <c r="A538" s="21">
        <f t="shared" si="17"/>
        <v>135</v>
      </c>
      <c r="B538" s="85" t="str">
        <f ca="1">IFERROR(__xludf.DUMMYFUNCTION("GOOGLETRANSLATE(B1241:B1256,""RU"",""UK"")"),"Свердло 20,5")</f>
        <v>Свердло 20,5</v>
      </c>
      <c r="C538" s="59" t="s">
        <v>6</v>
      </c>
      <c r="D538" s="59">
        <v>3</v>
      </c>
      <c r="E538" s="91" t="s">
        <v>413</v>
      </c>
    </row>
    <row r="539" spans="1:5">
      <c r="A539" s="21">
        <f t="shared" si="17"/>
        <v>136</v>
      </c>
      <c r="B539" s="85" t="str">
        <f ca="1">IFERROR(__xludf.DUMMYFUNCTION("GOOGLETRANSLATE(B1240:B1255,""RU"",""UK"")"),"Свердло 20,5х300удл")</f>
        <v>Свердло 20,5х300удл</v>
      </c>
      <c r="C539" s="59" t="s">
        <v>6</v>
      </c>
      <c r="D539" s="59">
        <v>37</v>
      </c>
      <c r="E539" s="91" t="s">
        <v>36</v>
      </c>
    </row>
    <row r="540" spans="1:5">
      <c r="A540" s="21">
        <f t="shared" si="17"/>
        <v>137</v>
      </c>
      <c r="B540" s="85" t="str">
        <f ca="1">IFERROR(__xludf.DUMMYFUNCTION("GOOGLETRANSLATE(B1240:B1255,""RU"",""UK"")"),"Свердло 20,5х350удл")</f>
        <v>Свердло 20,5х350удл</v>
      </c>
      <c r="C540" s="59" t="s">
        <v>6</v>
      </c>
      <c r="D540" s="59">
        <v>22</v>
      </c>
      <c r="E540" s="91" t="s">
        <v>36</v>
      </c>
    </row>
    <row r="541" spans="1:5">
      <c r="A541" s="21">
        <f t="shared" si="17"/>
        <v>138</v>
      </c>
      <c r="B541" s="85" t="str">
        <f ca="1">IFERROR(__xludf.DUMMYFUNCTION("GOOGLETRANSLATE(B1241:B1256,""RU"",""UK"")"),"Свердло 20.75")</f>
        <v>Свердло 20.75</v>
      </c>
      <c r="C541" s="59" t="s">
        <v>6</v>
      </c>
      <c r="D541" s="59">
        <v>21</v>
      </c>
      <c r="E541" s="91" t="s">
        <v>413</v>
      </c>
    </row>
    <row r="542" spans="1:5">
      <c r="A542" s="21">
        <f t="shared" si="17"/>
        <v>139</v>
      </c>
      <c r="B542" s="85" t="str">
        <f ca="1">IFERROR(__xludf.DUMMYFUNCTION("GOOGLETRANSLATE(B1242:B1257,""RU"",""UK"")"),"Свердло 20,75 х330удл")</f>
        <v>Свердло 20,75 х330удл</v>
      </c>
      <c r="C542" s="59" t="s">
        <v>6</v>
      </c>
      <c r="D542" s="59">
        <v>1</v>
      </c>
      <c r="E542" s="91" t="s">
        <v>36</v>
      </c>
    </row>
    <row r="543" spans="1:5">
      <c r="A543" s="21">
        <f t="shared" si="17"/>
        <v>140</v>
      </c>
      <c r="B543" s="85" t="str">
        <f ca="1">IFERROR(__xludf.DUMMYFUNCTION("GOOGLETRANSLATE(B1243:B1258,""RU"",""UK"")"),"Свердло 20,8")</f>
        <v>Свердло 20,8</v>
      </c>
      <c r="C543" s="59" t="s">
        <v>6</v>
      </c>
      <c r="D543" s="59">
        <v>3</v>
      </c>
      <c r="E543" s="91" t="s">
        <v>413</v>
      </c>
    </row>
    <row r="544" spans="1:5">
      <c r="A544" s="21">
        <f t="shared" si="17"/>
        <v>141</v>
      </c>
      <c r="B544" s="85" t="str">
        <f ca="1">IFERROR(__xludf.DUMMYFUNCTION("GOOGLETRANSLATE(B1243:B1258,""RU"",""UK"")"),"Свердло 20,9")</f>
        <v>Свердло 20,9</v>
      </c>
      <c r="C544" s="59" t="s">
        <v>6</v>
      </c>
      <c r="D544" s="59">
        <v>16</v>
      </c>
      <c r="E544" s="91" t="s">
        <v>413</v>
      </c>
    </row>
    <row r="545" spans="1:5">
      <c r="A545" s="21">
        <f t="shared" si="17"/>
        <v>142</v>
      </c>
      <c r="B545" s="85" t="str">
        <f ca="1">IFERROR(__xludf.DUMMYFUNCTION("GOOGLETRANSLATE(B1244:B1259,""RU"",""UK"")"),"Свердло 21,0")</f>
        <v>Свердло 21,0</v>
      </c>
      <c r="C545" s="59" t="s">
        <v>6</v>
      </c>
      <c r="D545" s="59">
        <v>23</v>
      </c>
      <c r="E545" s="91" t="s">
        <v>413</v>
      </c>
    </row>
    <row r="546" spans="1:5">
      <c r="A546" s="21">
        <f t="shared" si="17"/>
        <v>143</v>
      </c>
      <c r="B546" s="85" t="str">
        <f ca="1">IFERROR(__xludf.DUMMYFUNCTION("GOOGLETRANSLATE(B1245:B1260,""RU"",""UK"")"),"Свердло 21.0х320удл.")</f>
        <v>Свердло 21.0х320удл.</v>
      </c>
      <c r="C546" s="59" t="s">
        <v>6</v>
      </c>
      <c r="D546" s="59">
        <v>14</v>
      </c>
      <c r="E546" s="91" t="s">
        <v>36</v>
      </c>
    </row>
    <row r="547" spans="1:5">
      <c r="A547" s="21">
        <f t="shared" si="17"/>
        <v>144</v>
      </c>
      <c r="B547" s="85" t="str">
        <f ca="1">IFERROR(__xludf.DUMMYFUNCTION("GOOGLETRANSLATE(B1245:B1260,""RU"",""UK"")"),"Свердло 21,0х400(300)")</f>
        <v>Свердло 21,0х400(300)</v>
      </c>
      <c r="C547" s="59" t="s">
        <v>6</v>
      </c>
      <c r="D547" s="59">
        <v>12</v>
      </c>
      <c r="E547" s="91" t="s">
        <v>36</v>
      </c>
    </row>
    <row r="548" spans="1:5">
      <c r="A548" s="21">
        <f t="shared" si="17"/>
        <v>145</v>
      </c>
      <c r="B548" s="85" t="str">
        <f ca="1">IFERROR(__xludf.DUMMYFUNCTION("GOOGLETRANSLATE(B1246:B1261,""RU"",""UK"")"),"Свердло ступінчасте 21.0х18х40 к/хв удл")</f>
        <v>Свердло ступінчасте 21.0х18х40 к/хв удл</v>
      </c>
      <c r="C548" s="59" t="s">
        <v>6</v>
      </c>
      <c r="D548" s="59">
        <v>1</v>
      </c>
      <c r="E548" s="91" t="s">
        <v>413</v>
      </c>
    </row>
    <row r="549" spans="1:5">
      <c r="A549" s="21">
        <f t="shared" si="17"/>
        <v>146</v>
      </c>
      <c r="B549" s="85" t="str">
        <f ca="1">IFERROR(__xludf.DUMMYFUNCTION("GOOGLETRANSLATE(B1244:B1259,""RU"",""UK"")"),"Свердло 21.25")</f>
        <v>Свердло 21.25</v>
      </c>
      <c r="C549" s="59" t="s">
        <v>6</v>
      </c>
      <c r="D549" s="59">
        <v>17</v>
      </c>
      <c r="E549" s="91" t="s">
        <v>413</v>
      </c>
    </row>
    <row r="550" spans="1:5">
      <c r="A550" s="21">
        <f t="shared" si="17"/>
        <v>147</v>
      </c>
      <c r="B550" s="85" t="str">
        <f ca="1">IFERROR(__xludf.DUMMYFUNCTION("GOOGLETRANSLATE(B1247:B1262,""RU"",""UK"")"),"Свердло 21,25х330(230)")</f>
        <v>Свердло 21,25х330(230)</v>
      </c>
      <c r="C550" s="59" t="s">
        <v>6</v>
      </c>
      <c r="D550" s="59">
        <v>0</v>
      </c>
      <c r="E550" s="91" t="s">
        <v>36</v>
      </c>
    </row>
    <row r="551" spans="1:5">
      <c r="A551" s="21">
        <f t="shared" si="17"/>
        <v>148</v>
      </c>
      <c r="B551" s="85" t="str">
        <f ca="1">IFERROR(__xludf.DUMMYFUNCTION("GOOGLETRANSLATE(B1248:B1263,""RU"",""UK"")"),"Свердло 21.5")</f>
        <v>Свердло 21.5</v>
      </c>
      <c r="C551" s="59" t="s">
        <v>6</v>
      </c>
      <c r="D551" s="59">
        <v>17</v>
      </c>
      <c r="E551" s="91" t="s">
        <v>53</v>
      </c>
    </row>
    <row r="552" spans="1:5">
      <c r="A552" s="21">
        <f t="shared" si="17"/>
        <v>149</v>
      </c>
      <c r="B552" s="85" t="str">
        <f ca="1">IFERROR(__xludf.DUMMYFUNCTION("GOOGLETRANSLATE(B1249:B1264,""RU"",""UK"")"),"Свердло 21.5х290дл.")</f>
        <v>Свердло 21.5х290дл.</v>
      </c>
      <c r="C552" s="59" t="s">
        <v>6</v>
      </c>
      <c r="D552" s="59">
        <v>2</v>
      </c>
      <c r="E552" s="91" t="s">
        <v>36</v>
      </c>
    </row>
    <row r="553" spans="1:5">
      <c r="A553" s="21">
        <f t="shared" si="17"/>
        <v>150</v>
      </c>
      <c r="B553" s="85" t="str">
        <f ca="1">IFERROR(__xludf.DUMMYFUNCTION("GOOGLETRANSLATE(B1250:B1265,""RU"",""UK"")"),"Свердло 21,5 х350 (220) удл")</f>
        <v>Свердло 21,5 х350 (220) удл</v>
      </c>
      <c r="C553" s="59" t="s">
        <v>6</v>
      </c>
      <c r="D553" s="59">
        <v>99</v>
      </c>
      <c r="E553" s="91" t="s">
        <v>27</v>
      </c>
    </row>
    <row r="554" spans="1:5">
      <c r="A554" s="21">
        <f t="shared" si="17"/>
        <v>151</v>
      </c>
      <c r="B554" s="85" t="str">
        <f ca="1">IFERROR(__xludf.DUMMYFUNCTION("GOOGLETRANSLATE(B1250:B1265,""RU"",""UK"")"),"Свердло 21.5х490(260)удл.")</f>
        <v>Свердло 21.5х490(260)удл.</v>
      </c>
      <c r="C554" s="59" t="s">
        <v>6</v>
      </c>
      <c r="D554" s="59">
        <v>1</v>
      </c>
      <c r="E554" s="91" t="s">
        <v>27</v>
      </c>
    </row>
    <row r="555" spans="1:5">
      <c r="A555" s="21">
        <f t="shared" si="17"/>
        <v>152</v>
      </c>
      <c r="B555" s="85" t="str">
        <f ca="1">IFERROR(__xludf.DUMMYFUNCTION("GOOGLETRANSLATE(B1251:B1266,""RU"",""UK"")"),"Свердло 21.5х730(220)удл.")</f>
        <v>Свердло 21.5х730(220)удл.</v>
      </c>
      <c r="C555" s="59" t="s">
        <v>6</v>
      </c>
      <c r="D555" s="59">
        <v>1</v>
      </c>
      <c r="E555" s="91" t="s">
        <v>78</v>
      </c>
    </row>
    <row r="556" spans="1:5">
      <c r="A556" s="21">
        <f t="shared" si="17"/>
        <v>153</v>
      </c>
      <c r="B556" s="85" t="str">
        <f ca="1">IFERROR(__xludf.DUMMYFUNCTION("GOOGLETRANSLATE(B1252:B1267,""RU"",""UK"")"),"Свердло 22.0")</f>
        <v>Свердло 22.0</v>
      </c>
      <c r="C556" s="59" t="s">
        <v>6</v>
      </c>
      <c r="D556" s="59">
        <v>6</v>
      </c>
      <c r="E556" s="91" t="s">
        <v>53</v>
      </c>
    </row>
    <row r="557" spans="1:5">
      <c r="A557" s="21">
        <f t="shared" si="17"/>
        <v>154</v>
      </c>
      <c r="B557" s="85" t="str">
        <f ca="1">IFERROR(__xludf.DUMMYFUNCTION("GOOGLETRANSLATE(B1253:B1268,""RU"",""UK"")"),"Свердло 22.0х400(160)удл")</f>
        <v>Свердло 22.0х400(160)удл</v>
      </c>
      <c r="C557" s="59" t="s">
        <v>6</v>
      </c>
      <c r="D557" s="59">
        <v>0</v>
      </c>
      <c r="E557" s="91">
        <v>570</v>
      </c>
    </row>
    <row r="558" spans="1:5">
      <c r="A558" s="21">
        <f t="shared" si="17"/>
        <v>155</v>
      </c>
      <c r="B558" s="85" t="str">
        <f ca="1">IFERROR(__xludf.DUMMYFUNCTION("GOOGLETRANSLATE(B1253:B1268,""RU"",""UK"")"),"Свердло 22.0х420(260)удл")</f>
        <v>Свердло 22.0х420(260)удл</v>
      </c>
      <c r="C558" s="59" t="s">
        <v>6</v>
      </c>
      <c r="D558" s="59">
        <v>0</v>
      </c>
      <c r="E558" s="91" t="s">
        <v>27</v>
      </c>
    </row>
    <row r="559" spans="1:5">
      <c r="A559" s="21">
        <f t="shared" si="17"/>
        <v>156</v>
      </c>
      <c r="B559" s="85" t="str">
        <f ca="1">IFERROR(__xludf.DUMMYFUNCTION("GOOGLETRANSLATE(B1254:B1269,""RU"",""UK"")"),"Свердло 22.25")</f>
        <v>Свердло 22.25</v>
      </c>
      <c r="C559" s="59" t="s">
        <v>6</v>
      </c>
      <c r="D559" s="59">
        <v>9</v>
      </c>
      <c r="E559" s="91" t="s">
        <v>53</v>
      </c>
    </row>
    <row r="560" spans="1:5">
      <c r="A560" s="21">
        <f t="shared" si="17"/>
        <v>157</v>
      </c>
      <c r="B560" s="85" t="str">
        <f ca="1">IFERROR(__xludf.DUMMYFUNCTION("GOOGLETRANSLATE(B1254:B1269,""RU"",""UK"")"),"Свердло 22,5")</f>
        <v>Свердло 22,5</v>
      </c>
      <c r="C560" s="59" t="s">
        <v>6</v>
      </c>
      <c r="D560" s="59">
        <v>18</v>
      </c>
      <c r="E560" s="91" t="s">
        <v>53</v>
      </c>
    </row>
    <row r="561" spans="1:5">
      <c r="A561" s="21">
        <f t="shared" si="17"/>
        <v>158</v>
      </c>
      <c r="B561" s="85" t="s">
        <v>6408</v>
      </c>
      <c r="C561" s="59" t="s">
        <v>6</v>
      </c>
      <c r="D561" s="59">
        <v>1</v>
      </c>
      <c r="E561" s="91">
        <v>570</v>
      </c>
    </row>
    <row r="562" spans="1:5">
      <c r="A562" s="21">
        <f t="shared" si="17"/>
        <v>159</v>
      </c>
      <c r="B562" s="85" t="str">
        <f ca="1">IFERROR(__xludf.DUMMYFUNCTION("GOOGLETRANSLATE(B1254:B1269,""RU"",""UK"")"),"Свердло 22,75")</f>
        <v>Свердло 22,75</v>
      </c>
      <c r="C562" s="59" t="s">
        <v>6</v>
      </c>
      <c r="D562" s="59">
        <v>26</v>
      </c>
      <c r="E562" s="91" t="s">
        <v>53</v>
      </c>
    </row>
    <row r="563" spans="1:5">
      <c r="A563" s="21">
        <f t="shared" si="17"/>
        <v>160</v>
      </c>
      <c r="B563" s="85" t="str">
        <f ca="1">IFERROR(__xludf.DUMMYFUNCTION("GOOGLETRANSLATE(B1255:B1270,""RU"",""UK"")"),"Свердло 23,0")</f>
        <v>Свердло 23,0</v>
      </c>
      <c r="C563" s="59" t="s">
        <v>6</v>
      </c>
      <c r="D563" s="59">
        <v>24</v>
      </c>
      <c r="E563" s="91" t="s">
        <v>53</v>
      </c>
    </row>
    <row r="564" spans="1:5">
      <c r="A564" s="21">
        <f t="shared" si="17"/>
        <v>161</v>
      </c>
      <c r="B564" s="85" t="str">
        <f ca="1">IFERROR(__xludf.DUMMYFUNCTION("GOOGLETRANSLATE(B1256:B1271,""RU"",""UK"")"),"Свердло 23.0х330(230)удл")</f>
        <v>Свердло 23.0х330(230)удл</v>
      </c>
      <c r="C564" s="59" t="s">
        <v>6</v>
      </c>
      <c r="D564" s="59">
        <v>2</v>
      </c>
      <c r="E564" s="91" t="s">
        <v>27</v>
      </c>
    </row>
    <row r="565" spans="1:5">
      <c r="A565" s="21">
        <f t="shared" si="17"/>
        <v>162</v>
      </c>
      <c r="B565" s="85" t="str">
        <f ca="1">IFERROR(__xludf.DUMMYFUNCTION("GOOGLETRANSLATE(B1256:B1271,""RU"",""UK"")"),"Свердло 23.0х340(240)удл")</f>
        <v>Свердло 23.0х340(240)удл</v>
      </c>
      <c r="C565" s="59" t="s">
        <v>6</v>
      </c>
      <c r="D565" s="59">
        <v>15</v>
      </c>
      <c r="E565" s="91" t="s">
        <v>27</v>
      </c>
    </row>
    <row r="566" spans="1:5">
      <c r="A566" s="21">
        <f t="shared" si="17"/>
        <v>163</v>
      </c>
      <c r="B566" s="85" t="str">
        <f ca="1">IFERROR(__xludf.DUMMYFUNCTION("GOOGLETRANSLATE(B1257:B1272,""RU"",""UK"")"),"Свердло 23.0х400(170)удл")</f>
        <v>Свердло 23.0х400(170)удл</v>
      </c>
      <c r="C566" s="59" t="s">
        <v>6</v>
      </c>
      <c r="D566" s="59">
        <v>4</v>
      </c>
      <c r="E566" s="91" t="s">
        <v>78</v>
      </c>
    </row>
    <row r="567" spans="1:5">
      <c r="A567" s="21">
        <f t="shared" si="17"/>
        <v>164</v>
      </c>
      <c r="B567" s="85" t="str">
        <f ca="1">IFERROR(__xludf.DUMMYFUNCTION("GOOGLETRANSLATE(B1255:B1270,""RU"",""UK"")"),"Свердло 23,25")</f>
        <v>Свердло 23,25</v>
      </c>
      <c r="C567" s="59" t="s">
        <v>6</v>
      </c>
      <c r="D567" s="59">
        <v>24</v>
      </c>
      <c r="E567" s="91" t="s">
        <v>53</v>
      </c>
    </row>
    <row r="568" spans="1:5">
      <c r="A568" s="21">
        <f t="shared" si="17"/>
        <v>165</v>
      </c>
      <c r="B568" s="85" t="str">
        <f ca="1">IFERROR(__xludf.DUMMYFUNCTION("GOOGLETRANSLATE(B1258:B1273,""RU"",""UK"")"),"Свердло 23,5")</f>
        <v>Свердло 23,5</v>
      </c>
      <c r="C568" s="59" t="s">
        <v>6</v>
      </c>
      <c r="D568" s="59">
        <v>16</v>
      </c>
      <c r="E568" s="91" t="s">
        <v>53</v>
      </c>
    </row>
    <row r="569" spans="1:5">
      <c r="A569" s="21">
        <f t="shared" si="17"/>
        <v>166</v>
      </c>
      <c r="B569" s="85" t="str">
        <f ca="1">IFERROR(__xludf.DUMMYFUNCTION("GOOGLETRANSLATE(B1258:B1273,""RU"",""UK"")"),"Свердло 23,75")</f>
        <v>Свердло 23,75</v>
      </c>
      <c r="C569" s="59" t="s">
        <v>6</v>
      </c>
      <c r="D569" s="59">
        <v>27</v>
      </c>
      <c r="E569" s="91" t="s">
        <v>53</v>
      </c>
    </row>
    <row r="570" spans="1:5">
      <c r="A570" s="21">
        <f t="shared" si="17"/>
        <v>167</v>
      </c>
      <c r="B570" s="85" t="str">
        <f ca="1">IFERROR(__xludf.DUMMYFUNCTION("GOOGLETRANSLATE(B1259:B1274,""RU"",""UK"")"),"Свердло 23,9")</f>
        <v>Свердло 23,9</v>
      </c>
      <c r="C570" s="59" t="s">
        <v>6</v>
      </c>
      <c r="D570" s="59">
        <v>3</v>
      </c>
      <c r="E570" s="91" t="s">
        <v>53</v>
      </c>
    </row>
    <row r="571" spans="1:5">
      <c r="A571" s="21">
        <f t="shared" si="17"/>
        <v>168</v>
      </c>
      <c r="B571" s="85" t="str">
        <f ca="1">IFERROR(__xludf.DUMMYFUNCTION("GOOGLETRANSLATE(B1259:B1274,""RU"",""UK"")"),"Свердло 24,0")</f>
        <v>Свердло 24,0</v>
      </c>
      <c r="C571" s="59" t="s">
        <v>6</v>
      </c>
      <c r="D571" s="59">
        <v>42</v>
      </c>
      <c r="E571" s="91" t="s">
        <v>53</v>
      </c>
    </row>
    <row r="572" spans="1:5">
      <c r="A572" s="21">
        <f t="shared" si="17"/>
        <v>169</v>
      </c>
      <c r="B572" s="85" t="str">
        <f ca="1">IFERROR(__xludf.DUMMYFUNCTION("GOOGLETRANSLATE(B1260:B1275,""RU"",""UK"")"),"Свердло 24х280удл.")</f>
        <v>Свердло 24х280удл.</v>
      </c>
      <c r="C572" s="59" t="s">
        <v>6</v>
      </c>
      <c r="D572" s="59">
        <v>16</v>
      </c>
      <c r="E572" s="91" t="s">
        <v>78</v>
      </c>
    </row>
    <row r="573" spans="1:5">
      <c r="A573" s="21">
        <f t="shared" si="17"/>
        <v>170</v>
      </c>
      <c r="B573" s="85" t="str">
        <f ca="1">IFERROR(__xludf.DUMMYFUNCTION("GOOGLETRANSLATE(B1260:B1275,""RU"",""UK"")"),"Свердло 24,0х320(200)удл.")</f>
        <v>Свердло 24,0х320(200)удл.</v>
      </c>
      <c r="C573" s="59" t="s">
        <v>6</v>
      </c>
      <c r="D573" s="59">
        <v>3</v>
      </c>
      <c r="E573" s="91" t="s">
        <v>78</v>
      </c>
    </row>
    <row r="574" spans="1:5">
      <c r="A574" s="21">
        <f t="shared" si="17"/>
        <v>171</v>
      </c>
      <c r="B574" s="85" t="s">
        <v>6409</v>
      </c>
      <c r="C574" s="59" t="s">
        <v>6</v>
      </c>
      <c r="D574" s="59">
        <v>1</v>
      </c>
      <c r="E574" s="91">
        <v>630</v>
      </c>
    </row>
    <row r="575" spans="1:5">
      <c r="A575" s="21">
        <f t="shared" si="17"/>
        <v>172</v>
      </c>
      <c r="B575" s="85" t="str">
        <f ca="1">IFERROR(__xludf.DUMMYFUNCTION("GOOGLETRANSLATE(B1260:B1275,""RU"",""UK"")"),"Свердло 24,0х360-400удл.")</f>
        <v>Свердло 24,0х360-400удл.</v>
      </c>
      <c r="C575" s="59" t="s">
        <v>6</v>
      </c>
      <c r="D575" s="59">
        <v>41</v>
      </c>
      <c r="E575" s="91" t="s">
        <v>78</v>
      </c>
    </row>
    <row r="576" spans="1:5">
      <c r="A576" s="21">
        <f t="shared" si="17"/>
        <v>173</v>
      </c>
      <c r="B576" s="85" t="str">
        <f ca="1">IFERROR(__xludf.DUMMYFUNCTION("GOOGLETRANSLATE(B1262:B1277,""RU"",""UK"")"),"Свердло 24,25")</f>
        <v>Свердло 24,25</v>
      </c>
      <c r="C576" s="59" t="s">
        <v>6</v>
      </c>
      <c r="D576" s="59">
        <v>24</v>
      </c>
      <c r="E576" s="91" t="s">
        <v>1813</v>
      </c>
    </row>
    <row r="577" spans="1:5">
      <c r="A577" s="21">
        <f t="shared" si="17"/>
        <v>174</v>
      </c>
      <c r="B577" s="85" t="str">
        <f ca="1">IFERROR(__xludf.DUMMYFUNCTION("GOOGLETRANSLATE(B1261:B1276,""RU"",""UK"")"),"Свердло 24.25х340-360удл.")</f>
        <v>Свердло 24.25х340-360удл.</v>
      </c>
      <c r="C577" s="59" t="s">
        <v>6</v>
      </c>
      <c r="D577" s="59">
        <v>6</v>
      </c>
      <c r="E577" s="91" t="s">
        <v>78</v>
      </c>
    </row>
    <row r="578" spans="1:5">
      <c r="A578" s="21">
        <f t="shared" si="17"/>
        <v>175</v>
      </c>
      <c r="B578" s="85" t="str">
        <f ca="1">IFERROR(__xludf.DUMMYFUNCTION("GOOGLETRANSLATE(B1262:B1277,""RU"",""UK"")"),"Свердло 24,5")</f>
        <v>Свердло 24,5</v>
      </c>
      <c r="C578" s="59" t="s">
        <v>6</v>
      </c>
      <c r="D578" s="59">
        <v>21</v>
      </c>
      <c r="E578" s="91">
        <v>575</v>
      </c>
    </row>
    <row r="579" spans="1:5">
      <c r="A579" s="21">
        <f t="shared" si="17"/>
        <v>176</v>
      </c>
      <c r="B579" s="85" t="str">
        <f ca="1">IFERROR(__xludf.DUMMYFUNCTION("GOOGLETRANSLATE(B1263:B1278,""RU"",""UK"")"),"Свердло 24,5х300удл.")</f>
        <v>Свердло 24,5х300удл.</v>
      </c>
      <c r="C579" s="59" t="s">
        <v>6</v>
      </c>
      <c r="D579" s="59">
        <v>5</v>
      </c>
      <c r="E579" s="91">
        <v>660</v>
      </c>
    </row>
    <row r="580" spans="1:5">
      <c r="A580" s="21">
        <f t="shared" si="17"/>
        <v>177</v>
      </c>
      <c r="B580" s="85" t="str">
        <f ca="1">IFERROR(__xludf.DUMMYFUNCTION("GOOGLETRANSLATE(B1263:B1278,""RU"",""UK"")"),"Свердло 24,5х350удл.")</f>
        <v>Свердло 24,5х350удл.</v>
      </c>
      <c r="C580" s="59" t="s">
        <v>6</v>
      </c>
      <c r="D580" s="59">
        <v>4</v>
      </c>
      <c r="E580" s="91">
        <v>660</v>
      </c>
    </row>
    <row r="581" spans="1:5">
      <c r="A581" s="21">
        <f t="shared" si="17"/>
        <v>178</v>
      </c>
      <c r="B581" s="85" t="str">
        <f ca="1">IFERROR(__xludf.DUMMYFUNCTION("GOOGLETRANSLATE(B1262:B1277,""RU"",""UK"")"),"Свердло 24,75")</f>
        <v>Свердло 24,75</v>
      </c>
      <c r="C581" s="59" t="s">
        <v>6</v>
      </c>
      <c r="D581" s="59">
        <v>15</v>
      </c>
      <c r="E581" s="91">
        <v>575</v>
      </c>
    </row>
    <row r="582" spans="1:5">
      <c r="A582" s="21">
        <f t="shared" si="17"/>
        <v>179</v>
      </c>
      <c r="B582" s="85" t="str">
        <f ca="1">IFERROR(__xludf.DUMMYFUNCTION("GOOGLETRANSLATE(B1264:B1279,""RU"",""UK"")"),"Свердло 25,0")</f>
        <v>Свердло 25,0</v>
      </c>
      <c r="C582" s="59" t="s">
        <v>6</v>
      </c>
      <c r="D582" s="59">
        <v>4</v>
      </c>
      <c r="E582" s="91">
        <v>575</v>
      </c>
    </row>
    <row r="583" spans="1:5">
      <c r="A583" s="21">
        <f t="shared" si="17"/>
        <v>180</v>
      </c>
      <c r="B583" s="85" t="str">
        <f ca="1">IFERROR(__xludf.DUMMYFUNCTION("GOOGLETRANSLATE(B1265:B1280,""RU"",""UK"")"),"Свердло 25,0удл.")</f>
        <v>Свердло 25,0удл.</v>
      </c>
      <c r="C583" s="59" t="s">
        <v>6</v>
      </c>
      <c r="D583" s="59">
        <v>38</v>
      </c>
      <c r="E583" s="91">
        <v>660</v>
      </c>
    </row>
    <row r="584" spans="1:5">
      <c r="A584" s="21">
        <f t="shared" si="17"/>
        <v>181</v>
      </c>
      <c r="B584" s="85" t="s">
        <v>6396</v>
      </c>
      <c r="C584" s="59" t="s">
        <v>6</v>
      </c>
      <c r="D584" s="59">
        <v>1</v>
      </c>
      <c r="E584" s="91">
        <v>660</v>
      </c>
    </row>
    <row r="585" spans="1:5">
      <c r="A585" s="21">
        <f t="shared" si="17"/>
        <v>182</v>
      </c>
      <c r="B585" s="85" t="str">
        <f ca="1">IFERROR(__xludf.DUMMYFUNCTION("GOOGLETRANSLATE(B1265:B1280,""RU"",""UK"")"),"Свердло 25х380 (200)довге")</f>
        <v>Свердло 25х380 (200)довге</v>
      </c>
      <c r="C585" s="59" t="s">
        <v>6</v>
      </c>
      <c r="D585" s="59">
        <v>2</v>
      </c>
      <c r="E585" s="91">
        <v>660</v>
      </c>
    </row>
    <row r="586" spans="1:5">
      <c r="A586" s="21">
        <f t="shared" si="17"/>
        <v>183</v>
      </c>
      <c r="B586" s="85" t="str">
        <f ca="1">IFERROR(__xludf.DUMMYFUNCTION("GOOGLETRANSLATE(B1266:B1281,""RU"",""UK"")"),"Свердло 25,25")</f>
        <v>Свердло 25,25</v>
      </c>
      <c r="C586" s="59" t="s">
        <v>6</v>
      </c>
      <c r="D586" s="59">
        <v>33</v>
      </c>
      <c r="E586" s="91">
        <v>587</v>
      </c>
    </row>
    <row r="587" spans="1:5">
      <c r="A587" s="21">
        <f t="shared" si="17"/>
        <v>184</v>
      </c>
      <c r="B587" s="85" t="str">
        <f ca="1">IFERROR(__xludf.DUMMYFUNCTION("GOOGLETRANSLATE(B1267:B1282,""RU"",""UK"")"),"Свердло 25,5")</f>
        <v>Свердло 25,5</v>
      </c>
      <c r="C587" s="59" t="s">
        <v>6</v>
      </c>
      <c r="D587" s="59">
        <v>20</v>
      </c>
      <c r="E587" s="91">
        <v>587</v>
      </c>
    </row>
    <row r="588" spans="1:5">
      <c r="A588" s="21">
        <f t="shared" si="17"/>
        <v>185</v>
      </c>
      <c r="B588" s="85" t="str">
        <f ca="1">IFERROR(__xludf.DUMMYFUNCTION("GOOGLETRANSLATE(B1267:B1282,""RU"",""UK"")"),"Свердло 25,75")</f>
        <v>Свердло 25,75</v>
      </c>
      <c r="C588" s="59" t="s">
        <v>6</v>
      </c>
      <c r="D588" s="59">
        <v>9</v>
      </c>
      <c r="E588" s="91">
        <v>587</v>
      </c>
    </row>
    <row r="589" spans="1:5">
      <c r="A589" s="21">
        <f t="shared" si="17"/>
        <v>186</v>
      </c>
      <c r="B589" s="85" t="str">
        <f ca="1">IFERROR(__xludf.DUMMYFUNCTION("GOOGLETRANSLATE(B1268:B1283,""RU"",""UK"")"),"Свердло 26,0")</f>
        <v>Свердло 26,0</v>
      </c>
      <c r="C589" s="59" t="s">
        <v>6</v>
      </c>
      <c r="D589" s="59">
        <v>14</v>
      </c>
      <c r="E589" s="91">
        <v>587</v>
      </c>
    </row>
    <row r="590" spans="1:5">
      <c r="A590" s="21">
        <f t="shared" si="17"/>
        <v>187</v>
      </c>
      <c r="B590" s="85" t="str">
        <f ca="1">IFERROR(__xludf.DUMMYFUNCTION("GOOGLETRANSLATE(B1269:B1284,""RU"",""UK"")"),"Свердло 26,0 х300удл.")</f>
        <v>Свердло 26,0 х300удл.</v>
      </c>
      <c r="C590" s="59" t="s">
        <v>6</v>
      </c>
      <c r="D590" s="59">
        <v>34</v>
      </c>
      <c r="E590" s="91" t="s">
        <v>78</v>
      </c>
    </row>
    <row r="591" spans="1:5">
      <c r="A591" s="21">
        <f t="shared" si="17"/>
        <v>188</v>
      </c>
      <c r="B591" s="85" t="str">
        <f ca="1">IFERROR(__xludf.DUMMYFUNCTION("GOOGLETRANSLATE(B1269:B1284,""RU"",""UK"")"),"Свердло 26,0 х380удл.")</f>
        <v>Свердло 26,0 х380удл.</v>
      </c>
      <c r="C591" s="59" t="s">
        <v>6</v>
      </c>
      <c r="D591" s="59">
        <v>1</v>
      </c>
      <c r="E591" s="91" t="s">
        <v>78</v>
      </c>
    </row>
    <row r="592" spans="1:5">
      <c r="A592" s="21">
        <f t="shared" si="17"/>
        <v>189</v>
      </c>
      <c r="B592" s="85" t="str">
        <f ca="1">IFERROR(__xludf.DUMMYFUNCTION("GOOGLETRANSLATE(B1270:B1285,""RU"",""UK"")"),"Свердло 26,25")</f>
        <v>Свердло 26,25</v>
      </c>
      <c r="C592" s="59" t="s">
        <v>6</v>
      </c>
      <c r="D592" s="59">
        <v>10</v>
      </c>
      <c r="E592" s="91">
        <v>587</v>
      </c>
    </row>
    <row r="593" spans="1:5">
      <c r="A593" s="21">
        <f t="shared" si="17"/>
        <v>190</v>
      </c>
      <c r="B593" s="85" t="str">
        <f ca="1">IFERROR(__xludf.DUMMYFUNCTION("GOOGLETRANSLATE(B1270:B1285,""RU"",""UK"")"),"Свердло 26,5")</f>
        <v>Свердло 26,5</v>
      </c>
      <c r="C593" s="59" t="s">
        <v>6</v>
      </c>
      <c r="D593" s="59">
        <v>8</v>
      </c>
      <c r="E593" s="91">
        <v>587</v>
      </c>
    </row>
    <row r="594" spans="1:5">
      <c r="A594" s="21">
        <f t="shared" si="17"/>
        <v>191</v>
      </c>
      <c r="B594" s="85" t="str">
        <f ca="1">IFERROR(__xludf.DUMMYFUNCTION("GOOGLETRANSLATE(B1270:B1285,""RU"",""UK"")"),"Свердло 26.75")</f>
        <v>Свердло 26.75</v>
      </c>
      <c r="C594" s="59" t="s">
        <v>6</v>
      </c>
      <c r="D594" s="59">
        <v>4</v>
      </c>
      <c r="E594" s="91">
        <v>587</v>
      </c>
    </row>
    <row r="595" spans="1:5">
      <c r="A595" s="21">
        <f t="shared" si="17"/>
        <v>192</v>
      </c>
      <c r="B595" s="85" t="str">
        <f ca="1">IFERROR(__xludf.DUMMYFUNCTION("GOOGLETRANSLATE(B1271:B1286,""RU"",""UK"")"),"Свердло 27.0")</f>
        <v>Свердло 27.0</v>
      </c>
      <c r="C595" s="59" t="s">
        <v>6</v>
      </c>
      <c r="D595" s="59">
        <v>47</v>
      </c>
      <c r="E595" s="91">
        <v>587</v>
      </c>
    </row>
    <row r="596" spans="1:5">
      <c r="A596" s="21">
        <f t="shared" si="17"/>
        <v>193</v>
      </c>
      <c r="B596" s="85" t="str">
        <f ca="1">IFERROR(__xludf.DUMMYFUNCTION("GOOGLETRANSLATE(B1272:B1287,""RU"",""UK"")"),"Свердло 27,0х380(250) удл")</f>
        <v>Свердло 27,0х380(250) удл</v>
      </c>
      <c r="C596" s="59" t="s">
        <v>6</v>
      </c>
      <c r="D596" s="59">
        <v>7</v>
      </c>
      <c r="E596" s="91" t="s">
        <v>78</v>
      </c>
    </row>
    <row r="597" spans="1:5">
      <c r="A597" s="21">
        <f t="shared" si="17"/>
        <v>194</v>
      </c>
      <c r="B597" s="85" t="str">
        <f ca="1">IFERROR(__xludf.DUMMYFUNCTION("GOOGLETRANSLATE(B1274:B1289,""RU"",""UK"")"),"Свердло 27,5")</f>
        <v>Свердло 27,5</v>
      </c>
      <c r="C597" s="59" t="s">
        <v>6</v>
      </c>
      <c r="D597" s="59">
        <v>4</v>
      </c>
      <c r="E597" s="91">
        <v>591</v>
      </c>
    </row>
    <row r="598" spans="1:5">
      <c r="A598" s="21">
        <f t="shared" si="17"/>
        <v>195</v>
      </c>
      <c r="B598" s="85" t="str">
        <f ca="1">IFERROR(__xludf.DUMMYFUNCTION("GOOGLETRANSLATE(B1274:B1289,""RU"",""UK"")"),"Свердло 27,75")</f>
        <v>Свердло 27,75</v>
      </c>
      <c r="C598" s="59" t="s">
        <v>6</v>
      </c>
      <c r="D598" s="59">
        <v>10</v>
      </c>
      <c r="E598" s="91">
        <v>591</v>
      </c>
    </row>
    <row r="599" spans="1:5">
      <c r="A599" s="21">
        <f t="shared" si="17"/>
        <v>196</v>
      </c>
      <c r="B599" s="85" t="str">
        <f ca="1">IFERROR(__xludf.DUMMYFUNCTION("GOOGLETRANSLATE(B1275:B1290,""RU"",""UK"")"),"Свердло 28,0")</f>
        <v>Свердло 28,0</v>
      </c>
      <c r="C599" s="59" t="s">
        <v>6</v>
      </c>
      <c r="D599" s="59">
        <v>48</v>
      </c>
      <c r="E599" s="91">
        <v>594</v>
      </c>
    </row>
    <row r="600" spans="1:5">
      <c r="A600" s="21">
        <f t="shared" si="17"/>
        <v>197</v>
      </c>
      <c r="B600" s="85" t="str">
        <f ca="1">IFERROR(__xludf.DUMMYFUNCTION("GOOGLETRANSLATE(B1276:B1291,""RU"",""UK"")"),"Свердло 28,0х340(200) дов")</f>
        <v>Свердло 28,0х340(200) дов</v>
      </c>
      <c r="C600" s="59" t="s">
        <v>6</v>
      </c>
      <c r="D600" s="160">
        <v>25</v>
      </c>
      <c r="E600" s="91" t="s">
        <v>78</v>
      </c>
    </row>
    <row r="601" spans="1:5">
      <c r="A601" s="21">
        <f t="shared" si="17"/>
        <v>198</v>
      </c>
      <c r="B601" s="85" t="str">
        <f ca="1">IFERROR(__xludf.DUMMYFUNCTION("GOOGLETRANSLATE(B1276:B1291,""RU"",""UK"")"),"Свердло 28,0х380 дов")</f>
        <v>Свердло 28,0х380 дов</v>
      </c>
      <c r="C601" s="59" t="s">
        <v>6</v>
      </c>
      <c r="D601" s="160">
        <v>5</v>
      </c>
      <c r="E601" s="91" t="s">
        <v>78</v>
      </c>
    </row>
    <row r="602" spans="1:5">
      <c r="A602" s="21">
        <f t="shared" si="17"/>
        <v>199</v>
      </c>
      <c r="B602" s="85" t="str">
        <f ca="1">IFERROR(__xludf.DUMMYFUNCTION("GOOGLETRANSLATE(B1277:B1292,""RU"",""UK"")"),"Свердло 28,1")</f>
        <v>Свердло 28,1</v>
      </c>
      <c r="C602" s="59" t="s">
        <v>6</v>
      </c>
      <c r="D602" s="59">
        <v>4</v>
      </c>
      <c r="E602" s="91" t="s">
        <v>36</v>
      </c>
    </row>
    <row r="603" spans="1:5">
      <c r="A603" s="21">
        <f t="shared" si="17"/>
        <v>200</v>
      </c>
      <c r="B603" s="85" t="str">
        <f ca="1">IFERROR(__xludf.DUMMYFUNCTION("GOOGLETRANSLATE(B1277:B1292,""RU"",""UK"")"),"Свердло 28,25")</f>
        <v>Свердло 28,25</v>
      </c>
      <c r="C603" s="59" t="s">
        <v>6</v>
      </c>
      <c r="D603" s="59">
        <v>22</v>
      </c>
      <c r="E603" s="91" t="s">
        <v>36</v>
      </c>
    </row>
    <row r="604" spans="1:5">
      <c r="A604" s="21">
        <f t="shared" si="17"/>
        <v>201</v>
      </c>
      <c r="B604" s="85" t="str">
        <f ca="1">IFERROR(__xludf.DUMMYFUNCTION("GOOGLETRANSLATE(B1276:B1291,""RU"",""UK"")"),"Свердло 28,25х350 дов")</f>
        <v>Свердло 28,25х350 дов</v>
      </c>
      <c r="C604" s="59" t="s">
        <v>6</v>
      </c>
      <c r="D604" s="59">
        <v>5</v>
      </c>
      <c r="E604" s="91" t="s">
        <v>78</v>
      </c>
    </row>
    <row r="605" spans="1:5">
      <c r="A605" s="21">
        <f t="shared" si="17"/>
        <v>202</v>
      </c>
      <c r="B605" s="85" t="str">
        <f ca="1">IFERROR(__xludf.DUMMYFUNCTION("GOOGLETRANSLATE(B1277:B1292,""RU"",""UK"")"),"Свердло 28,3")</f>
        <v>Свердло 28,3</v>
      </c>
      <c r="C605" s="59" t="s">
        <v>6</v>
      </c>
      <c r="D605" s="59">
        <v>2</v>
      </c>
      <c r="E605" s="91">
        <v>594</v>
      </c>
    </row>
    <row r="606" spans="1:5">
      <c r="A606" s="21">
        <f t="shared" si="17"/>
        <v>203</v>
      </c>
      <c r="B606" s="85" t="str">
        <f ca="1">IFERROR(__xludf.DUMMYFUNCTION("GOOGLETRANSLATE(B1278:B1293,""RU"",""UK"")"),"Свердло 28,5")</f>
        <v>Свердло 28,5</v>
      </c>
      <c r="C606" s="59" t="s">
        <v>6</v>
      </c>
      <c r="D606" s="59">
        <v>19</v>
      </c>
      <c r="E606" s="91">
        <v>594</v>
      </c>
    </row>
    <row r="607" spans="1:5">
      <c r="A607" s="21">
        <f t="shared" si="17"/>
        <v>204</v>
      </c>
      <c r="B607" s="85" t="str">
        <f ca="1">IFERROR(__xludf.DUMMYFUNCTION("GOOGLETRANSLATE(B1278:B1293,""RU"",""UK"")"),"Свердло 28,75")</f>
        <v>Свердло 28,75</v>
      </c>
      <c r="C607" s="59" t="s">
        <v>6</v>
      </c>
      <c r="D607" s="59">
        <v>16</v>
      </c>
      <c r="E607" s="91">
        <v>594</v>
      </c>
    </row>
    <row r="608" spans="1:5">
      <c r="A608" s="21">
        <f t="shared" si="17"/>
        <v>205</v>
      </c>
      <c r="B608" s="85" t="str">
        <f ca="1">IFERROR(__xludf.DUMMYFUNCTION("GOOGLETRANSLATE(B1279:B1294,""RU"",""UK"")"),"Свердло 29,0")</f>
        <v>Свердло 29,0</v>
      </c>
      <c r="C608" s="59" t="s">
        <v>6</v>
      </c>
      <c r="D608" s="59">
        <v>94</v>
      </c>
      <c r="E608" s="91">
        <v>594</v>
      </c>
    </row>
    <row r="609" spans="1:5">
      <c r="A609" s="21">
        <f t="shared" si="17"/>
        <v>206</v>
      </c>
      <c r="B609" s="85" t="str">
        <f ca="1">IFERROR(__xludf.DUMMYFUNCTION("GOOGLETRANSLATE(B1280:B1295,""RU"",""UK"")"),"Свердло 29,0 х400удл.")</f>
        <v>Свердло 29,0 х400удл.</v>
      </c>
      <c r="C609" s="59" t="s">
        <v>6</v>
      </c>
      <c r="D609" s="59">
        <v>1</v>
      </c>
      <c r="E609" s="91" t="s">
        <v>842</v>
      </c>
    </row>
    <row r="610" spans="1:5">
      <c r="A610" s="21">
        <f t="shared" si="17"/>
        <v>207</v>
      </c>
      <c r="B610" s="85" t="str">
        <f ca="1">IFERROR(__xludf.DUMMYFUNCTION("GOOGLETRANSLATE(B1281:B1296,""RU"",""UK"")"),"Свердло 29,25")</f>
        <v>Свердло 29,25</v>
      </c>
      <c r="C610" s="59" t="s">
        <v>6</v>
      </c>
      <c r="D610" s="59">
        <v>6</v>
      </c>
      <c r="E610" s="91">
        <v>600</v>
      </c>
    </row>
    <row r="611" spans="1:5">
      <c r="A611" s="21">
        <f t="shared" si="17"/>
        <v>208</v>
      </c>
      <c r="B611" s="85" t="str">
        <f ca="1">IFERROR(__xludf.DUMMYFUNCTION("GOOGLETRANSLATE(B1281:B1296,""RU"",""UK"")"),"Свердло 29.5")</f>
        <v>Свердло 29.5</v>
      </c>
      <c r="C611" s="59" t="s">
        <v>6</v>
      </c>
      <c r="D611" s="59">
        <v>2</v>
      </c>
      <c r="E611" s="91">
        <v>600</v>
      </c>
    </row>
    <row r="612" spans="1:5">
      <c r="A612" s="21">
        <f t="shared" si="17"/>
        <v>209</v>
      </c>
      <c r="B612" s="85" t="str">
        <f ca="1">IFERROR(__xludf.DUMMYFUNCTION("GOOGLETRANSLATE(B1282:B1297,""RU"",""UK"")"),"Свердло 30,0")</f>
        <v>Свердло 30,0</v>
      </c>
      <c r="C612" s="59" t="s">
        <v>6</v>
      </c>
      <c r="D612" s="59">
        <v>44</v>
      </c>
      <c r="E612" s="91" t="s">
        <v>27</v>
      </c>
    </row>
    <row r="613" spans="1:5">
      <c r="A613" s="21">
        <f t="shared" si="17"/>
        <v>210</v>
      </c>
      <c r="B613" s="85" t="str">
        <f ca="1">IFERROR(__xludf.DUMMYFUNCTION("GOOGLETRANSLATE(B1283:B1298,""RU"",""UK"")"),"Свердло 30,0х350удл.")</f>
        <v>Свердло 30,0х350удл.</v>
      </c>
      <c r="C613" s="59" t="s">
        <v>6</v>
      </c>
      <c r="D613" s="59">
        <v>38</v>
      </c>
      <c r="E613" s="91" t="s">
        <v>842</v>
      </c>
    </row>
    <row r="614" spans="1:5">
      <c r="A614" s="21">
        <f t="shared" si="17"/>
        <v>211</v>
      </c>
      <c r="B614" s="85" t="str">
        <f ca="1">IFERROR(__xludf.DUMMYFUNCTION("GOOGLETRANSLATE(B1283:B1298,""RU"",""UK"")"),"Свердло 30,0 х400 (250) удл.")</f>
        <v>Свердло 30,0 х400 (250) удл.</v>
      </c>
      <c r="C614" s="59" t="s">
        <v>6</v>
      </c>
      <c r="D614" s="59">
        <v>4</v>
      </c>
      <c r="E614" s="91" t="s">
        <v>842</v>
      </c>
    </row>
    <row r="615" spans="1:5">
      <c r="A615" s="21">
        <f t="shared" si="17"/>
        <v>212</v>
      </c>
      <c r="B615" s="85" t="str">
        <f ca="1">IFERROR(__xludf.DUMMYFUNCTION("GOOGLETRANSLATE(B1284:B1299,""RU"",""UK"")"),"Свердло 30,5")</f>
        <v>Свердло 30,5</v>
      </c>
      <c r="C615" s="59" t="s">
        <v>6</v>
      </c>
      <c r="D615" s="59">
        <v>12</v>
      </c>
      <c r="E615" s="91" t="s">
        <v>27</v>
      </c>
    </row>
    <row r="616" spans="1:5">
      <c r="A616" s="21">
        <f t="shared" si="17"/>
        <v>213</v>
      </c>
      <c r="B616" s="85" t="str">
        <f ca="1">IFERROR(__xludf.DUMMYFUNCTION("GOOGLETRANSLATE(B1284:B1299,""RU"",""UK"")"),"Свердло 30,5 мало вживане")</f>
        <v>Свердло 30,5 мало вживане</v>
      </c>
      <c r="C616" s="59" t="s">
        <v>6</v>
      </c>
      <c r="D616" s="59">
        <v>1</v>
      </c>
      <c r="E616" s="91">
        <v>350</v>
      </c>
    </row>
    <row r="617" spans="1:5">
      <c r="A617" s="21">
        <f t="shared" si="17"/>
        <v>214</v>
      </c>
      <c r="B617" s="85" t="str">
        <f ca="1">IFERROR(__xludf.DUMMYFUNCTION("GOOGLETRANSLATE(B1284:B1299,""RU"",""UK"")"),"Свердло 30,75")</f>
        <v>Свердло 30,75</v>
      </c>
      <c r="C617" s="59" t="s">
        <v>6</v>
      </c>
      <c r="D617" s="59">
        <v>16</v>
      </c>
      <c r="E617" s="91" t="s">
        <v>27</v>
      </c>
    </row>
    <row r="618" spans="1:5">
      <c r="A618" s="21">
        <f t="shared" si="17"/>
        <v>215</v>
      </c>
      <c r="B618" s="85" t="str">
        <f ca="1">IFERROR(__xludf.DUMMYFUNCTION("GOOGLETRANSLATE(B1285:B1300,""RU"",""UK"")"),"Свердло 31,0")</f>
        <v>Свердло 31,0</v>
      </c>
      <c r="C618" s="59" t="s">
        <v>6</v>
      </c>
      <c r="D618" s="59">
        <v>20</v>
      </c>
      <c r="E618" s="91" t="s">
        <v>27</v>
      </c>
    </row>
    <row r="619" spans="1:5">
      <c r="A619" s="21">
        <f t="shared" si="17"/>
        <v>216</v>
      </c>
      <c r="B619" s="85" t="str">
        <f ca="1">IFERROR(__xludf.DUMMYFUNCTION("GOOGLETRANSLATE(B1286:B1301,""RU"",""UK"")"),"Свердло 31,25")</f>
        <v>Свердло 31,25</v>
      </c>
      <c r="C619" s="59" t="s">
        <v>6</v>
      </c>
      <c r="D619" s="59">
        <v>14</v>
      </c>
      <c r="E619" s="91" t="s">
        <v>78</v>
      </c>
    </row>
    <row r="620" spans="1:5">
      <c r="A620" s="21">
        <f t="shared" si="17"/>
        <v>217</v>
      </c>
      <c r="B620" s="85" t="str">
        <f ca="1">IFERROR(__xludf.DUMMYFUNCTION("GOOGLETRANSLATE(B1286:B1301,""RU"",""UK"")"),"Свердло 31,5")</f>
        <v>Свердло 31,5</v>
      </c>
      <c r="C620" s="59" t="s">
        <v>6</v>
      </c>
      <c r="D620" s="59">
        <v>17</v>
      </c>
      <c r="E620" s="91">
        <v>640</v>
      </c>
    </row>
    <row r="621" spans="1:5">
      <c r="A621" s="21">
        <f t="shared" si="17"/>
        <v>218</v>
      </c>
      <c r="B621" s="85" t="str">
        <f ca="1">IFERROR(__xludf.DUMMYFUNCTION("GOOGLETRANSLATE(B1287:B1302,""RU"",""UK"")"),"Свердло 32,0 Р6М5 КМ4")</f>
        <v>Свердло 32,0 Р6М5 КМ4</v>
      </c>
      <c r="C621" s="59" t="s">
        <v>6</v>
      </c>
      <c r="D621" s="59">
        <v>5</v>
      </c>
      <c r="E621" s="91">
        <v>720</v>
      </c>
    </row>
    <row r="622" spans="1:5">
      <c r="A622" s="21">
        <f t="shared" si="17"/>
        <v>219</v>
      </c>
      <c r="B622" s="85" t="str">
        <f ca="1">IFERROR(__xludf.DUMMYFUNCTION("GOOGLETRANSLATE(B1289:B1304,""RU"",""UK"")"),"Свердло 32,25 Р6М5 КМ4")</f>
        <v>Свердло 32,25 Р6М5 КМ4</v>
      </c>
      <c r="C622" s="59" t="s">
        <v>6</v>
      </c>
      <c r="D622" s="59">
        <v>5</v>
      </c>
      <c r="E622" s="91">
        <v>720</v>
      </c>
    </row>
    <row r="623" spans="1:5">
      <c r="A623" s="21">
        <f t="shared" si="17"/>
        <v>220</v>
      </c>
      <c r="B623" s="85" t="str">
        <f ca="1">IFERROR(__xludf.DUMMYFUNCTION("GOOGLETRANSLATE(B1289:B1304,""RU"",""UK"")"),"Свердло 32,5 Р6М5 КМ4")</f>
        <v>Свердло 32,5 Р6М5 КМ4</v>
      </c>
      <c r="C623" s="59" t="s">
        <v>6</v>
      </c>
      <c r="D623" s="59">
        <v>7</v>
      </c>
      <c r="E623" s="91">
        <v>750</v>
      </c>
    </row>
    <row r="624" spans="1:5">
      <c r="A624" s="21">
        <f t="shared" si="17"/>
        <v>221</v>
      </c>
      <c r="B624" s="85" t="str">
        <f ca="1">IFERROR(__xludf.DUMMYFUNCTION("GOOGLETRANSLATE(B1288:B1303,""RU"",""UK"")"),"Свердло 32.5х400 Р6М5 КМ4")</f>
        <v>Свердло 32.5х400 Р6М5 КМ4</v>
      </c>
      <c r="C624" s="59" t="s">
        <v>6</v>
      </c>
      <c r="D624" s="59">
        <v>2</v>
      </c>
      <c r="E624" s="91" t="s">
        <v>33</v>
      </c>
    </row>
    <row r="625" spans="1:5">
      <c r="A625" s="21">
        <f t="shared" si="17"/>
        <v>222</v>
      </c>
      <c r="B625" s="85" t="s">
        <v>6395</v>
      </c>
      <c r="C625" s="59" t="s">
        <v>6</v>
      </c>
      <c r="D625" s="59">
        <v>1</v>
      </c>
      <c r="E625" s="91">
        <v>630</v>
      </c>
    </row>
    <row r="626" spans="1:5">
      <c r="A626" s="21">
        <f t="shared" si="17"/>
        <v>223</v>
      </c>
      <c r="B626" s="85" t="str">
        <f ca="1">IFERROR(__xludf.DUMMYFUNCTION("GOOGLETRANSLATE(B1290:B1305,""RU"",""UK"")"),"Свердло 33,0 Р6М5 КМ4")</f>
        <v>Свердло 33,0 Р6М5 КМ4</v>
      </c>
      <c r="C626" s="59" t="s">
        <v>6</v>
      </c>
      <c r="D626" s="59">
        <v>35</v>
      </c>
      <c r="E626" s="91">
        <v>750</v>
      </c>
    </row>
    <row r="627" spans="1:5">
      <c r="A627" s="21">
        <f t="shared" si="17"/>
        <v>224</v>
      </c>
      <c r="B627" s="85" t="str">
        <f ca="1">IFERROR(__xludf.DUMMYFUNCTION("GOOGLETRANSLATE(B1291:B1306,""RU"",""UK"")"),"Свердло 33,25")</f>
        <v>Свердло 33,25</v>
      </c>
      <c r="C627" s="59" t="s">
        <v>6</v>
      </c>
      <c r="D627" s="59">
        <v>7</v>
      </c>
      <c r="E627" s="91">
        <v>750</v>
      </c>
    </row>
    <row r="628" spans="1:5">
      <c r="A628" s="21">
        <f t="shared" si="17"/>
        <v>225</v>
      </c>
      <c r="B628" s="85" t="str">
        <f ca="1">IFERROR(__xludf.DUMMYFUNCTION("GOOGLETRANSLATE(B1291:B1306,""RU"",""UK"")"),"Свердло 33,5")</f>
        <v>Свердло 33,5</v>
      </c>
      <c r="C628" s="59" t="s">
        <v>6</v>
      </c>
      <c r="D628" s="59">
        <v>12</v>
      </c>
      <c r="E628" s="91">
        <v>750</v>
      </c>
    </row>
    <row r="629" spans="1:5">
      <c r="A629" s="21">
        <f t="shared" ref="A629" si="18">A628+1</f>
        <v>226</v>
      </c>
      <c r="B629" s="85" t="str">
        <f ca="1">IFERROR(__xludf.DUMMYFUNCTION("GOOGLETRANSLATE(B1292:B1307,""RU"",""UK"")"),"Свердло 33,5 х330удл.")</f>
        <v>Свердло 33,5 х330удл.</v>
      </c>
      <c r="C629" s="59" t="s">
        <v>6</v>
      </c>
      <c r="D629" s="59">
        <v>16</v>
      </c>
      <c r="E629" s="91" t="s">
        <v>33</v>
      </c>
    </row>
    <row r="630" spans="1:5">
      <c r="A630" s="21">
        <f t="shared" ref="A630:A714" si="19">A629+1</f>
        <v>227</v>
      </c>
      <c r="B630" s="85" t="str">
        <f ca="1">IFERROR(__xludf.DUMMYFUNCTION("GOOGLETRANSLATE(B1293:B1308,""RU"",""UK"")"),"Свердло 34,0 Р6М5 КМ4")</f>
        <v>Свердло 34,0 Р6М5 КМ4</v>
      </c>
      <c r="C630" s="59" t="s">
        <v>6</v>
      </c>
      <c r="D630" s="59">
        <v>9</v>
      </c>
      <c r="E630" s="91">
        <v>750</v>
      </c>
    </row>
    <row r="631" spans="1:5">
      <c r="A631" s="21">
        <f t="shared" si="19"/>
        <v>228</v>
      </c>
      <c r="B631" s="85" t="str">
        <f ca="1">IFERROR(__xludf.DUMMYFUNCTION("GOOGLETRANSLATE(B1293:B1308,""RU"",""UK"")"),"Свердло 34,5")</f>
        <v>Свердло 34,5</v>
      </c>
      <c r="C631" s="59" t="s">
        <v>6</v>
      </c>
      <c r="D631" s="59">
        <v>22</v>
      </c>
      <c r="E631" s="91">
        <v>750</v>
      </c>
    </row>
    <row r="632" spans="1:5">
      <c r="A632" s="21">
        <f t="shared" si="19"/>
        <v>229</v>
      </c>
      <c r="B632" s="85" t="str">
        <f ca="1">IFERROR(__xludf.DUMMYFUNCTION("GOOGLETRANSLATE(B1294:B1309,""RU"",""UK"")"),"Свердло 35,0")</f>
        <v>Свердло 35,0</v>
      </c>
      <c r="C632" s="59" t="s">
        <v>6</v>
      </c>
      <c r="D632" s="59">
        <v>4</v>
      </c>
      <c r="E632" s="91" t="s">
        <v>663</v>
      </c>
    </row>
    <row r="633" spans="1:5">
      <c r="A633" s="21">
        <f t="shared" si="19"/>
        <v>230</v>
      </c>
      <c r="B633" s="85" t="str">
        <f ca="1">IFERROR(__xludf.DUMMYFUNCTION("GOOGLETRANSLATE(B1294:B1309,""RU"",""UK"")"),"Свердло 35,0х330")</f>
        <v>Свердло 35,0х330</v>
      </c>
      <c r="C633" s="59" t="s">
        <v>6</v>
      </c>
      <c r="D633" s="59">
        <v>1</v>
      </c>
      <c r="E633" s="91">
        <v>750</v>
      </c>
    </row>
    <row r="634" spans="1:5">
      <c r="A634" s="21">
        <f t="shared" si="19"/>
        <v>231</v>
      </c>
      <c r="B634" s="85" t="str">
        <f ca="1">IFERROR(__xludf.DUMMYFUNCTION("GOOGLETRANSLATE(B1294:B1309,""RU"",""UK"")"),"Перо 35,0")</f>
        <v>Перо 35,0</v>
      </c>
      <c r="C634" s="59" t="s">
        <v>6</v>
      </c>
      <c r="D634" s="59">
        <v>1</v>
      </c>
      <c r="E634" s="91">
        <v>350</v>
      </c>
    </row>
    <row r="635" spans="1:5">
      <c r="A635" s="21">
        <f t="shared" si="19"/>
        <v>232</v>
      </c>
      <c r="B635" s="85" t="str">
        <f ca="1">IFERROR(__xludf.DUMMYFUNCTION("GOOGLETRANSLATE(B1295:B1310,""RU"",""UK"")"),"Свердло 35,5")</f>
        <v>Свердло 35,5</v>
      </c>
      <c r="C635" s="59" t="s">
        <v>6</v>
      </c>
      <c r="D635" s="59">
        <v>12</v>
      </c>
      <c r="E635" s="91">
        <v>750</v>
      </c>
    </row>
    <row r="636" spans="1:5">
      <c r="A636" s="21">
        <f t="shared" si="19"/>
        <v>233</v>
      </c>
      <c r="B636" s="85" t="str">
        <f ca="1">IFERROR(__xludf.DUMMYFUNCTION("GOOGLETRANSLATE(B1295:B1310,""RU"",""UK"")"),"Свердло 35,75")</f>
        <v>Свердло 35,75</v>
      </c>
      <c r="C636" s="59" t="s">
        <v>6</v>
      </c>
      <c r="D636" s="59">
        <v>5</v>
      </c>
      <c r="E636" s="91">
        <v>750</v>
      </c>
    </row>
    <row r="637" spans="1:5">
      <c r="A637" s="21">
        <f t="shared" si="19"/>
        <v>234</v>
      </c>
      <c r="B637" s="85" t="str">
        <f ca="1">IFERROR(__xludf.DUMMYFUNCTION("GOOGLETRANSLATE(B1296:B1311,""RU"",""UK"")"),"Свердло 35,75х400")</f>
        <v>Свердло 35,75х400</v>
      </c>
      <c r="C637" s="59" t="s">
        <v>6</v>
      </c>
      <c r="D637" s="59">
        <v>2</v>
      </c>
      <c r="E637" s="91" t="s">
        <v>100</v>
      </c>
    </row>
    <row r="638" spans="1:5">
      <c r="A638" s="21">
        <f t="shared" si="19"/>
        <v>235</v>
      </c>
      <c r="B638" s="85" t="str">
        <f ca="1">IFERROR(__xludf.DUMMYFUNCTION("GOOGLETRANSLATE(B1297:B1312,""RU"",""UK"")"),"Свердло 36,0")</f>
        <v>Свердло 36,0</v>
      </c>
      <c r="C638" s="59" t="s">
        <v>6</v>
      </c>
      <c r="D638" s="59">
        <v>7</v>
      </c>
      <c r="E638" s="91">
        <v>750</v>
      </c>
    </row>
    <row r="639" spans="1:5">
      <c r="A639" s="21">
        <f t="shared" si="19"/>
        <v>236</v>
      </c>
      <c r="B639" s="85" t="str">
        <f ca="1">IFERROR(__xludf.DUMMYFUNCTION("GOOGLETRANSLATE(B1297:B1312,""RU"",""UK"")"),"Свердло 36,0 мало вживане")</f>
        <v>Свердло 36,0 мало вживане</v>
      </c>
      <c r="C639" s="59" t="s">
        <v>6</v>
      </c>
      <c r="D639" s="59">
        <v>1</v>
      </c>
      <c r="E639" s="91">
        <v>450</v>
      </c>
    </row>
    <row r="640" spans="1:5">
      <c r="A640" s="21">
        <f t="shared" si="19"/>
        <v>237</v>
      </c>
      <c r="B640" s="85" t="str">
        <f ca="1">IFERROR(__xludf.DUMMYFUNCTION("GOOGLETRANSLATE(B1298:B1313,""RU"",""UK"")"),"Свердло 36,0х330удл.")</f>
        <v>Свердло 36,0х330удл.</v>
      </c>
      <c r="C640" s="59" t="s">
        <v>6</v>
      </c>
      <c r="D640" s="59">
        <v>1</v>
      </c>
      <c r="E640" s="91">
        <v>810</v>
      </c>
    </row>
    <row r="641" spans="1:5">
      <c r="A641" s="21">
        <f t="shared" si="19"/>
        <v>238</v>
      </c>
      <c r="B641" s="85" t="str">
        <f ca="1">IFERROR(__xludf.DUMMYFUNCTION("GOOGLETRANSLATE(B1298:B1313,""RU"",""UK"")"),"Свердло 36,0х400удл.")</f>
        <v>Свердло 36,0х400удл.</v>
      </c>
      <c r="C641" s="59" t="s">
        <v>6</v>
      </c>
      <c r="D641" s="59">
        <v>12</v>
      </c>
      <c r="E641" s="91" t="s">
        <v>283</v>
      </c>
    </row>
    <row r="642" spans="1:5">
      <c r="A642" s="21">
        <f t="shared" si="19"/>
        <v>239</v>
      </c>
      <c r="B642" s="85" t="str">
        <f ca="1">IFERROR(__xludf.DUMMYFUNCTION("GOOGLETRANSLATE(B1297:B1312,""RU"",""UK"")"),"Свердло 36,5")</f>
        <v>Свердло 36,5</v>
      </c>
      <c r="C642" s="59" t="s">
        <v>6</v>
      </c>
      <c r="D642" s="59">
        <v>15</v>
      </c>
      <c r="E642" s="91" t="s">
        <v>851</v>
      </c>
    </row>
    <row r="643" spans="1:5">
      <c r="A643" s="21">
        <f t="shared" si="19"/>
        <v>240</v>
      </c>
      <c r="B643" s="85" t="str">
        <f ca="1">IFERROR(__xludf.DUMMYFUNCTION("GOOGLETRANSLATE(B1298:B1313,""RU"",""UK"")"),"Свердло 36,5х400удл.")</f>
        <v>Свердло 36,5х400удл.</v>
      </c>
      <c r="C643" s="59" t="s">
        <v>6</v>
      </c>
      <c r="D643" s="59">
        <v>2</v>
      </c>
      <c r="E643" s="91" t="s">
        <v>283</v>
      </c>
    </row>
    <row r="644" spans="1:5">
      <c r="A644" s="21">
        <f t="shared" si="19"/>
        <v>241</v>
      </c>
      <c r="B644" s="85" t="str">
        <f ca="1">IFERROR(__xludf.DUMMYFUNCTION("GOOGLETRANSLATE(B1299:B1314,""RU"",""UK"")"),"Свердло 37,0")</f>
        <v>Свердло 37,0</v>
      </c>
      <c r="C644" s="59" t="s">
        <v>6</v>
      </c>
      <c r="D644" s="59">
        <v>18</v>
      </c>
      <c r="E644" s="91" t="s">
        <v>851</v>
      </c>
    </row>
    <row r="645" spans="1:5">
      <c r="A645" s="21">
        <f t="shared" si="19"/>
        <v>242</v>
      </c>
      <c r="B645" s="85" t="str">
        <f ca="1">IFERROR(__xludf.DUMMYFUNCTION("GOOGLETRANSLATE(B1299:B1314,""RU"",""UK"")"),"Свердло 37,5")</f>
        <v>Свердло 37,5</v>
      </c>
      <c r="C645" s="59" t="s">
        <v>6</v>
      </c>
      <c r="D645" s="59">
        <v>31</v>
      </c>
      <c r="E645" s="91" t="s">
        <v>851</v>
      </c>
    </row>
    <row r="646" spans="1:5">
      <c r="A646" s="21">
        <f t="shared" si="19"/>
        <v>243</v>
      </c>
      <c r="B646" s="85" t="str">
        <f ca="1">IFERROR(__xludf.DUMMYFUNCTION("GOOGLETRANSLATE(B1300:B1315,""RU"",""UK"")"),"Свердло 37,5 х400удл.")</f>
        <v>Свердло 37,5 х400удл.</v>
      </c>
      <c r="C646" s="59" t="s">
        <v>6</v>
      </c>
      <c r="D646" s="59">
        <v>2</v>
      </c>
      <c r="E646" s="91" t="s">
        <v>283</v>
      </c>
    </row>
    <row r="647" spans="1:5">
      <c r="A647" s="21">
        <f t="shared" si="19"/>
        <v>244</v>
      </c>
      <c r="B647" s="85" t="str">
        <f ca="1">IFERROR(__xludf.DUMMYFUNCTION("GOOGLETRANSLATE(B1301:B1316,""RU"",""UK"")"),"Свердло 38,0")</f>
        <v>Свердло 38,0</v>
      </c>
      <c r="C647" s="59" t="s">
        <v>6</v>
      </c>
      <c r="D647" s="59">
        <v>1</v>
      </c>
      <c r="E647" s="91">
        <v>750</v>
      </c>
    </row>
    <row r="648" spans="1:5">
      <c r="A648" s="21">
        <f t="shared" si="19"/>
        <v>245</v>
      </c>
      <c r="B648" s="85" t="str">
        <f ca="1">IFERROR(__xludf.DUMMYFUNCTION("GOOGLETRANSLATE(B1302:B1317,""RU"",""UK"")"),"Свердло 38,0 х400 (200) удл.")</f>
        <v>Свердло 38,0 х400 (200) удл.</v>
      </c>
      <c r="C648" s="59" t="s">
        <v>6</v>
      </c>
      <c r="D648" s="59">
        <v>9</v>
      </c>
      <c r="E648" s="91" t="s">
        <v>102</v>
      </c>
    </row>
    <row r="649" spans="1:5">
      <c r="A649" s="21">
        <f t="shared" si="19"/>
        <v>246</v>
      </c>
      <c r="B649" s="85" t="str">
        <f ca="1">IFERROR(__xludf.DUMMYFUNCTION("GOOGLETRANSLATE(B1301:B1316,""RU"",""UK"")"),"Свердло 38,5")</f>
        <v>Свердло 38,5</v>
      </c>
      <c r="C649" s="59" t="s">
        <v>6</v>
      </c>
      <c r="D649" s="59">
        <v>4</v>
      </c>
      <c r="E649" s="91">
        <v>750</v>
      </c>
    </row>
    <row r="650" spans="1:5">
      <c r="A650" s="21">
        <f t="shared" si="19"/>
        <v>247</v>
      </c>
      <c r="B650" s="85" t="str">
        <f ca="1">IFERROR(__xludf.DUMMYFUNCTION("GOOGLETRANSLATE(B1303:B1318,""RU"",""UK"")"),"Свердло 39,0")</f>
        <v>Свердло 39,0</v>
      </c>
      <c r="C650" s="59" t="s">
        <v>6</v>
      </c>
      <c r="D650" s="59">
        <v>4</v>
      </c>
      <c r="E650" s="91" t="s">
        <v>33</v>
      </c>
    </row>
    <row r="651" spans="1:5">
      <c r="A651" s="21">
        <f t="shared" si="19"/>
        <v>248</v>
      </c>
      <c r="B651" s="85" t="str">
        <f ca="1">IFERROR(__xludf.DUMMYFUNCTION("GOOGLETRANSLATE(B1303:B1318,""RU"",""UK"")"),"Свердло 39,25")</f>
        <v>Свердло 39,25</v>
      </c>
      <c r="C651" s="59" t="s">
        <v>6</v>
      </c>
      <c r="D651" s="59">
        <v>7</v>
      </c>
      <c r="E651" s="91" t="s">
        <v>33</v>
      </c>
    </row>
    <row r="652" spans="1:5">
      <c r="A652" s="21">
        <f t="shared" si="19"/>
        <v>249</v>
      </c>
      <c r="B652" s="85" t="str">
        <f ca="1">IFERROR(__xludf.DUMMYFUNCTION("GOOGLETRANSLATE(B1303:B1318,""RU"",""UK"")"),"Свердло 39,5")</f>
        <v>Свердло 39,5</v>
      </c>
      <c r="C652" s="59" t="s">
        <v>6</v>
      </c>
      <c r="D652" s="59">
        <v>9</v>
      </c>
      <c r="E652" s="91" t="s">
        <v>33</v>
      </c>
    </row>
    <row r="653" spans="1:5">
      <c r="A653" s="21">
        <f t="shared" si="19"/>
        <v>250</v>
      </c>
      <c r="B653" s="85" t="str">
        <f ca="1">IFERROR(__xludf.DUMMYFUNCTION("GOOGLETRANSLATE(B1304:B1319,""RU"",""UK"")"),"Свердло 40,0")</f>
        <v>Свердло 40,0</v>
      </c>
      <c r="C653" s="59" t="s">
        <v>6</v>
      </c>
      <c r="D653" s="59">
        <v>6</v>
      </c>
      <c r="E653" s="91" t="s">
        <v>1874</v>
      </c>
    </row>
    <row r="654" spans="1:5">
      <c r="A654" s="21">
        <f t="shared" si="19"/>
        <v>251</v>
      </c>
      <c r="B654" s="85" t="str">
        <f ca="1">IFERROR(__xludf.DUMMYFUNCTION("GOOGLETRANSLATE(B1305:B1320,""RU"",""UK"")"),"Свердло 40х400 (200)дов.")</f>
        <v>Свердло 40х400 (200)дов.</v>
      </c>
      <c r="C654" s="59" t="s">
        <v>6</v>
      </c>
      <c r="D654" s="59">
        <v>3</v>
      </c>
      <c r="E654" s="91" t="s">
        <v>1113</v>
      </c>
    </row>
    <row r="655" spans="1:5">
      <c r="A655" s="21">
        <f t="shared" si="19"/>
        <v>252</v>
      </c>
      <c r="B655" s="85" t="str">
        <f ca="1">IFERROR(__xludf.DUMMYFUNCTION("GOOGLETRANSLATE(B1305:B1320,""RU"",""UK"")"),"Свердло 40х400 (280)дов.")</f>
        <v>Свердло 40х400 (280)дов.</v>
      </c>
      <c r="C655" s="59" t="s">
        <v>6</v>
      </c>
      <c r="D655" s="59">
        <v>3</v>
      </c>
      <c r="E655" s="91" t="s">
        <v>1113</v>
      </c>
    </row>
    <row r="656" spans="1:5">
      <c r="A656" s="21">
        <f t="shared" si="19"/>
        <v>253</v>
      </c>
      <c r="B656" s="85" t="str">
        <f ca="1">IFERROR(__xludf.DUMMYFUNCTION("GOOGLETRANSLATE(B1304:B1319,""RU"",""UK"")"),"Свердло 40,5")</f>
        <v>Свердло 40,5</v>
      </c>
      <c r="C656" s="59" t="s">
        <v>6</v>
      </c>
      <c r="D656" s="59">
        <v>6</v>
      </c>
      <c r="E656" s="91" t="s">
        <v>1874</v>
      </c>
    </row>
    <row r="657" spans="1:5">
      <c r="A657" s="21">
        <f>A656+1</f>
        <v>254</v>
      </c>
      <c r="B657" s="85" t="str">
        <f ca="1">IFERROR(__xludf.DUMMYFUNCTION("GOOGLETRANSLATE(B1306:B1321,""RU"",""UK"")"),"Свердло 41,0")</f>
        <v>Свердло 41,0</v>
      </c>
      <c r="C657" s="59" t="s">
        <v>6</v>
      </c>
      <c r="D657" s="59">
        <v>6</v>
      </c>
      <c r="E657" s="91" t="s">
        <v>102</v>
      </c>
    </row>
    <row r="658" spans="1:5">
      <c r="A658" s="21">
        <f t="shared" si="19"/>
        <v>255</v>
      </c>
      <c r="B658" s="85" t="str">
        <f ca="1">IFERROR(__xludf.DUMMYFUNCTION("GOOGLETRANSLATE(B1306:B1321,""RU"",""UK"")"),"Свердло 41,25")</f>
        <v>Свердло 41,25</v>
      </c>
      <c r="C658" s="59" t="s">
        <v>6</v>
      </c>
      <c r="D658" s="59">
        <v>2</v>
      </c>
      <c r="E658" s="91" t="s">
        <v>102</v>
      </c>
    </row>
    <row r="659" spans="1:5">
      <c r="A659" s="21">
        <f t="shared" si="19"/>
        <v>256</v>
      </c>
      <c r="B659" s="85" t="str">
        <f ca="1">IFERROR(__xludf.DUMMYFUNCTION("GOOGLETRANSLATE(B1307:B1322,""RU"",""UK"")"),"Свердло 41,50")</f>
        <v>Свердло 41,50</v>
      </c>
      <c r="C659" s="59" t="s">
        <v>6</v>
      </c>
      <c r="D659" s="59">
        <v>15</v>
      </c>
      <c r="E659" s="91" t="s">
        <v>143</v>
      </c>
    </row>
    <row r="660" spans="1:5">
      <c r="A660" s="21">
        <f t="shared" si="19"/>
        <v>257</v>
      </c>
      <c r="B660" s="85" t="str">
        <f ca="1">IFERROR(__xludf.DUMMYFUNCTION("GOOGLETRANSLATE(B1307:B1322,""RU"",""UK"")"),"Свердло 42,0")</f>
        <v>Свердло 42,0</v>
      </c>
      <c r="C660" s="59" t="s">
        <v>6</v>
      </c>
      <c r="D660" s="59">
        <v>5</v>
      </c>
      <c r="E660" s="91" t="s">
        <v>143</v>
      </c>
    </row>
    <row r="661" spans="1:5">
      <c r="A661" s="21">
        <f t="shared" si="19"/>
        <v>258</v>
      </c>
      <c r="B661" s="85" t="str">
        <f ca="1">IFERROR(__xludf.DUMMYFUNCTION("GOOGLETRANSLATE(B1308:B1323,""RU"",""UK"")"),"Свердло 42х450")</f>
        <v>Свердло 42х450</v>
      </c>
      <c r="C661" s="59" t="s">
        <v>6</v>
      </c>
      <c r="D661" s="59">
        <v>3</v>
      </c>
      <c r="E661" s="91" t="s">
        <v>1088</v>
      </c>
    </row>
    <row r="662" spans="1:5">
      <c r="A662" s="21">
        <f t="shared" si="19"/>
        <v>259</v>
      </c>
      <c r="B662" s="85" t="str">
        <f ca="1">IFERROR(__xludf.DUMMYFUNCTION("GOOGLETRANSLATE(B1309:B1324,""RU"",""UK"")"),"Свердло 42,5")</f>
        <v>Свердло 42,5</v>
      </c>
      <c r="C662" s="59" t="s">
        <v>6</v>
      </c>
      <c r="D662" s="59">
        <v>1</v>
      </c>
      <c r="E662" s="91" t="s">
        <v>1086</v>
      </c>
    </row>
    <row r="663" spans="1:5">
      <c r="A663" s="21">
        <f t="shared" si="19"/>
        <v>260</v>
      </c>
      <c r="B663" s="85" t="str">
        <f ca="1">IFERROR(__xludf.DUMMYFUNCTION("GOOGLETRANSLATE(B1309:B1324,""RU"",""UK"")"),"Свердло 43,0")</f>
        <v>Свердло 43,0</v>
      </c>
      <c r="C663" s="59" t="s">
        <v>6</v>
      </c>
      <c r="D663" s="59">
        <v>13</v>
      </c>
      <c r="E663" s="91" t="s">
        <v>1086</v>
      </c>
    </row>
    <row r="664" spans="1:5">
      <c r="A664" s="21">
        <f t="shared" si="19"/>
        <v>261</v>
      </c>
      <c r="B664" s="85" t="str">
        <f ca="1">IFERROR(__xludf.DUMMYFUNCTION("GOOGLETRANSLATE(B1308:B1323,""RU"",""UK"")"),"Свердло 43х400довге")</f>
        <v>Свердло 43х400довге</v>
      </c>
      <c r="C664" s="59" t="s">
        <v>6</v>
      </c>
      <c r="D664" s="59">
        <v>10</v>
      </c>
      <c r="E664" s="91" t="s">
        <v>1088</v>
      </c>
    </row>
    <row r="665" spans="1:5">
      <c r="A665" s="21">
        <f t="shared" si="19"/>
        <v>262</v>
      </c>
      <c r="B665" s="85" t="str">
        <f ca="1">IFERROR(__xludf.DUMMYFUNCTION("GOOGLETRANSLATE(B1310:B1325,""RU"",""UK"")"),"Свердло 43,5")</f>
        <v>Свердло 43,5</v>
      </c>
      <c r="C665" s="59" t="s">
        <v>6</v>
      </c>
      <c r="D665" s="59">
        <v>3</v>
      </c>
      <c r="E665" s="91" t="s">
        <v>111</v>
      </c>
    </row>
    <row r="666" spans="1:5">
      <c r="A666" s="21">
        <f t="shared" si="19"/>
        <v>263</v>
      </c>
      <c r="B666" s="85" t="str">
        <f ca="1">IFERROR(__xludf.DUMMYFUNCTION("GOOGLETRANSLATE(B1310:B1325,""RU"",""UK"")"),"Свердло 44,0")</f>
        <v>Свердло 44,0</v>
      </c>
      <c r="C666" s="59" t="s">
        <v>6</v>
      </c>
      <c r="D666" s="59">
        <v>5</v>
      </c>
      <c r="E666" s="91" t="s">
        <v>111</v>
      </c>
    </row>
    <row r="667" spans="1:5">
      <c r="A667" s="21">
        <f t="shared" si="19"/>
        <v>264</v>
      </c>
      <c r="B667" s="85" t="str">
        <f ca="1">IFERROR(__xludf.DUMMYFUNCTION("GOOGLETRANSLATE(B1311:B1326,""RU"",""UK"")"),"Свердло 44,5удл")</f>
        <v>Свердло 44,5удл</v>
      </c>
      <c r="C667" s="59" t="s">
        <v>6</v>
      </c>
      <c r="D667" s="59">
        <v>1</v>
      </c>
      <c r="E667" s="91" t="s">
        <v>71</v>
      </c>
    </row>
    <row r="668" spans="1:5">
      <c r="A668" s="21">
        <f t="shared" si="19"/>
        <v>265</v>
      </c>
      <c r="B668" s="85" t="str">
        <f ca="1">IFERROR(__xludf.DUMMYFUNCTION("GOOGLETRANSLATE(B1312:B1327,""RU"",""UK"")"),"Свердло 44,5")</f>
        <v>Свердло 44,5</v>
      </c>
      <c r="C668" s="59" t="s">
        <v>6</v>
      </c>
      <c r="D668" s="59">
        <v>1</v>
      </c>
      <c r="E668" s="91" t="s">
        <v>80</v>
      </c>
    </row>
    <row r="669" spans="1:5">
      <c r="A669" s="21">
        <f t="shared" si="19"/>
        <v>266</v>
      </c>
      <c r="B669" s="85" t="str">
        <f ca="1">IFERROR(__xludf.DUMMYFUNCTION("GOOGLETRANSLATE(B1312:B1327,""RU"",""UK"")"),"Свердло 45,0")</f>
        <v>Свердло 45,0</v>
      </c>
      <c r="C669" s="59" t="s">
        <v>6</v>
      </c>
      <c r="D669" s="59">
        <v>0</v>
      </c>
      <c r="E669" s="91" t="s">
        <v>80</v>
      </c>
    </row>
    <row r="670" spans="1:5">
      <c r="A670" s="21">
        <f t="shared" si="19"/>
        <v>267</v>
      </c>
      <c r="B670" s="85" t="str">
        <f ca="1">IFERROR(__xludf.DUMMYFUNCTION("GOOGLETRANSLATE(B1313:B1328,""RU"",""UK"")"),"Свердло 45,0х400(220-240)удл")</f>
        <v>Свердло 45,0х400(220-240)удл</v>
      </c>
      <c r="C670" s="59" t="s">
        <v>6</v>
      </c>
      <c r="D670" s="59">
        <v>1</v>
      </c>
      <c r="E670" s="91" t="s">
        <v>71</v>
      </c>
    </row>
    <row r="671" spans="1:5">
      <c r="A671" s="21">
        <f t="shared" si="19"/>
        <v>268</v>
      </c>
      <c r="B671" s="85" t="str">
        <f ca="1">IFERROR(__xludf.DUMMYFUNCTION("GOOGLETRANSLATE(B1313:B1328,""RU"",""UK"")"),"Свердло 45,0х440(250)удл")</f>
        <v>Свердло 45,0х440(250)удл</v>
      </c>
      <c r="C671" s="59" t="s">
        <v>6</v>
      </c>
      <c r="D671" s="59">
        <v>1</v>
      </c>
      <c r="E671" s="91" t="s">
        <v>71</v>
      </c>
    </row>
    <row r="672" spans="1:5">
      <c r="A672" s="21">
        <f t="shared" si="19"/>
        <v>269</v>
      </c>
      <c r="B672" s="85" t="str">
        <f ca="1">IFERROR(__xludf.DUMMYFUNCTION("GOOGLETRANSLATE(B1314:B1329,""RU"",""UK"")"),"Свердло 45,5")</f>
        <v>Свердло 45,5</v>
      </c>
      <c r="C672" s="59" t="s">
        <v>6</v>
      </c>
      <c r="D672" s="59">
        <v>2</v>
      </c>
      <c r="E672" s="91" t="s">
        <v>80</v>
      </c>
    </row>
    <row r="673" spans="1:5">
      <c r="A673" s="21">
        <f t="shared" si="19"/>
        <v>270</v>
      </c>
      <c r="B673" s="85" t="str">
        <f ca="1">IFERROR(__xludf.DUMMYFUNCTION("GOOGLETRANSLATE(B1315:B1330,""RU"",""UK"")"),"Свердло 46,0")</f>
        <v>Свердло 46,0</v>
      </c>
      <c r="C673" s="59" t="s">
        <v>6</v>
      </c>
      <c r="D673" s="59">
        <v>5</v>
      </c>
      <c r="E673" s="91" t="s">
        <v>80</v>
      </c>
    </row>
    <row r="674" spans="1:5">
      <c r="A674" s="21">
        <f t="shared" si="19"/>
        <v>271</v>
      </c>
      <c r="B674" s="169" t="str">
        <f ca="1">IFERROR(__xludf.DUMMYFUNCTION("GOOGLETRANSLATE(B1315:B1330,""RU"",""UK"")"),"Свердло 47,0 ржаве")</f>
        <v>Свердло 47,0 ржаве</v>
      </c>
      <c r="C674" s="59" t="s">
        <v>6</v>
      </c>
      <c r="D674" s="59">
        <v>1</v>
      </c>
      <c r="E674" s="91">
        <v>600</v>
      </c>
    </row>
    <row r="675" spans="1:5">
      <c r="A675" s="21">
        <f t="shared" si="19"/>
        <v>272</v>
      </c>
      <c r="B675" s="85" t="str">
        <f ca="1">IFERROR(__xludf.DUMMYFUNCTION("GOOGLETRANSLATE(B1315:B1330,""RU"",""UK"")"),"Свердло 47,0 довг.")</f>
        <v>Свердло 47,0 довг.</v>
      </c>
      <c r="C675" s="59" t="s">
        <v>6</v>
      </c>
      <c r="D675" s="59">
        <v>1</v>
      </c>
      <c r="E675" s="91">
        <v>1500</v>
      </c>
    </row>
    <row r="676" spans="1:5">
      <c r="A676" s="21">
        <f t="shared" si="19"/>
        <v>273</v>
      </c>
      <c r="B676" s="85" t="str">
        <f ca="1">IFERROR(__xludf.DUMMYFUNCTION("GOOGLETRANSLATE(B1316:B1331,""RU"",""UK"")"),"Свердло 47,0 вживане")</f>
        <v>Свердло 47,0 вживане</v>
      </c>
      <c r="C676" s="59" t="s">
        <v>6</v>
      </c>
      <c r="D676" s="59">
        <v>1</v>
      </c>
      <c r="E676" s="91">
        <v>810</v>
      </c>
    </row>
    <row r="677" spans="1:5">
      <c r="A677" s="21">
        <f t="shared" si="19"/>
        <v>274</v>
      </c>
      <c r="B677" s="85" t="str">
        <f ca="1">IFERROR(__xludf.DUMMYFUNCTION("GOOGLETRANSLATE(B1315:B1330,""RU"",""UK"")"),"Свердло 47,5")</f>
        <v>Свердло 47,5</v>
      </c>
      <c r="C677" s="59" t="s">
        <v>6</v>
      </c>
      <c r="D677" s="59">
        <v>1</v>
      </c>
      <c r="E677" s="91">
        <v>1260</v>
      </c>
    </row>
    <row r="678" spans="1:5">
      <c r="A678" s="21">
        <f t="shared" si="19"/>
        <v>275</v>
      </c>
      <c r="B678" s="85" t="str">
        <f ca="1">IFERROR(__xludf.DUMMYFUNCTION("GOOGLETRANSLATE(B1317:B1332,""RU"",""UK"")"),"Свердло 48,0")</f>
        <v>Свердло 48,0</v>
      </c>
      <c r="C678" s="59" t="s">
        <v>6</v>
      </c>
      <c r="D678" s="59">
        <v>8</v>
      </c>
      <c r="E678" s="91" t="s">
        <v>1091</v>
      </c>
    </row>
    <row r="679" spans="1:5">
      <c r="A679" s="21">
        <f t="shared" si="19"/>
        <v>276</v>
      </c>
      <c r="B679" s="85" t="str">
        <f ca="1">IFERROR(__xludf.DUMMYFUNCTION("GOOGLETRANSLATE(B1316:B1331,""RU"",""UK"")"),"Свердло 48,0 вживане")</f>
        <v>Свердло 48,0 вживане</v>
      </c>
      <c r="C679" s="59" t="s">
        <v>6</v>
      </c>
      <c r="D679" s="59">
        <v>1</v>
      </c>
      <c r="E679" s="91" t="s">
        <v>100</v>
      </c>
    </row>
    <row r="680" spans="1:5">
      <c r="A680" s="21">
        <f t="shared" si="19"/>
        <v>277</v>
      </c>
      <c r="B680" s="85" t="str">
        <f ca="1">IFERROR(__xludf.DUMMYFUNCTION("GOOGLETRANSLATE(B1317:B1332,""RU"",""UK"")"),"Свердло 49,0")</f>
        <v>Свердло 49,0</v>
      </c>
      <c r="C680" s="59" t="s">
        <v>6</v>
      </c>
      <c r="D680" s="59">
        <v>2</v>
      </c>
      <c r="E680" s="91" t="s">
        <v>1091</v>
      </c>
    </row>
    <row r="681" spans="1:5">
      <c r="A681" s="21">
        <f t="shared" si="19"/>
        <v>278</v>
      </c>
      <c r="B681" s="85" t="str">
        <f ca="1">IFERROR(__xludf.DUMMYFUNCTION("GOOGLETRANSLATE(B1318:B1333,""RU"",""UK"")"),"Свердло 50.0 КМ4")</f>
        <v>Свердло 50.0 КМ4</v>
      </c>
      <c r="C681" s="59" t="s">
        <v>6</v>
      </c>
      <c r="D681" s="59">
        <v>5</v>
      </c>
      <c r="E681" s="91" t="s">
        <v>71</v>
      </c>
    </row>
    <row r="682" spans="1:5">
      <c r="A682" s="21">
        <f t="shared" si="19"/>
        <v>279</v>
      </c>
      <c r="B682" s="85" t="str">
        <f ca="1">IFERROR(__xludf.DUMMYFUNCTION("GOOGLETRANSLATE(B1319:B1334,""RU"",""UK"")"),"Свердло 50.0 легко вжив.")</f>
        <v>Свердло 50.0 легко вжив.</v>
      </c>
      <c r="C682" s="59" t="s">
        <v>6</v>
      </c>
      <c r="D682" s="59">
        <v>1</v>
      </c>
      <c r="E682" s="91" t="s">
        <v>102</v>
      </c>
    </row>
    <row r="683" spans="1:5">
      <c r="A683" s="21">
        <f t="shared" si="19"/>
        <v>280</v>
      </c>
      <c r="B683" s="85" t="str">
        <f ca="1">IFERROR(__xludf.DUMMYFUNCTION("GOOGLETRANSLATE(B1320:B1335,""RU"",""UK"")"),"Свердло 50,0х400(220)")</f>
        <v>Свердло 50,0х400(220)</v>
      </c>
      <c r="C683" s="59" t="s">
        <v>6</v>
      </c>
      <c r="D683" s="59">
        <v>4</v>
      </c>
      <c r="E683" s="91">
        <v>1800</v>
      </c>
    </row>
    <row r="684" spans="1:5">
      <c r="A684" s="21">
        <f>A683+1</f>
        <v>281</v>
      </c>
      <c r="B684" s="85" t="str">
        <f ca="1">IFERROR(__xludf.DUMMYFUNCTION("GOOGLETRANSLATE(B1321:B1336,""RU"",""UK"")"),"Свердло 50,5")</f>
        <v>Свердло 50,5</v>
      </c>
      <c r="C684" s="59" t="s">
        <v>6</v>
      </c>
      <c r="D684" s="59">
        <v>2</v>
      </c>
      <c r="E684" s="91" t="s">
        <v>71</v>
      </c>
    </row>
    <row r="685" spans="1:5">
      <c r="A685" s="21">
        <f t="shared" si="19"/>
        <v>282</v>
      </c>
      <c r="B685" s="85" t="str">
        <f ca="1">IFERROR(__xludf.DUMMYFUNCTION("GOOGLETRANSLATE(B1321:B1336,""RU"",""UK"")"),"Свердло 51.0")</f>
        <v>Свердло 51.0</v>
      </c>
      <c r="C685" s="59" t="s">
        <v>6</v>
      </c>
      <c r="D685" s="59">
        <v>3</v>
      </c>
      <c r="E685" s="91" t="s">
        <v>71</v>
      </c>
    </row>
    <row r="686" spans="1:5">
      <c r="A686" s="21">
        <f t="shared" si="19"/>
        <v>283</v>
      </c>
      <c r="B686" s="85" t="str">
        <f ca="1">IFERROR(__xludf.DUMMYFUNCTION("GOOGLETRANSLATE(B1322:B1337,""RU"",""UK"")"),"Свердло 52,0")</f>
        <v>Свердло 52,0</v>
      </c>
      <c r="C686" s="59" t="s">
        <v>6</v>
      </c>
      <c r="D686" s="59">
        <v>9</v>
      </c>
      <c r="E686" s="91" t="s">
        <v>1901</v>
      </c>
    </row>
    <row r="687" spans="1:5">
      <c r="A687" s="21">
        <f t="shared" si="19"/>
        <v>284</v>
      </c>
      <c r="B687" s="85" t="str">
        <f ca="1">IFERROR(__xludf.DUMMYFUNCTION("GOOGLETRANSLATE(B1323:B1338,""RU"",""UK"")"),"Свердло 52,0х400дл. ")</f>
        <v xml:space="preserve">Свердло 52,0х400дл. </v>
      </c>
      <c r="C687" s="59" t="s">
        <v>6</v>
      </c>
      <c r="D687" s="59">
        <v>7</v>
      </c>
      <c r="E687" s="91" t="s">
        <v>75</v>
      </c>
    </row>
    <row r="688" spans="1:5">
      <c r="A688" s="21">
        <f t="shared" si="19"/>
        <v>285</v>
      </c>
      <c r="B688" s="85" t="s">
        <v>6394</v>
      </c>
      <c r="C688" s="59" t="s">
        <v>6</v>
      </c>
      <c r="D688" s="59">
        <v>1</v>
      </c>
      <c r="E688" s="91">
        <v>1300</v>
      </c>
    </row>
    <row r="689" spans="1:5">
      <c r="A689" s="21">
        <f t="shared" si="19"/>
        <v>286</v>
      </c>
      <c r="B689" s="85" t="str">
        <f ca="1">IFERROR(__xludf.DUMMYFUNCTION("GOOGLETRANSLATE(B1322:B1337,""RU"",""UK"")"),"Свердло 53,0 КМ5")</f>
        <v>Свердло 53,0 КМ5</v>
      </c>
      <c r="C689" s="59" t="s">
        <v>6</v>
      </c>
      <c r="D689" s="59">
        <v>1</v>
      </c>
      <c r="E689" s="91" t="s">
        <v>1901</v>
      </c>
    </row>
    <row r="690" spans="1:5">
      <c r="A690" s="21">
        <f t="shared" si="19"/>
        <v>287</v>
      </c>
      <c r="B690" s="85" t="str">
        <f ca="1">IFERROR(__xludf.DUMMYFUNCTION("GOOGLETRANSLATE(B1323:B1338,""RU"",""UK"")"),"Свердло 53,0х 500(270) удл КМ5 вживане")</f>
        <v>Свердло 53,0х 500(270) удл КМ5 вживане</v>
      </c>
      <c r="C690" s="59" t="s">
        <v>6</v>
      </c>
      <c r="D690" s="59">
        <v>1</v>
      </c>
      <c r="E690" s="91">
        <v>1300</v>
      </c>
    </row>
    <row r="691" spans="1:5">
      <c r="A691" s="21">
        <f t="shared" si="19"/>
        <v>288</v>
      </c>
      <c r="B691" s="85" t="str">
        <f ca="1">IFERROR(__xludf.DUMMYFUNCTION("GOOGLETRANSLATE(B1323:B1338,""RU"",""UK"")"),"Свердло 53,0х 500(320) удл КМ5")</f>
        <v>Свердло 53,0х 500(320) удл КМ5</v>
      </c>
      <c r="C691" s="59" t="s">
        <v>6</v>
      </c>
      <c r="D691" s="59">
        <v>2</v>
      </c>
      <c r="E691" s="91" t="s">
        <v>75</v>
      </c>
    </row>
    <row r="692" spans="1:5">
      <c r="A692" s="21">
        <f t="shared" si="19"/>
        <v>289</v>
      </c>
      <c r="B692" s="85" t="str">
        <f ca="1">IFERROR(__xludf.DUMMYFUNCTION("GOOGLETRANSLATE(B1323:B1338,""RU"",""UK"")"),"Свердло 53,0 х650(350) удл. КМ5")</f>
        <v>Свердло 53,0 х650(350) удл. КМ5</v>
      </c>
      <c r="C692" s="59" t="s">
        <v>6</v>
      </c>
      <c r="D692" s="59">
        <v>1</v>
      </c>
      <c r="E692" s="91" t="s">
        <v>75</v>
      </c>
    </row>
    <row r="693" spans="1:5">
      <c r="A693" s="21">
        <f t="shared" si="19"/>
        <v>290</v>
      </c>
      <c r="B693" s="85" t="str">
        <f ca="1">IFERROR(__xludf.DUMMYFUNCTION("GOOGLETRANSLATE(B1322:B1337,""RU"",""UK"")"),"Свердло 53.5")</f>
        <v>Свердло 53.5</v>
      </c>
      <c r="C693" s="59" t="s">
        <v>6</v>
      </c>
      <c r="D693" s="59">
        <v>1</v>
      </c>
      <c r="E693" s="91" t="s">
        <v>1901</v>
      </c>
    </row>
    <row r="694" spans="1:5">
      <c r="A694" s="21">
        <f t="shared" si="19"/>
        <v>291</v>
      </c>
      <c r="B694" s="85" t="str">
        <f ca="1">IFERROR(__xludf.DUMMYFUNCTION("GOOGLETRANSLATE(B1324:B1339,""RU"",""UK"")"),"Свердло 54,0")</f>
        <v>Свердло 54,0</v>
      </c>
      <c r="C694" s="59" t="s">
        <v>6</v>
      </c>
      <c r="D694" s="59">
        <v>13</v>
      </c>
      <c r="E694" s="91" t="s">
        <v>75</v>
      </c>
    </row>
    <row r="695" spans="1:5">
      <c r="A695" s="21">
        <f t="shared" si="19"/>
        <v>292</v>
      </c>
      <c r="B695" s="85" t="str">
        <f ca="1">IFERROR(__xludf.DUMMYFUNCTION("GOOGLETRANSLATE(B1325:B1340,""RU"",""UK"")"),"Свердло 54,0х500 (280)дл.")</f>
        <v>Свердло 54,0х500 (280)дл.</v>
      </c>
      <c r="C695" s="59" t="s">
        <v>6</v>
      </c>
      <c r="D695" s="59">
        <v>3</v>
      </c>
      <c r="E695" s="91">
        <v>2400</v>
      </c>
    </row>
    <row r="696" spans="1:5">
      <c r="A696" s="21">
        <f t="shared" si="19"/>
        <v>293</v>
      </c>
      <c r="B696" s="164" t="str">
        <f ca="1">IFERROR(__xludf.DUMMYFUNCTION("GOOGLETRANSLATE(B1324:B1339,""RU"",""UK"")"),"Свердло 55,0")</f>
        <v>Свердло 55,0</v>
      </c>
      <c r="C696" s="59" t="s">
        <v>6</v>
      </c>
      <c r="D696" s="59">
        <v>0</v>
      </c>
      <c r="E696" s="91" t="s">
        <v>75</v>
      </c>
    </row>
    <row r="697" spans="1:5">
      <c r="A697" s="21">
        <f t="shared" si="19"/>
        <v>294</v>
      </c>
      <c r="B697" s="169" t="str">
        <f ca="1">IFERROR(__xludf.DUMMYFUNCTION("GOOGLETRANSLATE(B1325:B1340,""RU"",""UK"")"),"Свердло 55,0х500 (раб280мм) дл.КМ5")</f>
        <v>Свердло 55,0х500 (раб280мм) дл.КМ5</v>
      </c>
      <c r="C697" s="59" t="s">
        <v>6</v>
      </c>
      <c r="D697" s="59">
        <v>24</v>
      </c>
      <c r="E697" s="91">
        <v>2400</v>
      </c>
    </row>
    <row r="698" spans="1:5">
      <c r="A698" s="21">
        <f t="shared" si="19"/>
        <v>295</v>
      </c>
      <c r="B698" s="85" t="str">
        <f ca="1">IFERROR(__xludf.DUMMYFUNCTION("GOOGLETRANSLATE(B1326:B1341,""RU"",""UK"")"),"Свердло 56.0")</f>
        <v>Свердло 56.0</v>
      </c>
      <c r="C698" s="59" t="s">
        <v>6</v>
      </c>
      <c r="D698" s="59">
        <v>1</v>
      </c>
      <c r="E698" s="91" t="s">
        <v>1908</v>
      </c>
    </row>
    <row r="699" spans="1:5">
      <c r="A699" s="21">
        <f t="shared" si="19"/>
        <v>296</v>
      </c>
      <c r="B699" s="85" t="str">
        <f ca="1">IFERROR(__xludf.DUMMYFUNCTION("GOOGLETRANSLATE(B1326:B1341,""RU"",""UK"")"),"Свердло 57,0")</f>
        <v>Свердло 57,0</v>
      </c>
      <c r="C699" s="59" t="s">
        <v>6</v>
      </c>
      <c r="D699" s="59">
        <v>4</v>
      </c>
      <c r="E699" s="91" t="s">
        <v>1908</v>
      </c>
    </row>
    <row r="700" spans="1:5">
      <c r="A700" s="21">
        <f t="shared" si="19"/>
        <v>297</v>
      </c>
      <c r="B700" s="169" t="str">
        <f ca="1">IFERROR(__xludf.DUMMYFUNCTION("GOOGLETRANSLATE(B1326:B1341,""RU"",""UK"")"),"Свердло 58.0 КМ5 РЛ (є легка коррозія)")</f>
        <v>Свердло 58.0 КМ5 РЛ (є легка коррозія)</v>
      </c>
      <c r="C700" s="59" t="s">
        <v>6</v>
      </c>
      <c r="D700" s="59">
        <v>1</v>
      </c>
      <c r="E700" s="91">
        <v>2000</v>
      </c>
    </row>
    <row r="701" spans="1:5">
      <c r="A701" s="21">
        <f t="shared" si="19"/>
        <v>298</v>
      </c>
      <c r="B701" s="169" t="str">
        <f ca="1">IFERROR(__xludf.DUMMYFUNCTION("GOOGLETRANSLATE(B1326:B1341,""RU"",""UK"")"),"Свердло 58.0 КМ5 РЛ (вживане)")</f>
        <v>Свердло 58.0 КМ5 РЛ (вживане)</v>
      </c>
      <c r="C701" s="59" t="s">
        <v>6</v>
      </c>
      <c r="D701" s="59">
        <v>1</v>
      </c>
      <c r="E701" s="91">
        <v>1900</v>
      </c>
    </row>
    <row r="702" spans="1:5">
      <c r="A702" s="21">
        <f t="shared" si="19"/>
        <v>299</v>
      </c>
      <c r="B702" s="85" t="str">
        <f ca="1">IFERROR(__xludf.DUMMYFUNCTION("GOOGLETRANSLATE(B1327:B1342,""RU"",""UK"")"),"Свердло 60,0 КМ5")</f>
        <v>Свердло 60,0 КМ5</v>
      </c>
      <c r="C702" s="59" t="s">
        <v>6</v>
      </c>
      <c r="D702" s="59">
        <v>3</v>
      </c>
      <c r="E702" s="91" t="s">
        <v>1910</v>
      </c>
    </row>
    <row r="703" spans="1:5">
      <c r="A703" s="21">
        <f t="shared" si="19"/>
        <v>300</v>
      </c>
      <c r="B703" s="85" t="str">
        <f ca="1">IFERROR(__xludf.DUMMYFUNCTION("GOOGLETRANSLATE(B1327:B1342,""RU"",""UK"")"),"Свердло 60,0 КМ5 ступінчасте, переточене")</f>
        <v>Свердло 60,0 КМ5 ступінчасте, переточене</v>
      </c>
      <c r="C703" s="59" t="s">
        <v>6</v>
      </c>
      <c r="D703" s="59">
        <v>1</v>
      </c>
      <c r="E703" s="91">
        <v>3000</v>
      </c>
    </row>
    <row r="704" spans="1:5">
      <c r="A704" s="21">
        <f t="shared" si="19"/>
        <v>301</v>
      </c>
      <c r="B704" s="85" t="str">
        <f ca="1">IFERROR(__xludf.DUMMYFUNCTION("GOOGLETRANSLATE(B1328:B1343,""RU"",""UK"")"),"Свердло 60,0х470(270) КМ5")</f>
        <v>Свердло 60,0х470(270) КМ5</v>
      </c>
      <c r="C704" s="59" t="s">
        <v>6</v>
      </c>
      <c r="D704" s="59">
        <v>1</v>
      </c>
      <c r="E704" s="91" t="s">
        <v>84</v>
      </c>
    </row>
    <row r="705" spans="1:5">
      <c r="A705" s="21">
        <f t="shared" si="19"/>
        <v>302</v>
      </c>
      <c r="B705" s="169" t="str">
        <f ca="1">IFERROR(__xludf.DUMMYFUNCTION("GOOGLETRANSLATE(B1326:B1341,""RU"",""UK"")"),"Свердло 60.0 КМ5 РЛ1 (є заводський брак, щерблення)")</f>
        <v>Свердло 60.0 КМ5 РЛ1 (є заводський брак, щерблення)</v>
      </c>
      <c r="C705" s="59" t="s">
        <v>6</v>
      </c>
      <c r="D705" s="59">
        <v>1</v>
      </c>
      <c r="E705" s="91">
        <v>2000</v>
      </c>
    </row>
    <row r="706" spans="1:5">
      <c r="A706" s="21">
        <f t="shared" si="19"/>
        <v>303</v>
      </c>
      <c r="B706" s="164" t="str">
        <f ca="1">IFERROR(__xludf.DUMMYFUNCTION("GOOGLETRANSLATE(B1329:B1344,""RU"",""UK"")"),"Свердло 62,0")</f>
        <v>Свердло 62,0</v>
      </c>
      <c r="C706" s="59" t="s">
        <v>6</v>
      </c>
      <c r="D706" s="59">
        <v>0</v>
      </c>
      <c r="E706" s="91" t="s">
        <v>12</v>
      </c>
    </row>
    <row r="707" spans="1:5">
      <c r="A707" s="21">
        <f t="shared" si="19"/>
        <v>304</v>
      </c>
      <c r="B707" s="164" t="str">
        <f ca="1">IFERROR(__xludf.DUMMYFUNCTION("GOOGLETRANSLATE(B1330:B1345,""RU"",""UK"")"),"Свердло 65,0 КМ5")</f>
        <v>Свердло 65,0 КМ5</v>
      </c>
      <c r="C707" s="59" t="s">
        <v>6</v>
      </c>
      <c r="D707" s="59">
        <v>0</v>
      </c>
      <c r="E707" s="91" t="s">
        <v>14</v>
      </c>
    </row>
    <row r="708" spans="1:5">
      <c r="A708" s="21">
        <f t="shared" si="19"/>
        <v>305</v>
      </c>
      <c r="B708" s="85" t="str">
        <f ca="1">IFERROR(__xludf.DUMMYFUNCTION("GOOGLETRANSLATE(B1331:B1346,""RU"",""UK"")"),"Свердло кільцеве 66,0")</f>
        <v>Свердло кільцеве 66,0</v>
      </c>
      <c r="C708" s="59" t="s">
        <v>6</v>
      </c>
      <c r="D708" s="59">
        <v>1</v>
      </c>
      <c r="E708" s="91" t="s">
        <v>119</v>
      </c>
    </row>
    <row r="709" spans="1:5">
      <c r="A709" s="21">
        <f t="shared" si="19"/>
        <v>306</v>
      </c>
      <c r="B709" s="85" t="str">
        <f ca="1">IFERROR(__xludf.DUMMYFUNCTION("GOOGLETRANSLATE(B1332:B1347,""RU"",""UK"")"),"Свердло 68.0")</f>
        <v>Свердло 68.0</v>
      </c>
      <c r="C709" s="59" t="s">
        <v>6</v>
      </c>
      <c r="D709" s="59">
        <v>2</v>
      </c>
      <c r="E709" s="91" t="s">
        <v>50</v>
      </c>
    </row>
    <row r="710" spans="1:5">
      <c r="A710" s="21">
        <f t="shared" si="19"/>
        <v>307</v>
      </c>
      <c r="B710" s="164" t="str">
        <f ca="1">IFERROR(__xludf.DUMMYFUNCTION("GOOGLETRANSLATE(B1333:B1348,""RU"",""UK"")"),"Свердло 70,0 / 72,0")</f>
        <v>Свердло 70,0 / 72,0</v>
      </c>
      <c r="C710" s="59" t="s">
        <v>6</v>
      </c>
      <c r="D710" s="59">
        <v>0</v>
      </c>
      <c r="E710" s="91" t="s">
        <v>1917</v>
      </c>
    </row>
    <row r="711" spans="1:5">
      <c r="A711" s="21">
        <f t="shared" si="19"/>
        <v>308</v>
      </c>
      <c r="B711" s="85" t="str">
        <f ca="1">IFERROR(__xludf.DUMMYFUNCTION("GOOGLETRANSLATE(B1335:B1350,""RU"",""UK"")"),"Свердло 72,0 КМ5 вживане")</f>
        <v>Свердло 72,0 КМ5 вживане</v>
      </c>
      <c r="C711" s="59" t="s">
        <v>6</v>
      </c>
      <c r="D711" s="59">
        <v>1</v>
      </c>
      <c r="E711" s="91" t="s">
        <v>12</v>
      </c>
    </row>
    <row r="712" spans="1:5">
      <c r="A712" s="21">
        <f t="shared" si="19"/>
        <v>309</v>
      </c>
      <c r="B712" s="85" t="str">
        <f ca="1">IFERROR(__xludf.DUMMYFUNCTION("GOOGLETRANSLATE(B1336:B1351,""RU"",""UK"")"),"Свердло 78,0 КМ6 Р6М5К5")</f>
        <v>Свердло 78,0 КМ6 Р6М5К5</v>
      </c>
      <c r="C712" s="59" t="s">
        <v>6</v>
      </c>
      <c r="D712" s="59">
        <v>2</v>
      </c>
      <c r="E712" s="91" t="s">
        <v>59</v>
      </c>
    </row>
    <row r="713" spans="1:5">
      <c r="A713" s="21">
        <f t="shared" si="19"/>
        <v>310</v>
      </c>
      <c r="B713" s="85" t="str">
        <f ca="1">IFERROR(__xludf.DUMMYFUNCTION("GOOGLETRANSLATE(B1337:B1352,""RU"",""UK"")"),"Перо 76,0мм")</f>
        <v>Перо 76,0мм</v>
      </c>
      <c r="C713" s="59" t="s">
        <v>6</v>
      </c>
      <c r="D713" s="59">
        <v>1</v>
      </c>
      <c r="E713" s="91">
        <v>570</v>
      </c>
    </row>
    <row r="714" spans="1:5">
      <c r="A714" s="21">
        <f t="shared" si="19"/>
        <v>311</v>
      </c>
      <c r="B714" s="85" t="str">
        <f ca="1">IFERROR(__xludf.DUMMYFUNCTION("GOOGLETRANSLATE(B1338:B1353,""RU"",""UK"")"),"Свердло-зенкер комбінірів. D75xd28хL580(400)мм КМ5+зап.2шт (70 та 75мм)")</f>
        <v>Свердло-зенкер комбінірів. D75xd28хL580(400)мм КМ5+зап.2шт (70 та 75мм)</v>
      </c>
      <c r="C714" s="59" t="s">
        <v>6</v>
      </c>
      <c r="D714" s="59">
        <v>3</v>
      </c>
      <c r="E714" s="91" t="s">
        <v>10</v>
      </c>
    </row>
    <row r="715" spans="1:5">
      <c r="A715" s="43"/>
      <c r="B715" s="110" t="str">
        <f ca="1">IFERROR(__xludf.DUMMYFUNCTION("GOOGLETRANSLATE(B1339:B1354,""RU"",""UK"")"),"15. С В Е Р Д Л А  П І Д В И Щ Е Н Н О Ї  Т В Е Р Д О С Т І - ВК6М, ВК8, Р9, Р12, Р18")</f>
        <v>15. С В Е Р Д Л А  П І Д В И Щ Е Н Н О Ї  Т В Е Р Д О С Т І - ВК6М, ВК8, Р9, Р12, Р18</v>
      </c>
      <c r="C715" s="29"/>
      <c r="D715" s="29"/>
      <c r="E715" s="100"/>
    </row>
    <row r="716" spans="1:5">
      <c r="A716" s="21">
        <v>1</v>
      </c>
      <c r="B716" s="85" t="str">
        <f ca="1">IFERROR(__xludf.DUMMYFUNCTION("GOOGLETRANSLATE(B1340:B1355,""RU"",""UK"")"),"Свердло монолітне 0,6 ВК6-М")</f>
        <v>Свердло монолітне 0,6 ВК6-М</v>
      </c>
      <c r="C716" s="59" t="s">
        <v>6</v>
      </c>
      <c r="D716" s="59">
        <v>54</v>
      </c>
      <c r="E716" s="91" t="s">
        <v>132</v>
      </c>
    </row>
    <row r="717" spans="1:5">
      <c r="A717" s="21">
        <f>A716+1</f>
        <v>2</v>
      </c>
      <c r="B717" s="85" t="str">
        <f ca="1">IFERROR(__xludf.DUMMYFUNCTION("GOOGLETRANSLATE(B1340:B1355,""RU"",""UK"")"),"Свердло монолітне 0,75 ВК6-М")</f>
        <v>Свердло монолітне 0,75 ВК6-М</v>
      </c>
      <c r="C717" s="59" t="s">
        <v>6</v>
      </c>
      <c r="D717" s="59">
        <v>2</v>
      </c>
      <c r="E717" s="91" t="s">
        <v>132</v>
      </c>
    </row>
    <row r="718" spans="1:5">
      <c r="A718" s="21">
        <f t="shared" ref="A718:A786" si="20">A717+1</f>
        <v>3</v>
      </c>
      <c r="B718" s="85" t="str">
        <f ca="1">IFERROR(__xludf.DUMMYFUNCTION("GOOGLETRANSLATE(B1340:B1355,""RU"",""UK"")"),"Свердло монолітне 0,8 ВК6-М")</f>
        <v>Свердло монолітне 0,8 ВК6-М</v>
      </c>
      <c r="C718" s="59" t="s">
        <v>6</v>
      </c>
      <c r="D718" s="59">
        <v>40</v>
      </c>
      <c r="E718" s="91" t="s">
        <v>132</v>
      </c>
    </row>
    <row r="719" spans="1:5">
      <c r="A719" s="21">
        <f t="shared" si="20"/>
        <v>4</v>
      </c>
      <c r="B719" s="85" t="str">
        <f ca="1">IFERROR(__xludf.DUMMYFUNCTION("GOOGLETRANSLATE(B1341:B1356,""RU"",""UK"")"),"Свердло монолітне 0,9ВК6-М")</f>
        <v>Свердло монолітне 0,9ВК6-М</v>
      </c>
      <c r="C719" s="59" t="s">
        <v>6</v>
      </c>
      <c r="D719" s="59">
        <v>154</v>
      </c>
      <c r="E719" s="91" t="s">
        <v>1236</v>
      </c>
    </row>
    <row r="720" spans="1:5">
      <c r="A720" s="21">
        <f t="shared" si="20"/>
        <v>5</v>
      </c>
      <c r="B720" s="85" t="str">
        <f ca="1">IFERROR(__xludf.DUMMYFUNCTION("GOOGLETRANSLATE(B1341:B1356,""RU"",""UK"")"),"Свердло монолітне 0,95ВК6-М")</f>
        <v>Свердло монолітне 0,95ВК6-М</v>
      </c>
      <c r="C720" s="59" t="s">
        <v>6</v>
      </c>
      <c r="D720" s="59">
        <v>20</v>
      </c>
      <c r="E720" s="91" t="s">
        <v>1236</v>
      </c>
    </row>
    <row r="721" spans="1:5">
      <c r="A721" s="21">
        <f t="shared" si="20"/>
        <v>6</v>
      </c>
      <c r="B721" s="85" t="str">
        <f ca="1">IFERROR(__xludf.DUMMYFUNCTION("GOOGLETRANSLATE(B1341:B1356,""RU"",""UK"")"),"Свердло монолітне 1,0 ВК6-М")</f>
        <v>Свердло монолітне 1,0 ВК6-М</v>
      </c>
      <c r="C721" s="59" t="s">
        <v>6</v>
      </c>
      <c r="D721" s="59">
        <v>342</v>
      </c>
      <c r="E721" s="91" t="s">
        <v>1236</v>
      </c>
    </row>
    <row r="722" spans="1:5">
      <c r="A722" s="21">
        <f t="shared" si="20"/>
        <v>7</v>
      </c>
      <c r="B722" s="85" t="str">
        <f ca="1">IFERROR(__xludf.DUMMYFUNCTION("GOOGLETRANSLATE(B1342:B1357,""RU"",""UK"")"),"Свердло монолітне 1,1 ВК6-М")</f>
        <v>Свердло монолітне 1,1 ВК6-М</v>
      </c>
      <c r="C722" s="59" t="s">
        <v>6</v>
      </c>
      <c r="D722" s="59">
        <v>60</v>
      </c>
      <c r="E722" s="91" t="s">
        <v>1930</v>
      </c>
    </row>
    <row r="723" spans="1:5">
      <c r="A723" s="21">
        <f t="shared" si="20"/>
        <v>8</v>
      </c>
      <c r="B723" s="85" t="str">
        <f ca="1">IFERROR(__xludf.DUMMYFUNCTION("GOOGLETRANSLATE(B1342:B1357,""RU"",""UK"")"),"Свердло монолітне 1,2 ВК6-М")</f>
        <v>Свердло монолітне 1,2 ВК6-М</v>
      </c>
      <c r="C723" s="59" t="s">
        <v>6</v>
      </c>
      <c r="D723" s="59">
        <v>44</v>
      </c>
      <c r="E723" s="91" t="s">
        <v>1930</v>
      </c>
    </row>
    <row r="724" spans="1:5">
      <c r="A724" s="21">
        <f t="shared" si="20"/>
        <v>9</v>
      </c>
      <c r="B724" s="85" t="str">
        <f ca="1">IFERROR(__xludf.DUMMYFUNCTION("GOOGLETRANSLATE(B1343:B1358,""RU"",""UK"")"),"Свердло монолітне 1,3 ВК6-М")</f>
        <v>Свердло монолітне 1,3 ВК6-М</v>
      </c>
      <c r="C724" s="59" t="s">
        <v>6</v>
      </c>
      <c r="D724" s="59">
        <v>348</v>
      </c>
      <c r="E724" s="91" t="s">
        <v>1933</v>
      </c>
    </row>
    <row r="725" spans="1:5">
      <c r="A725" s="21">
        <f t="shared" si="20"/>
        <v>10</v>
      </c>
      <c r="B725" s="85" t="str">
        <f ca="1">IFERROR(__xludf.DUMMYFUNCTION("GOOGLETRANSLATE(B1343:B1358,""RU"",""UK"")"),"Свердло монолітне 1,4 ВК6-М")</f>
        <v>Свердло монолітне 1,4 ВК6-М</v>
      </c>
      <c r="C725" s="59" t="s">
        <v>6</v>
      </c>
      <c r="D725" s="59">
        <v>104</v>
      </c>
      <c r="E725" s="91" t="s">
        <v>1933</v>
      </c>
    </row>
    <row r="726" spans="1:5">
      <c r="A726" s="21">
        <f t="shared" si="20"/>
        <v>11</v>
      </c>
      <c r="B726" s="85" t="str">
        <f ca="1">IFERROR(__xludf.DUMMYFUNCTION("GOOGLETRANSLATE(B1344:B1359,""RU"",""UK"")"),"Свердло монолітне 1,5 ВК6-М")</f>
        <v>Свердло монолітне 1,5 ВК6-М</v>
      </c>
      <c r="C726" s="59" t="s">
        <v>6</v>
      </c>
      <c r="D726" s="59">
        <v>198</v>
      </c>
      <c r="E726" s="91" t="s">
        <v>1936</v>
      </c>
    </row>
    <row r="727" spans="1:5">
      <c r="A727" s="21">
        <f t="shared" si="20"/>
        <v>12</v>
      </c>
      <c r="B727" s="85" t="str">
        <f ca="1">IFERROR(__xludf.DUMMYFUNCTION("GOOGLETRANSLATE(B1344:B1359,""RU"",""UK"")"),"Свердло монолітне 1,6 ВК6-М")</f>
        <v>Свердло монолітне 1,6 ВК6-М</v>
      </c>
      <c r="C727" s="59" t="s">
        <v>6</v>
      </c>
      <c r="D727" s="59">
        <v>49</v>
      </c>
      <c r="E727" s="91" t="s">
        <v>1936</v>
      </c>
    </row>
    <row r="728" spans="1:5">
      <c r="A728" s="21">
        <f t="shared" si="20"/>
        <v>13</v>
      </c>
      <c r="B728" s="85" t="str">
        <f ca="1">IFERROR(__xludf.DUMMYFUNCTION("GOOGLETRANSLATE(B1345:B1360,""RU"",""UK"")"),"Свердло монолітне 1,7 ВК6-М")</f>
        <v>Свердло монолітне 1,7 ВК6-М</v>
      </c>
      <c r="C728" s="59" t="s">
        <v>6</v>
      </c>
      <c r="D728" s="59">
        <v>74</v>
      </c>
      <c r="E728" s="91" t="s">
        <v>1401</v>
      </c>
    </row>
    <row r="729" spans="1:5">
      <c r="A729" s="21">
        <f t="shared" si="20"/>
        <v>14</v>
      </c>
      <c r="B729" s="85" t="str">
        <f ca="1">IFERROR(__xludf.DUMMYFUNCTION("GOOGLETRANSLATE(B1345:B1360,""RU"",""UK"")"),"Свердло монолітне 1,9 ВК6-М")</f>
        <v>Свердло монолітне 1,9 ВК6-М</v>
      </c>
      <c r="C729" s="59" t="s">
        <v>6</v>
      </c>
      <c r="D729" s="59">
        <v>11</v>
      </c>
      <c r="E729" s="91" t="s">
        <v>1401</v>
      </c>
    </row>
    <row r="730" spans="1:5">
      <c r="A730" s="21">
        <f t="shared" si="20"/>
        <v>15</v>
      </c>
      <c r="B730" s="85" t="str">
        <f ca="1">IFERROR(__xludf.DUMMYFUNCTION("GOOGLETRANSLATE(B1346:B1361,""RU"",""UK"")"),"Свердло 1,9 Р18")</f>
        <v>Свердло 1,9 Р18</v>
      </c>
      <c r="C730" s="59" t="s">
        <v>6</v>
      </c>
      <c r="D730" s="59">
        <v>95</v>
      </c>
      <c r="E730" s="91" t="s">
        <v>361</v>
      </c>
    </row>
    <row r="731" spans="1:5">
      <c r="A731" s="21">
        <f t="shared" si="20"/>
        <v>16</v>
      </c>
      <c r="B731" s="85" t="str">
        <f ca="1">IFERROR(__xludf.DUMMYFUNCTION("GOOGLETRANSLATE(B1347:B1362,""RU"",""UK"")"),"Свердло монолітне 2,0ВК6-М Кл.")</f>
        <v>Свердло монолітне 2,0ВК6-М Кл.</v>
      </c>
      <c r="C731" s="59" t="s">
        <v>6</v>
      </c>
      <c r="D731" s="59">
        <v>30</v>
      </c>
      <c r="E731" s="91" t="s">
        <v>134</v>
      </c>
    </row>
    <row r="732" spans="1:5">
      <c r="A732" s="21">
        <f t="shared" si="20"/>
        <v>17</v>
      </c>
      <c r="B732" s="85" t="str">
        <f ca="1">IFERROR(__xludf.DUMMYFUNCTION("GOOGLETRANSLATE(B1348:B1363,""RU"",""UK"")"),"Свердло 2.9 Р18 удл.")</f>
        <v>Свердло 2.9 Р18 удл.</v>
      </c>
      <c r="C732" s="59" t="s">
        <v>6</v>
      </c>
      <c r="D732" s="59">
        <v>15</v>
      </c>
      <c r="E732" s="91" t="s">
        <v>134</v>
      </c>
    </row>
    <row r="733" spans="1:5">
      <c r="A733" s="21">
        <f t="shared" si="20"/>
        <v>18</v>
      </c>
      <c r="B733" s="85" t="str">
        <f ca="1">IFERROR(__xludf.DUMMYFUNCTION("GOOGLETRANSLATE(B1349:B1364,""RU"",""UK"")"),"Свердло монолітне 3,0 ВК6-М")</f>
        <v>Свердло монолітне 3,0 ВК6-М</v>
      </c>
      <c r="C733" s="59" t="s">
        <v>6</v>
      </c>
      <c r="D733" s="59">
        <v>31</v>
      </c>
      <c r="E733" s="91" t="s">
        <v>253</v>
      </c>
    </row>
    <row r="734" spans="1:5">
      <c r="A734" s="21">
        <f t="shared" si="20"/>
        <v>19</v>
      </c>
      <c r="B734" s="85" t="str">
        <f ca="1">IFERROR(__xludf.DUMMYFUNCTION("GOOGLETRANSLATE(B1350:B1365,""RU"",""UK"")"),"Свердло 3,0 Р18 удл (150храб.40мм)")</f>
        <v>Свердло 3,0 Р18 удл (150храб.40мм)</v>
      </c>
      <c r="C734" s="60" t="s">
        <v>6</v>
      </c>
      <c r="D734" s="60">
        <v>5</v>
      </c>
      <c r="E734" s="103" t="s">
        <v>366</v>
      </c>
    </row>
    <row r="735" spans="1:5">
      <c r="A735" s="21">
        <f t="shared" si="20"/>
        <v>20</v>
      </c>
      <c r="B735" s="85" t="str">
        <f ca="1">IFERROR(__xludf.DUMMYFUNCTION("GOOGLETRANSLATE(B1351:B1366,""RU"",""UK"")"),"Свердло 3,0Р18")</f>
        <v>Свердло 3,0Р18</v>
      </c>
      <c r="C735" s="60" t="s">
        <v>6</v>
      </c>
      <c r="D735" s="193">
        <v>10</v>
      </c>
      <c r="E735" s="103" t="s">
        <v>290</v>
      </c>
    </row>
    <row r="736" spans="1:5">
      <c r="A736" s="21">
        <f t="shared" si="20"/>
        <v>21</v>
      </c>
      <c r="B736" s="85" t="str">
        <f ca="1">IFERROR(__xludf.DUMMYFUNCTION("GOOGLETRANSLATE(B1351:B1366,""RU"",""UK"")"),"Свердло 3,2Р18")</f>
        <v>Свердло 3,2Р18</v>
      </c>
      <c r="C736" s="60" t="s">
        <v>6</v>
      </c>
      <c r="D736" s="193">
        <v>4</v>
      </c>
      <c r="E736" s="103" t="s">
        <v>290</v>
      </c>
    </row>
    <row r="737" spans="1:5">
      <c r="A737" s="21">
        <f t="shared" si="20"/>
        <v>22</v>
      </c>
      <c r="B737" s="85" t="str">
        <f ca="1">IFERROR(__xludf.DUMMYFUNCTION("GOOGLETRANSLATE(B1351:B1366,""RU"",""UK"")"),"Свердло 3,3Р18")</f>
        <v>Свердло 3,3Р18</v>
      </c>
      <c r="C737" s="60" t="s">
        <v>6</v>
      </c>
      <c r="D737" s="60">
        <v>5</v>
      </c>
      <c r="E737" s="103" t="s">
        <v>290</v>
      </c>
    </row>
    <row r="738" spans="1:5">
      <c r="A738" s="21">
        <f t="shared" si="20"/>
        <v>23</v>
      </c>
      <c r="B738" s="85" t="str">
        <f ca="1">IFERROR(__xludf.DUMMYFUNCTION("GOOGLETRANSLATE(B1352:B1367,""RU"",""UK"")"),"Свердло 3,3х100(60) Р18")</f>
        <v>Свердло 3,3х100(60) Р18</v>
      </c>
      <c r="C738" s="60" t="s">
        <v>6</v>
      </c>
      <c r="D738" s="60">
        <v>9</v>
      </c>
      <c r="E738" s="103" t="s">
        <v>292</v>
      </c>
    </row>
    <row r="739" spans="1:5">
      <c r="A739" s="21">
        <f t="shared" si="20"/>
        <v>24</v>
      </c>
      <c r="B739" s="85" t="str">
        <f ca="1">IFERROR(__xludf.DUMMYFUNCTION("GOOGLETRANSLATE(B1353:B1368,""RU"",""UK"")"),"Свердло 3,5 Р18")</f>
        <v>Свердло 3,5 Р18</v>
      </c>
      <c r="C739" s="60" t="s">
        <v>6</v>
      </c>
      <c r="D739" s="60">
        <v>13</v>
      </c>
      <c r="E739" s="103" t="s">
        <v>292</v>
      </c>
    </row>
    <row r="740" spans="1:5">
      <c r="A740" s="21">
        <f t="shared" si="20"/>
        <v>25</v>
      </c>
      <c r="B740" s="85" t="str">
        <f ca="1">IFERROR(__xludf.DUMMYFUNCTION("GOOGLETRANSLATE(B1354:B1369,""RU"",""UK"")"),"Свердло 4,0 Р18")</f>
        <v>Свердло 4,0 Р18</v>
      </c>
      <c r="C740" s="60" t="s">
        <v>6</v>
      </c>
      <c r="D740" s="60">
        <v>36</v>
      </c>
      <c r="E740" s="103" t="s">
        <v>366</v>
      </c>
    </row>
    <row r="741" spans="1:5">
      <c r="A741" s="21">
        <f t="shared" si="20"/>
        <v>26</v>
      </c>
      <c r="B741" s="85" t="str">
        <f ca="1">IFERROR(__xludf.DUMMYFUNCTION("GOOGLETRANSLATE(B1355:B1370,""RU"",""UK"")"),"Свердло 4,2 Р18")</f>
        <v>Свердло 4,2 Р18</v>
      </c>
      <c r="C741" s="60" t="s">
        <v>6</v>
      </c>
      <c r="D741" s="60">
        <v>68</v>
      </c>
      <c r="E741" s="103" t="s">
        <v>1950</v>
      </c>
    </row>
    <row r="742" spans="1:5">
      <c r="A742" s="21">
        <f t="shared" si="20"/>
        <v>27</v>
      </c>
      <c r="B742" s="85" t="str">
        <f ca="1">IFERROR(__xludf.DUMMYFUNCTION("GOOGLETRANSLATE(B1356:B1371,""RU"",""UK"")"),"Свердло монолітне 4,3 ВК8 (раб. 15мм)")</f>
        <v>Свердло монолітне 4,3 ВК8 (раб. 15мм)</v>
      </c>
      <c r="C742" s="59" t="s">
        <v>6</v>
      </c>
      <c r="D742" s="59">
        <v>2</v>
      </c>
      <c r="E742" s="91" t="s">
        <v>255</v>
      </c>
    </row>
    <row r="743" spans="1:5">
      <c r="A743" s="21">
        <f t="shared" si="20"/>
        <v>28</v>
      </c>
      <c r="B743" s="85" t="str">
        <f ca="1">IFERROR(__xludf.DUMMYFUNCTION("GOOGLETRANSLATE(B1357:B1372,""RU"",""UK"")"),"Свердло 4,5 Р18")</f>
        <v>Свердло 4,5 Р18</v>
      </c>
      <c r="C743" s="60" t="s">
        <v>6</v>
      </c>
      <c r="D743" s="60">
        <v>24</v>
      </c>
      <c r="E743" s="103" t="s">
        <v>366</v>
      </c>
    </row>
    <row r="744" spans="1:5">
      <c r="A744" s="21">
        <f t="shared" si="20"/>
        <v>29</v>
      </c>
      <c r="B744" s="85" t="str">
        <f ca="1">IFERROR(__xludf.DUMMYFUNCTION("GOOGLETRANSLATE(B1358:B1373,""RU"",""UK"")"),"Свердло 4.6 Р18 лев.")</f>
        <v>Свердло 4.6 Р18 лев.</v>
      </c>
      <c r="C744" s="59" t="s">
        <v>6</v>
      </c>
      <c r="D744" s="59">
        <v>4</v>
      </c>
      <c r="E744" s="91" t="s">
        <v>1077</v>
      </c>
    </row>
    <row r="745" spans="1:5">
      <c r="A745" s="21">
        <f t="shared" si="20"/>
        <v>30</v>
      </c>
      <c r="B745" s="85" t="str">
        <f ca="1">IFERROR(__xludf.DUMMYFUNCTION("GOOGLETRANSLATE(B1359:B1374,""RU"",""UK"")"),"Свердло 4.8 Р18")</f>
        <v>Свердло 4.8 Р18</v>
      </c>
      <c r="C745" s="59" t="s">
        <v>6</v>
      </c>
      <c r="D745" s="59">
        <v>11</v>
      </c>
      <c r="E745" s="91" t="s">
        <v>1077</v>
      </c>
    </row>
    <row r="746" spans="1:5">
      <c r="A746" s="21">
        <f t="shared" si="20"/>
        <v>31</v>
      </c>
      <c r="B746" s="85" t="str">
        <f ca="1">IFERROR(__xludf.DUMMYFUNCTION("GOOGLETRANSLATE(B1360:B1375,""RU"",""UK"")"),"Свердло коніч. 5,0х60 (1:50) Р18")</f>
        <v>Свердло коніч. 5,0х60 (1:50) Р18</v>
      </c>
      <c r="C746" s="59" t="s">
        <v>6</v>
      </c>
      <c r="D746" s="59">
        <v>5</v>
      </c>
      <c r="E746" s="91" t="s">
        <v>255</v>
      </c>
    </row>
    <row r="747" spans="1:5">
      <c r="A747" s="21">
        <f t="shared" si="20"/>
        <v>32</v>
      </c>
      <c r="B747" s="85" t="str">
        <f ca="1">IFERROR(__xludf.DUMMYFUNCTION("GOOGLETRANSLATE(B1361:B1376,""RU"",""UK"")"),"Свердло 5,0 Р18")</f>
        <v>Свердло 5,0 Р18</v>
      </c>
      <c r="C747" s="60" t="s">
        <v>6</v>
      </c>
      <c r="D747" s="60">
        <v>1</v>
      </c>
      <c r="E747" s="103" t="s">
        <v>253</v>
      </c>
    </row>
    <row r="748" spans="1:5">
      <c r="A748" s="21">
        <f t="shared" si="20"/>
        <v>33</v>
      </c>
      <c r="B748" s="85" t="str">
        <f ca="1">IFERROR(__xludf.DUMMYFUNCTION("GOOGLETRANSLATE(B1362:B1377,""RU"",""UK"")"),"Свердло 5,2 Р18")</f>
        <v>Свердло 5,2 Р18</v>
      </c>
      <c r="C748" s="60" t="s">
        <v>6</v>
      </c>
      <c r="D748" s="60">
        <v>2</v>
      </c>
      <c r="E748" s="103" t="s">
        <v>253</v>
      </c>
    </row>
    <row r="749" spans="1:5">
      <c r="A749" s="21">
        <f t="shared" si="20"/>
        <v>34</v>
      </c>
      <c r="B749" s="85" t="str">
        <f ca="1">IFERROR(__xludf.DUMMYFUNCTION("GOOGLETRANSLATE(B1363:B1378,""RU"",""UK"")"),"Свердло 5,5 Р18")</f>
        <v>Свердло 5,5 Р18</v>
      </c>
      <c r="C749" s="37" t="s">
        <v>6</v>
      </c>
      <c r="D749" s="37">
        <v>1</v>
      </c>
      <c r="E749" s="92" t="s">
        <v>201</v>
      </c>
    </row>
    <row r="750" spans="1:5">
      <c r="A750" s="21">
        <f t="shared" si="20"/>
        <v>35</v>
      </c>
      <c r="B750" s="85" t="str">
        <f ca="1">IFERROR(__xludf.DUMMYFUNCTION("GOOGLETRANSLATE(B1364:B1379,""RU"",""UK"")"),"Свердло 6,0 Р18")</f>
        <v>Свердло 6,0 Р18</v>
      </c>
      <c r="C750" s="60" t="s">
        <v>6</v>
      </c>
      <c r="D750" s="60">
        <v>18</v>
      </c>
      <c r="E750" s="103" t="s">
        <v>596</v>
      </c>
    </row>
    <row r="751" spans="1:5">
      <c r="A751" s="21">
        <f t="shared" si="20"/>
        <v>36</v>
      </c>
      <c r="B751" s="85" t="str">
        <f ca="1">IFERROR(__xludf.DUMMYFUNCTION("GOOGLETRANSLATE(B1365:B1380,""RU"",""UK"")"),"Свердло 6.2 Р18 лев.")</f>
        <v>Свердло 6.2 Р18 лев.</v>
      </c>
      <c r="C751" s="59" t="s">
        <v>6</v>
      </c>
      <c r="D751" s="59">
        <v>9</v>
      </c>
      <c r="E751" s="91" t="s">
        <v>304</v>
      </c>
    </row>
    <row r="752" spans="1:5">
      <c r="A752" s="21">
        <f t="shared" si="20"/>
        <v>37</v>
      </c>
      <c r="B752" s="85" t="str">
        <f ca="1">IFERROR(__xludf.DUMMYFUNCTION("GOOGLETRANSLATE(B1366:B1381,""RU"",""UK"")"),"Свердло 6,3Р18/6,5Р6М5К5")</f>
        <v>Свердло 6,3Р18/6,5Р6М5К5</v>
      </c>
      <c r="C752" s="59" t="s">
        <v>6</v>
      </c>
      <c r="D752" s="59" t="s">
        <v>749</v>
      </c>
      <c r="E752" s="91" t="s">
        <v>253</v>
      </c>
    </row>
    <row r="753" spans="1:5">
      <c r="A753" s="21">
        <f t="shared" si="20"/>
        <v>38</v>
      </c>
      <c r="B753" s="85" t="str">
        <f ca="1">IFERROR(__xludf.DUMMYFUNCTION("GOOGLETRANSLATE(B1367:B1382,""RU"",""UK"")"),"Свердло 6,5 к/хв Р18")</f>
        <v>Свердло 6,5 к/хв Р18</v>
      </c>
      <c r="C753" s="59" t="s">
        <v>6</v>
      </c>
      <c r="D753" s="59">
        <v>22</v>
      </c>
      <c r="E753" s="91" t="s">
        <v>185</v>
      </c>
    </row>
    <row r="754" spans="1:5">
      <c r="A754" s="21">
        <f t="shared" si="20"/>
        <v>39</v>
      </c>
      <c r="B754" s="85" t="str">
        <f ca="1">IFERROR(__xludf.DUMMYFUNCTION("GOOGLETRANSLATE(B1368:B1383,""RU"",""UK"")"),"Свердло 6,5х150ц/хв Р18")</f>
        <v>Свердло 6,5х150ц/хв Р18</v>
      </c>
      <c r="C754" s="59" t="s">
        <v>6</v>
      </c>
      <c r="D754" s="59">
        <v>154</v>
      </c>
      <c r="E754" s="91" t="s">
        <v>212</v>
      </c>
    </row>
    <row r="755" spans="1:5">
      <c r="A755" s="21">
        <f t="shared" si="20"/>
        <v>40</v>
      </c>
      <c r="B755" s="85" t="str">
        <f ca="1">IFERROR(__xludf.DUMMYFUNCTION("GOOGLETRANSLATE(B1369:B1384,""RU"",""UK"")"),"Свердло 6,7х150ц/хв Р18")</f>
        <v>Свердло 6,7х150ц/хв Р18</v>
      </c>
      <c r="C755" s="59" t="s">
        <v>6</v>
      </c>
      <c r="D755" s="59">
        <v>9</v>
      </c>
      <c r="E755" s="91" t="s">
        <v>212</v>
      </c>
    </row>
    <row r="756" spans="1:5">
      <c r="A756" s="21">
        <f t="shared" si="20"/>
        <v>41</v>
      </c>
      <c r="B756" s="85" t="str">
        <f ca="1">IFERROR(__xludf.DUMMYFUNCTION("GOOGLETRANSLATE(B1369:B1384,""RU"",""UK"")"),"Свердло 6,7х300ц/хв Р18")</f>
        <v>Свердло 6,7х300ц/хв Р18</v>
      </c>
      <c r="C756" s="59" t="s">
        <v>6</v>
      </c>
      <c r="D756" s="59">
        <v>1</v>
      </c>
      <c r="E756" s="91">
        <v>108</v>
      </c>
    </row>
    <row r="757" spans="1:5">
      <c r="A757" s="21">
        <f t="shared" si="20"/>
        <v>42</v>
      </c>
      <c r="B757" s="85" t="str">
        <f ca="1">IFERROR(__xludf.DUMMYFUNCTION("GOOGLETRANSLATE(B1370:B1385,""RU"",""UK"")"),"Свердло 6,9ц/хв Р12")</f>
        <v>Свердло 6,9ц/хв Р12</v>
      </c>
      <c r="C757" s="59" t="s">
        <v>6</v>
      </c>
      <c r="D757" s="59">
        <v>1</v>
      </c>
      <c r="E757" s="91" t="s">
        <v>183</v>
      </c>
    </row>
    <row r="758" spans="1:5">
      <c r="A758" s="21">
        <f t="shared" si="20"/>
        <v>43</v>
      </c>
      <c r="B758" s="85" t="str">
        <f ca="1">IFERROR(__xludf.DUMMYFUNCTION("GOOGLETRANSLATE(B1371:B1386,""RU"",""UK"")"),"Свердло 7,0 Р18")</f>
        <v>Свердло 7,0 Р18</v>
      </c>
      <c r="C758" s="60" t="s">
        <v>6</v>
      </c>
      <c r="D758" s="60">
        <v>18</v>
      </c>
      <c r="E758" s="103" t="s">
        <v>1967</v>
      </c>
    </row>
    <row r="759" spans="1:5">
      <c r="A759" s="21">
        <f t="shared" si="20"/>
        <v>44</v>
      </c>
      <c r="B759" s="85" t="str">
        <f ca="1">IFERROR(__xludf.DUMMYFUNCTION("GOOGLETRANSLATE(B1372:B1387,""RU"",""UK"")"),"Свердло 7,0 к/хв Р9")</f>
        <v>Свердло 7,0 к/хв Р9</v>
      </c>
      <c r="C759" s="59" t="s">
        <v>6</v>
      </c>
      <c r="D759" s="59">
        <v>10</v>
      </c>
      <c r="E759" s="91" t="s">
        <v>1518</v>
      </c>
    </row>
    <row r="760" spans="1:5">
      <c r="A760" s="21">
        <f t="shared" si="20"/>
        <v>45</v>
      </c>
      <c r="B760" s="85" t="str">
        <f ca="1">IFERROR(__xludf.DUMMYFUNCTION("GOOGLETRANSLATE(B1373:B1388,""RU"",""UK"")"),"Свердло 7,1 ц/хв Р18")</f>
        <v>Свердло 7,1 ц/хв Р18</v>
      </c>
      <c r="C760" s="59" t="s">
        <v>6</v>
      </c>
      <c r="D760" s="59">
        <v>6</v>
      </c>
      <c r="E760" s="91" t="s">
        <v>183</v>
      </c>
    </row>
    <row r="761" spans="1:5">
      <c r="A761" s="21">
        <f t="shared" si="20"/>
        <v>46</v>
      </c>
      <c r="B761" s="85" t="str">
        <f ca="1">IFERROR(__xludf.DUMMYFUNCTION("GOOGLETRANSLATE(B1373:B1388,""RU"",""UK"")"),"Свердло 7,2 ц/хв Р12 ц/хв")</f>
        <v>Свердло 7,2 ц/хв Р12 ц/хв</v>
      </c>
      <c r="C761" s="59" t="s">
        <v>6</v>
      </c>
      <c r="D761" s="59">
        <v>1</v>
      </c>
      <c r="E761" s="91" t="s">
        <v>183</v>
      </c>
    </row>
    <row r="762" spans="1:5">
      <c r="A762" s="21">
        <f t="shared" si="20"/>
        <v>47</v>
      </c>
      <c r="B762" s="85" t="str">
        <f ca="1">IFERROR(__xludf.DUMMYFUNCTION("GOOGLETRANSLATE(B1374:B1389,""RU"",""UK"")"),"Свердло 7,3 ц/хв Р18")</f>
        <v>Свердло 7,3 ц/хв Р18</v>
      </c>
      <c r="C762" s="59" t="s">
        <v>6</v>
      </c>
      <c r="D762" s="59">
        <v>9</v>
      </c>
      <c r="E762" s="91" t="s">
        <v>183</v>
      </c>
    </row>
    <row r="763" spans="1:5">
      <c r="A763" s="21">
        <f t="shared" si="20"/>
        <v>48</v>
      </c>
      <c r="B763" s="85" t="str">
        <f ca="1">IFERROR(__xludf.DUMMYFUNCTION("GOOGLETRANSLATE(B1375:B1390,""RU"",""UK"")"),"Свердло 7,3 ц/хв Р18 лев.")</f>
        <v>Свердло 7,3 ц/хв Р18 лев.</v>
      </c>
      <c r="C763" s="59" t="s">
        <v>6</v>
      </c>
      <c r="D763" s="59">
        <v>210</v>
      </c>
      <c r="E763" s="91" t="s">
        <v>183</v>
      </c>
    </row>
    <row r="764" spans="1:5">
      <c r="A764" s="21">
        <f t="shared" si="20"/>
        <v>49</v>
      </c>
      <c r="B764" s="85" t="str">
        <f ca="1">IFERROR(__xludf.DUMMYFUNCTION("GOOGLETRANSLATE(B1376:B1391,""RU"",""UK"")"),"Свердло 7,6 ц/хв ВК8")</f>
        <v>Свердло 7,6 ц/хв ВК8</v>
      </c>
      <c r="C764" s="59" t="s">
        <v>6</v>
      </c>
      <c r="D764" s="59">
        <v>4</v>
      </c>
      <c r="E764" s="91" t="s">
        <v>564</v>
      </c>
    </row>
    <row r="765" spans="1:5">
      <c r="A765" s="21">
        <f t="shared" si="20"/>
        <v>50</v>
      </c>
      <c r="B765" s="85" t="str">
        <f ca="1">IFERROR(__xludf.DUMMYFUNCTION("GOOGLETRANSLATE(B1377:B1392,""RU"",""UK"")"),"Свердло 7,7 ц/хв Р18")</f>
        <v>Свердло 7,7 ц/хв Р18</v>
      </c>
      <c r="C765" s="59" t="s">
        <v>6</v>
      </c>
      <c r="D765" s="59">
        <v>37</v>
      </c>
      <c r="E765" s="91" t="s">
        <v>371</v>
      </c>
    </row>
    <row r="766" spans="1:5">
      <c r="A766" s="21">
        <f t="shared" si="20"/>
        <v>51</v>
      </c>
      <c r="B766" s="85" t="str">
        <f ca="1">IFERROR(__xludf.DUMMYFUNCTION("GOOGLETRANSLATE(B1378:B1393,""RU"",""UK"")"),"Свердло 7,7х150ц/хв Р18")</f>
        <v>Свердло 7,7х150ц/хв Р18</v>
      </c>
      <c r="C766" s="59" t="s">
        <v>6</v>
      </c>
      <c r="D766" s="59">
        <v>2</v>
      </c>
      <c r="E766" s="91">
        <v>120</v>
      </c>
    </row>
    <row r="767" spans="1:5">
      <c r="A767" s="21">
        <f t="shared" si="20"/>
        <v>52</v>
      </c>
      <c r="B767" s="85" t="str">
        <f ca="1">IFERROR(__xludf.DUMMYFUNCTION("GOOGLETRANSLATE(B1379:B1394,""RU"",""UK"")"),"Свердло 7,8 Р18ц/хв лев.")</f>
        <v>Свердло 7,8 Р18ц/хв лев.</v>
      </c>
      <c r="C767" s="59" t="s">
        <v>6</v>
      </c>
      <c r="D767" s="59">
        <v>100</v>
      </c>
      <c r="E767" s="91" t="s">
        <v>104</v>
      </c>
    </row>
    <row r="768" spans="1:5">
      <c r="A768" s="21">
        <f t="shared" si="20"/>
        <v>53</v>
      </c>
      <c r="B768" s="85" t="str">
        <f ca="1">IFERROR(__xludf.DUMMYFUNCTION("GOOGLETRANSLATE(B1379:B1394,""RU"",""UK"")"),"Свердло 7,9 Р18ц/хв лев.")</f>
        <v>Свердло 7,9 Р18ц/хв лев.</v>
      </c>
      <c r="C768" s="59" t="s">
        <v>6</v>
      </c>
      <c r="D768" s="59">
        <v>4</v>
      </c>
      <c r="E768" s="91" t="s">
        <v>104</v>
      </c>
    </row>
    <row r="769" spans="1:5">
      <c r="A769" s="21">
        <f t="shared" si="20"/>
        <v>54</v>
      </c>
      <c r="B769" s="85" t="str">
        <f ca="1">IFERROR(__xludf.DUMMYFUNCTION("GOOGLETRANSLATE(B1380:B1395,""RU"",""UK"")"),"Свердло 8,1х160(110) ц/хв Р18")</f>
        <v>Свердло 8,1х160(110) ц/хв Р18</v>
      </c>
      <c r="C769" s="59" t="s">
        <v>6</v>
      </c>
      <c r="D769" s="59">
        <v>7</v>
      </c>
      <c r="E769" s="91" t="s">
        <v>564</v>
      </c>
    </row>
    <row r="770" spans="1:5">
      <c r="A770" s="21">
        <f t="shared" si="20"/>
        <v>55</v>
      </c>
      <c r="B770" s="164" t="str">
        <f ca="1">IFERROR(__xludf.DUMMYFUNCTION("GOOGLETRANSLATE(B1381:B1396,""RU"",""UK"")"),"Свердло 8,4 к/хв Р18")</f>
        <v>Свердло 8,4 к/хв Р18</v>
      </c>
      <c r="C770" s="59" t="s">
        <v>6</v>
      </c>
      <c r="D770" s="59">
        <v>0</v>
      </c>
      <c r="E770" s="91" t="s">
        <v>319</v>
      </c>
    </row>
    <row r="771" spans="1:5">
      <c r="A771" s="21">
        <f t="shared" si="20"/>
        <v>56</v>
      </c>
      <c r="B771" s="85" t="str">
        <f ca="1">IFERROR(__xludf.DUMMYFUNCTION("GOOGLETRANSLATE(B1382:B1397,""RU"",""UK"")"),"Свердло 8,5ц/хв Р18")</f>
        <v>Свердло 8,5ц/хв Р18</v>
      </c>
      <c r="C771" s="60" t="s">
        <v>6</v>
      </c>
      <c r="D771" s="60">
        <v>4</v>
      </c>
      <c r="E771" s="103" t="s">
        <v>564</v>
      </c>
    </row>
    <row r="772" spans="1:5">
      <c r="A772" s="21">
        <f t="shared" si="20"/>
        <v>57</v>
      </c>
      <c r="B772" s="85" t="str">
        <f ca="1">IFERROR(__xludf.DUMMYFUNCTION("GOOGLETRANSLATE(B1383:B1398,""RU"",""UK"")"),"Свердло 8,5 Р18 удл (165/110)")</f>
        <v>Свердло 8,5 Р18 удл (165/110)</v>
      </c>
      <c r="C772" s="37" t="s">
        <v>6</v>
      </c>
      <c r="D772" s="37">
        <v>5</v>
      </c>
      <c r="E772" s="92">
        <v>150</v>
      </c>
    </row>
    <row r="773" spans="1:5">
      <c r="A773" s="21">
        <f t="shared" si="20"/>
        <v>58</v>
      </c>
      <c r="B773" s="85" t="str">
        <f ca="1">IFERROR(__xludf.DUMMYFUNCTION("GOOGLETRANSLATE(B1384:B1399,""RU"",""UK"")"),"Свердло 8,8 лев. Р18")</f>
        <v>Свердло 8,8 лев. Р18</v>
      </c>
      <c r="C773" s="59" t="s">
        <v>6</v>
      </c>
      <c r="D773" s="59">
        <v>47</v>
      </c>
      <c r="E773" s="91" t="s">
        <v>614</v>
      </c>
    </row>
    <row r="774" spans="1:5">
      <c r="A774" s="21">
        <f t="shared" si="20"/>
        <v>59</v>
      </c>
      <c r="B774" s="85" t="str">
        <f ca="1">IFERROR(__xludf.DUMMYFUNCTION("GOOGLETRANSLATE(B1385:B1400,""RU"",""UK"")"),"Свердло 8,8х170удл ц/хв Р18")</f>
        <v>Свердло 8,8х170удл ц/хв Р18</v>
      </c>
      <c r="C774" s="59" t="s">
        <v>6</v>
      </c>
      <c r="D774" s="59">
        <v>10</v>
      </c>
      <c r="E774" s="91">
        <v>150</v>
      </c>
    </row>
    <row r="775" spans="1:5">
      <c r="A775" s="21">
        <f t="shared" si="20"/>
        <v>60</v>
      </c>
      <c r="B775" s="85" t="str">
        <f ca="1">IFERROR(__xludf.DUMMYFUNCTION("GOOGLETRANSLATE(B1386:B1401,""RU"",""UK"")"),"Свердло 8,9 ц/хв Р9К5")</f>
        <v>Свердло 8,9 ц/хв Р9К5</v>
      </c>
      <c r="C775" s="59" t="s">
        <v>6</v>
      </c>
      <c r="D775" s="59">
        <v>20</v>
      </c>
      <c r="E775" s="91" t="s">
        <v>338</v>
      </c>
    </row>
    <row r="776" spans="1:5">
      <c r="A776" s="21">
        <f t="shared" si="20"/>
        <v>61</v>
      </c>
      <c r="B776" s="85" t="str">
        <f ca="1">IFERROR(__xludf.DUMMYFUNCTION("GOOGLETRANSLATE(B1387:B1402,""RU"",""UK"")"),"Свердло 9,0ц/хв Р18")</f>
        <v>Свердло 9,0ц/хв Р18</v>
      </c>
      <c r="C776" s="59" t="s">
        <v>6</v>
      </c>
      <c r="D776" s="59">
        <v>38</v>
      </c>
      <c r="E776" s="91">
        <v>120</v>
      </c>
    </row>
    <row r="777" spans="1:5">
      <c r="A777" s="21">
        <f t="shared" si="20"/>
        <v>62</v>
      </c>
      <c r="B777" s="85" t="str">
        <f ca="1">IFERROR(__xludf.DUMMYFUNCTION("GOOGLETRANSLATE(B1388:B1403,""RU"",""UK"")"),"Свердло 9,0 к/хв Р6М5К5")</f>
        <v>Свердло 9,0 к/хв Р6М5К5</v>
      </c>
      <c r="C777" s="59" t="s">
        <v>6</v>
      </c>
      <c r="D777" s="59">
        <v>9</v>
      </c>
      <c r="E777" s="91" t="s">
        <v>319</v>
      </c>
    </row>
    <row r="778" spans="1:5">
      <c r="A778" s="21">
        <f t="shared" si="20"/>
        <v>63</v>
      </c>
      <c r="B778" s="85" t="str">
        <f ca="1">IFERROR(__xludf.DUMMYFUNCTION("GOOGLETRANSLATE(B1389:B1404,""RU"",""UK"")"),"Свердло 9,2 к/хв Р18")</f>
        <v>Свердло 9,2 к/хв Р18</v>
      </c>
      <c r="C778" s="59" t="s">
        <v>6</v>
      </c>
      <c r="D778" s="59">
        <v>3</v>
      </c>
      <c r="E778" s="91" t="s">
        <v>567</v>
      </c>
    </row>
    <row r="779" spans="1:5">
      <c r="A779" s="21">
        <f t="shared" si="20"/>
        <v>64</v>
      </c>
      <c r="B779" s="85" t="str">
        <f ca="1">IFERROR(__xludf.DUMMYFUNCTION("GOOGLETRANSLATE(B1390:B1405,""RU"",""UK"")"),"Свердло 9,4ц/хв Р18лев.")</f>
        <v>Свердло 9,4ц/хв Р18лев.</v>
      </c>
      <c r="C779" s="59" t="s">
        <v>6</v>
      </c>
      <c r="D779" s="59">
        <v>5</v>
      </c>
      <c r="E779" s="91" t="s">
        <v>185</v>
      </c>
    </row>
    <row r="780" spans="1:5">
      <c r="A780" s="21">
        <f t="shared" si="20"/>
        <v>65</v>
      </c>
      <c r="B780" s="85" t="str">
        <f ca="1">IFERROR(__xludf.DUMMYFUNCTION("GOOGLETRANSLATE(B1391:B1406,""RU"",""UK"")"),"Свердло 9,5 ц/хв Р18")</f>
        <v>Свердло 9,5 ц/хв Р18</v>
      </c>
      <c r="C780" s="59" t="s">
        <v>6</v>
      </c>
      <c r="D780" s="59">
        <v>5</v>
      </c>
      <c r="E780" s="91" t="s">
        <v>1990</v>
      </c>
    </row>
    <row r="781" spans="1:5">
      <c r="A781" s="21">
        <f t="shared" si="20"/>
        <v>66</v>
      </c>
      <c r="B781" s="85" t="str">
        <f ca="1">IFERROR(__xludf.DUMMYFUNCTION("GOOGLETRANSLATE(B1391:B1406,""RU"",""UK"")"),"Свердло 9,5 ц/хв Р12")</f>
        <v>Свердло 9,5 ц/хв Р12</v>
      </c>
      <c r="C781" s="59" t="s">
        <v>6</v>
      </c>
      <c r="D781" s="59">
        <v>9</v>
      </c>
      <c r="E781" s="91" t="s">
        <v>1990</v>
      </c>
    </row>
    <row r="782" spans="1:5">
      <c r="A782" s="21">
        <f t="shared" si="20"/>
        <v>67</v>
      </c>
      <c r="B782" s="85" t="str">
        <f ca="1">IFERROR(__xludf.DUMMYFUNCTION("GOOGLETRANSLATE(B1392:B1407,""RU"",""UK"")"),"Свердло 9,6 ц/хв Р18")</f>
        <v>Свердло 9,6 ц/хв Р18</v>
      </c>
      <c r="C782" s="59" t="s">
        <v>6</v>
      </c>
      <c r="D782" s="59">
        <v>6</v>
      </c>
      <c r="E782" s="91" t="s">
        <v>194</v>
      </c>
    </row>
    <row r="783" spans="1:5">
      <c r="A783" s="21">
        <f t="shared" si="20"/>
        <v>68</v>
      </c>
      <c r="B783" s="85" t="str">
        <f ca="1">IFERROR(__xludf.DUMMYFUNCTION("GOOGLETRANSLATE(B1393:B1408,""RU"",""UK"")"),"Свердло 9,7 ц/хв Р18")</f>
        <v>Свердло 9,7 ц/хв Р18</v>
      </c>
      <c r="C783" s="59" t="s">
        <v>6</v>
      </c>
      <c r="D783" s="59">
        <v>17</v>
      </c>
      <c r="E783" s="91" t="s">
        <v>194</v>
      </c>
    </row>
    <row r="784" spans="1:5">
      <c r="A784" s="21">
        <f t="shared" si="20"/>
        <v>69</v>
      </c>
      <c r="B784" s="85" t="str">
        <f ca="1">IFERROR(__xludf.DUMMYFUNCTION("GOOGLETRANSLATE(B1393:B1408,""RU"",""UK"")"),"Свердло 9,7 ц/хв Р18 лев.")</f>
        <v>Свердло 9,7 ц/хв Р18 лев.</v>
      </c>
      <c r="C784" s="59" t="s">
        <v>6</v>
      </c>
      <c r="D784" s="59">
        <v>4</v>
      </c>
      <c r="E784" s="91" t="s">
        <v>194</v>
      </c>
    </row>
    <row r="785" spans="1:5">
      <c r="A785" s="21">
        <f t="shared" si="20"/>
        <v>70</v>
      </c>
      <c r="B785" s="85" t="str">
        <f ca="1">IFERROR(__xludf.DUMMYFUNCTION("GOOGLETRANSLATE(B1394:B1409,""RU"",""UK"")"),"Свердло 10,0ц/хв Р18")</f>
        <v>Свердло 10,0ц/хв Р18</v>
      </c>
      <c r="C785" s="60" t="s">
        <v>6</v>
      </c>
      <c r="D785" s="60">
        <v>3</v>
      </c>
      <c r="E785" s="103" t="s">
        <v>348</v>
      </c>
    </row>
    <row r="786" spans="1:5">
      <c r="A786" s="21">
        <f t="shared" si="20"/>
        <v>71</v>
      </c>
      <c r="B786" s="85" t="str">
        <f ca="1">IFERROR(__xludf.DUMMYFUNCTION("GOOGLETRANSLATE(B1395:B1410,""RU"",""UK"")"),"Свердло 10,0ц/хв ВК8")</f>
        <v>Свердло 10,0ц/хв ВК8</v>
      </c>
      <c r="C786" s="37" t="s">
        <v>6</v>
      </c>
      <c r="D786" s="37">
        <v>3</v>
      </c>
      <c r="E786" s="92" t="s">
        <v>525</v>
      </c>
    </row>
    <row r="787" spans="1:5">
      <c r="A787" s="21">
        <f t="shared" ref="A787:A826" si="21">A786+1</f>
        <v>72</v>
      </c>
      <c r="B787" s="85" t="str">
        <f ca="1">IFERROR(__xludf.DUMMYFUNCTION("GOOGLETRANSLATE(B1396:B1411,""RU"",""UK"")"),"Свердло 10,2 ц/хв Р18")</f>
        <v>Свердло 10,2 ц/хв Р18</v>
      </c>
      <c r="C787" s="59" t="s">
        <v>6</v>
      </c>
      <c r="D787" s="59" t="s">
        <v>1997</v>
      </c>
      <c r="E787" s="91" t="s">
        <v>119</v>
      </c>
    </row>
    <row r="788" spans="1:5">
      <c r="A788" s="21">
        <f t="shared" si="21"/>
        <v>73</v>
      </c>
      <c r="B788" s="85" t="str">
        <f ca="1">IFERROR(__xludf.DUMMYFUNCTION("GOOGLETRANSLATE(B1397:B1412,""RU"",""UK"")"),"Свердло 10,3х250к/хв Р18")</f>
        <v>Свердло 10,3х250к/хв Р18</v>
      </c>
      <c r="C788" s="59" t="s">
        <v>6</v>
      </c>
      <c r="D788" s="59">
        <v>5</v>
      </c>
      <c r="E788" s="91" t="s">
        <v>220</v>
      </c>
    </row>
    <row r="789" spans="1:5">
      <c r="A789" s="21">
        <f t="shared" si="21"/>
        <v>74</v>
      </c>
      <c r="B789" s="85" t="str">
        <f ca="1">IFERROR(__xludf.DUMMYFUNCTION("GOOGLETRANSLATE(B1398:B1413,""RU"",""UK"")"),"Свердло 10,5ц/хв Р18")</f>
        <v>Свердло 10,5ц/хв Р18</v>
      </c>
      <c r="C789" s="59" t="s">
        <v>6</v>
      </c>
      <c r="D789" s="59">
        <v>1</v>
      </c>
      <c r="E789" s="91" t="s">
        <v>119</v>
      </c>
    </row>
    <row r="790" spans="1:5">
      <c r="A790" s="21">
        <f t="shared" si="21"/>
        <v>75</v>
      </c>
      <c r="B790" s="85" t="str">
        <f ca="1">IFERROR(__xludf.DUMMYFUNCTION("GOOGLETRANSLATE(B1399:B1414,""RU"",""UK"")"),"Свердло 10,5 Р18 удл (185/120)")</f>
        <v>Свердло 10,5 Р18 удл (185/120)</v>
      </c>
      <c r="C790" s="37" t="s">
        <v>6</v>
      </c>
      <c r="D790" s="37">
        <v>1</v>
      </c>
      <c r="E790" s="92" t="s">
        <v>119</v>
      </c>
    </row>
    <row r="791" spans="1:5">
      <c r="A791" s="21">
        <f t="shared" si="21"/>
        <v>76</v>
      </c>
      <c r="B791" s="85" t="str">
        <f ca="1">IFERROR(__xludf.DUMMYFUNCTION("GOOGLETRANSLATE(B1400:B1415,""RU"",""UK"")"),"Свердло 10,8 к/хв Р18")</f>
        <v>Свердло 10,8 к/хв Р18</v>
      </c>
      <c r="C791" s="59" t="s">
        <v>6</v>
      </c>
      <c r="D791" s="59">
        <v>1</v>
      </c>
      <c r="E791" s="91" t="s">
        <v>119</v>
      </c>
    </row>
    <row r="792" spans="1:5">
      <c r="A792" s="21">
        <f t="shared" si="21"/>
        <v>77</v>
      </c>
      <c r="B792" s="85" t="str">
        <f ca="1">IFERROR(__xludf.DUMMYFUNCTION("GOOGLETRANSLATE(B1401:B1416,""RU"",""UK"")"),"Свердло 11,0х260(120) ц/хв Р18")</f>
        <v>Свердло 11,0х260(120) ц/хв Р18</v>
      </c>
      <c r="C792" s="59" t="s">
        <v>6</v>
      </c>
      <c r="D792" s="59">
        <v>1</v>
      </c>
      <c r="E792" s="91" t="s">
        <v>327</v>
      </c>
    </row>
    <row r="793" spans="1:5">
      <c r="A793" s="21">
        <f t="shared" si="21"/>
        <v>78</v>
      </c>
      <c r="B793" s="85" t="str">
        <f ca="1">IFERROR(__xludf.DUMMYFUNCTION("GOOGLETRANSLATE(B1401:B1416,""RU"",""UK"")"),"Свердло 11,5 ц/хв Р18")</f>
        <v>Свердло 11,5 ц/хв Р18</v>
      </c>
      <c r="C793" s="59" t="s">
        <v>6</v>
      </c>
      <c r="D793" s="59">
        <v>1</v>
      </c>
      <c r="E793" s="91" t="s">
        <v>506</v>
      </c>
    </row>
    <row r="794" spans="1:5">
      <c r="A794" s="21">
        <f t="shared" si="21"/>
        <v>79</v>
      </c>
      <c r="B794" s="85" t="str">
        <f ca="1">IFERROR(__xludf.DUMMYFUNCTION("GOOGLETRANSLATE(B1402:B1417,""RU"",""UK"")"),"Свердло 12,0Р18 ц/хв")</f>
        <v>Свердло 12,0Р18 ц/хв</v>
      </c>
      <c r="C794" s="59" t="s">
        <v>6</v>
      </c>
      <c r="D794" s="59">
        <v>2</v>
      </c>
      <c r="E794" s="91" t="s">
        <v>506</v>
      </c>
    </row>
    <row r="795" spans="1:5">
      <c r="A795" s="21">
        <f t="shared" si="21"/>
        <v>80</v>
      </c>
      <c r="B795" s="85" t="str">
        <f ca="1">IFERROR(__xludf.DUMMYFUNCTION("GOOGLETRANSLATE(B1403:B1418,""RU"",""UK"")"),"Свердло 12,0 ц/хв ВК8")</f>
        <v>Свердло 12,0 ц/хв ВК8</v>
      </c>
      <c r="C795" s="59" t="s">
        <v>6</v>
      </c>
      <c r="D795" s="59">
        <v>8</v>
      </c>
      <c r="E795" s="91">
        <v>222</v>
      </c>
    </row>
    <row r="796" spans="1:5">
      <c r="A796" s="21">
        <f t="shared" si="21"/>
        <v>81</v>
      </c>
      <c r="B796" s="85" t="str">
        <f ca="1">IFERROR(__xludf.DUMMYFUNCTION("GOOGLETRANSLATE(B1404:B1419,""RU"",""UK"")"),"Свердло 13,0х300 к/хв Р18")</f>
        <v>Свердло 13,0х300 к/хв Р18</v>
      </c>
      <c r="C796" s="59" t="s">
        <v>6</v>
      </c>
      <c r="D796" s="59">
        <v>5</v>
      </c>
      <c r="E796" s="91" t="s">
        <v>20</v>
      </c>
    </row>
    <row r="797" spans="1:5">
      <c r="A797" s="21">
        <f t="shared" si="21"/>
        <v>82</v>
      </c>
      <c r="B797" s="85" t="str">
        <f ca="1">IFERROR(__xludf.DUMMYFUNCTION("GOOGLETRANSLATE(B1405:B1420,""RU"",""UK"")"),"Свердло 13,9х220 ц/хв Р9")</f>
        <v>Свердло 13,9х220 ц/хв Р9</v>
      </c>
      <c r="C797" s="59" t="s">
        <v>6</v>
      </c>
      <c r="D797" s="59">
        <v>1</v>
      </c>
      <c r="E797" s="91" t="s">
        <v>53</v>
      </c>
    </row>
    <row r="798" spans="1:5">
      <c r="A798" s="21">
        <f t="shared" si="21"/>
        <v>83</v>
      </c>
      <c r="B798" s="85" t="str">
        <f ca="1">IFERROR(__xludf.DUMMYFUNCTION("GOOGLETRANSLATE(B1406:B1421,""RU"",""UK"")"),"Свердло 14,0к/хв Р6М5К5")</f>
        <v>Свердло 14,0к/хв Р6М5К5</v>
      </c>
      <c r="C798" s="59" t="s">
        <v>6</v>
      </c>
      <c r="D798" s="59">
        <v>1</v>
      </c>
      <c r="E798" s="91" t="s">
        <v>20</v>
      </c>
    </row>
    <row r="799" spans="1:5">
      <c r="A799" s="21">
        <f t="shared" si="21"/>
        <v>84</v>
      </c>
      <c r="B799" s="85" t="str">
        <f ca="1">IFERROR(__xludf.DUMMYFUNCTION("GOOGLETRANSLATE(B1407:B1422,""RU"",""UK"")"),"Свердло 14,0к/хв ВК8")</f>
        <v>Свердло 14,0к/хв ВК8</v>
      </c>
      <c r="C799" s="59" t="s">
        <v>6</v>
      </c>
      <c r="D799" s="59">
        <v>1</v>
      </c>
      <c r="E799" s="91" t="s">
        <v>20</v>
      </c>
    </row>
    <row r="800" spans="1:5">
      <c r="A800" s="21">
        <f t="shared" si="21"/>
        <v>85</v>
      </c>
      <c r="B800" s="85" t="str">
        <f ca="1">IFERROR(__xludf.DUMMYFUNCTION("GOOGLETRANSLATE(B1407:B1422,""RU"",""UK"")"),"Свердло 14,5к/хв ВК8")</f>
        <v>Свердло 14,5к/хв ВК8</v>
      </c>
      <c r="C800" s="59" t="s">
        <v>6</v>
      </c>
      <c r="D800" s="59">
        <v>1</v>
      </c>
      <c r="E800" s="91" t="s">
        <v>20</v>
      </c>
    </row>
    <row r="801" spans="1:5">
      <c r="A801" s="21">
        <f t="shared" si="21"/>
        <v>86</v>
      </c>
      <c r="B801" s="85" t="str">
        <f ca="1">IFERROR(__xludf.DUMMYFUNCTION("GOOGLETRANSLATE(B1408:B1423,""RU"",""UK"")"),"Свердло 15,0к/хв ВК8")</f>
        <v>Свердло 15,0к/хв ВК8</v>
      </c>
      <c r="C801" s="59" t="s">
        <v>6</v>
      </c>
      <c r="D801" s="59">
        <v>10</v>
      </c>
      <c r="E801" s="91" t="s">
        <v>2011</v>
      </c>
    </row>
    <row r="802" spans="1:5">
      <c r="A802" s="21">
        <f t="shared" si="21"/>
        <v>87</v>
      </c>
      <c r="B802" s="85" t="str">
        <f ca="1">IFERROR(__xludf.DUMMYFUNCTION("GOOGLETRANSLATE(B1409:B1424,""RU"",""UK"")"),"Свердло 15,0х300(200)к/хв Р18")</f>
        <v>Свердло 15,0х300(200)к/хв Р18</v>
      </c>
      <c r="C802" s="59" t="s">
        <v>6</v>
      </c>
      <c r="D802" s="59">
        <v>3</v>
      </c>
      <c r="E802" s="91" t="s">
        <v>106</v>
      </c>
    </row>
    <row r="803" spans="1:5">
      <c r="A803" s="21">
        <f t="shared" si="21"/>
        <v>88</v>
      </c>
      <c r="B803" s="85" t="str">
        <f ca="1">IFERROR(__xludf.DUMMYFUNCTION("GOOGLETRANSLATE(B1409:B1424,""RU"",""UK"")"),"Свердло 15,0х400к/хв Р18 ")</f>
        <v xml:space="preserve">Свердло 15,0х400к/хв Р18 </v>
      </c>
      <c r="C803" s="59" t="s">
        <v>6</v>
      </c>
      <c r="D803" s="59">
        <v>1</v>
      </c>
      <c r="E803" s="91" t="s">
        <v>106</v>
      </c>
    </row>
    <row r="804" spans="1:5">
      <c r="A804" s="21">
        <f t="shared" si="21"/>
        <v>89</v>
      </c>
      <c r="B804" s="85" t="str">
        <f ca="1">IFERROR(__xludf.DUMMYFUNCTION("GOOGLETRANSLATE(B1410:B1425,""RU"",""UK"")"),"Свердло 15,25к/хв Р18")</f>
        <v>Свердло 15,25к/хв Р18</v>
      </c>
      <c r="C804" s="59" t="s">
        <v>6</v>
      </c>
      <c r="D804" s="59">
        <v>5</v>
      </c>
      <c r="E804" s="91" t="s">
        <v>2011</v>
      </c>
    </row>
    <row r="805" spans="1:5">
      <c r="A805" s="21">
        <f t="shared" si="21"/>
        <v>90</v>
      </c>
      <c r="B805" s="85" t="str">
        <f ca="1">IFERROR(__xludf.DUMMYFUNCTION("GOOGLETRANSLATE(B1411:B1426,""RU"",""UK"")"),"Свердло 15,3х400к/хв Р18")</f>
        <v>Свердло 15,3х400к/хв Р18</v>
      </c>
      <c r="C805" s="59" t="s">
        <v>6</v>
      </c>
      <c r="D805" s="59">
        <v>5</v>
      </c>
      <c r="E805" s="91" t="s">
        <v>106</v>
      </c>
    </row>
    <row r="806" spans="1:5">
      <c r="A806" s="21">
        <f t="shared" si="21"/>
        <v>91</v>
      </c>
      <c r="B806" s="85" t="str">
        <f ca="1">IFERROR(__xludf.DUMMYFUNCTION("GOOGLETRANSLATE(B1411:B1426,""RU"",""UK"")"),"Свердло 15.4х340к/хв Р18")</f>
        <v>Свердло 15.4х340к/хв Р18</v>
      </c>
      <c r="C806" s="59" t="s">
        <v>6</v>
      </c>
      <c r="D806" s="59">
        <v>1</v>
      </c>
      <c r="E806" s="91" t="s">
        <v>106</v>
      </c>
    </row>
    <row r="807" spans="1:5">
      <c r="A807" s="21">
        <f t="shared" si="21"/>
        <v>92</v>
      </c>
      <c r="B807" s="85" t="str">
        <f ca="1">IFERROR(__xludf.DUMMYFUNCTION("GOOGLETRANSLATE(B1412:B1427,""RU"",""UK"")"),"Свердло 15,5х370к/хв Р18")</f>
        <v>Свердло 15,5х370к/хв Р18</v>
      </c>
      <c r="C807" s="59" t="s">
        <v>6</v>
      </c>
      <c r="D807" s="59">
        <v>1</v>
      </c>
      <c r="E807" s="91" t="s">
        <v>106</v>
      </c>
    </row>
    <row r="808" spans="1:5">
      <c r="A808" s="21">
        <f t="shared" si="21"/>
        <v>93</v>
      </c>
      <c r="B808" s="85" t="str">
        <f ca="1">IFERROR(__xludf.DUMMYFUNCTION("GOOGLETRANSLATE(B1413:B1428,""RU"",""UK"")"),"Свердло 16,0 к/хв Р18")</f>
        <v>Свердло 16,0 к/хв Р18</v>
      </c>
      <c r="C808" s="59" t="s">
        <v>6</v>
      </c>
      <c r="D808" s="59">
        <v>12</v>
      </c>
      <c r="E808" s="91" t="s">
        <v>106</v>
      </c>
    </row>
    <row r="809" spans="1:5">
      <c r="A809" s="21">
        <f t="shared" si="21"/>
        <v>94</v>
      </c>
      <c r="B809" s="85" t="str">
        <f ca="1">IFERROR(__xludf.DUMMYFUNCTION("GOOGLETRANSLATE(B1414:B1429,""RU"",""UK"")"),"Свердло 16,5х300(200) Р18 к/хв")</f>
        <v>Свердло 16,5х300(200) Р18 к/хв</v>
      </c>
      <c r="C809" s="59" t="s">
        <v>6</v>
      </c>
      <c r="D809" s="59">
        <v>12</v>
      </c>
      <c r="E809" s="91" t="s">
        <v>22</v>
      </c>
    </row>
    <row r="810" spans="1:5">
      <c r="A810" s="21">
        <f t="shared" si="21"/>
        <v>95</v>
      </c>
      <c r="B810" s="85" t="str">
        <f ca="1">IFERROR(__xludf.DUMMYFUNCTION("GOOGLETRANSLATE(B1415:B1430,""RU"",""UK"")"),"Свердло 17,0Р9 ц/хв")</f>
        <v>Свердло 17,0Р9 ц/хв</v>
      </c>
      <c r="C810" s="59" t="s">
        <v>6</v>
      </c>
      <c r="D810" s="59">
        <v>1</v>
      </c>
      <c r="E810" s="91" t="s">
        <v>106</v>
      </c>
    </row>
    <row r="811" spans="1:5">
      <c r="A811" s="21">
        <f t="shared" si="21"/>
        <v>96</v>
      </c>
      <c r="B811" s="85" t="str">
        <f ca="1">IFERROR(__xludf.DUMMYFUNCTION("GOOGLETRANSLATE(B1416:B1431,""RU"",""UK"")"),"Свердло 17,3Р18 к/хв")</f>
        <v>Свердло 17,3Р18 к/хв</v>
      </c>
      <c r="C811" s="59" t="s">
        <v>6</v>
      </c>
      <c r="D811" s="59">
        <v>6</v>
      </c>
      <c r="E811" s="91" t="s">
        <v>22</v>
      </c>
    </row>
    <row r="812" spans="1:5">
      <c r="A812" s="21">
        <f t="shared" si="21"/>
        <v>97</v>
      </c>
      <c r="B812" s="85" t="str">
        <f ca="1">IFERROR(__xludf.DUMMYFUNCTION("GOOGLETRANSLATE(B1417:B1432,""RU"",""UK"")"),"Свердло 17,4Р9К5к/хв")</f>
        <v>Свердло 17,4Р9К5к/хв</v>
      </c>
      <c r="C812" s="59" t="s">
        <v>6</v>
      </c>
      <c r="D812" s="59">
        <v>18</v>
      </c>
      <c r="E812" s="91" t="s">
        <v>272</v>
      </c>
    </row>
    <row r="813" spans="1:5">
      <c r="A813" s="21">
        <f t="shared" si="21"/>
        <v>98</v>
      </c>
      <c r="B813" s="85" t="str">
        <f ca="1">IFERROR(__xludf.DUMMYFUNCTION("GOOGLETRANSLATE(B1418:B1433,""RU"",""UK"")"),"Свердло 17,5 Р9к/хв / 17,5 ВК8к/хв")</f>
        <v>Свердло 17,5 Р9к/хв / 17,5 ВК8к/хв</v>
      </c>
      <c r="C813" s="59" t="s">
        <v>6</v>
      </c>
      <c r="D813" s="59" t="s">
        <v>1005</v>
      </c>
      <c r="E813" s="91" t="s">
        <v>18</v>
      </c>
    </row>
    <row r="814" spans="1:5">
      <c r="A814" s="21">
        <f t="shared" si="21"/>
        <v>99</v>
      </c>
      <c r="B814" s="85" t="s">
        <v>6285</v>
      </c>
      <c r="C814" s="59" t="s">
        <v>6</v>
      </c>
      <c r="D814" s="59">
        <v>1</v>
      </c>
      <c r="E814" s="91">
        <v>510</v>
      </c>
    </row>
    <row r="815" spans="1:5">
      <c r="A815" s="21">
        <f t="shared" si="21"/>
        <v>100</v>
      </c>
      <c r="B815" s="85" t="str">
        <f ca="1">IFERROR(__xludf.DUMMYFUNCTION("GOOGLETRANSLATE(B1419:B1434,""RU"",""UK"")"),"Свердло 18,0 ВК8к/хв / 18,0 Р18к/хв лев")</f>
        <v>Свердло 18,0 ВК8к/хв / 18,0 Р18к/хв лев</v>
      </c>
      <c r="C815" s="59" t="s">
        <v>6</v>
      </c>
      <c r="D815" s="59" t="s">
        <v>2023</v>
      </c>
      <c r="E815" s="91" t="s">
        <v>413</v>
      </c>
    </row>
    <row r="816" spans="1:5">
      <c r="A816" s="21">
        <f t="shared" si="21"/>
        <v>101</v>
      </c>
      <c r="B816" s="85" t="str">
        <f ca="1">IFERROR(__xludf.DUMMYFUNCTION("GOOGLETRANSLATE(B1420:B1435,""RU"",""UK"")"),"Свердло 18,0к/хв Р6М5К5")</f>
        <v>Свердло 18,0к/хв Р6М5К5</v>
      </c>
      <c r="C816" s="59" t="s">
        <v>6</v>
      </c>
      <c r="D816" s="59">
        <v>1</v>
      </c>
      <c r="E816" s="91" t="s">
        <v>413</v>
      </c>
    </row>
    <row r="817" spans="1:5">
      <c r="A817" s="21">
        <f t="shared" si="21"/>
        <v>102</v>
      </c>
      <c r="B817" s="85" t="str">
        <f ca="1">IFERROR(__xludf.DUMMYFUNCTION("GOOGLETRANSLATE(B1420:B1435,""RU"",""UK"")"),"Свердло 18,0Р9к/хв")</f>
        <v>Свердло 18,0Р9к/хв</v>
      </c>
      <c r="C817" s="59" t="s">
        <v>6</v>
      </c>
      <c r="D817" s="59">
        <v>2</v>
      </c>
      <c r="E817" s="91" t="s">
        <v>413</v>
      </c>
    </row>
    <row r="818" spans="1:5">
      <c r="A818" s="21">
        <f t="shared" si="21"/>
        <v>103</v>
      </c>
      <c r="B818" s="85" t="str">
        <f ca="1">IFERROR(__xludf.DUMMYFUNCTION("GOOGLETRANSLATE(B1421:B1436,""RU"",""UK"")"),"Свердло 18,0х280 ВК8 КМ3")</f>
        <v>Свердло 18,0х280 ВК8 КМ3</v>
      </c>
      <c r="C818" s="59" t="s">
        <v>6</v>
      </c>
      <c r="D818" s="59">
        <v>1</v>
      </c>
      <c r="E818" s="91" t="s">
        <v>36</v>
      </c>
    </row>
    <row r="819" spans="1:5">
      <c r="A819" s="21">
        <f t="shared" si="21"/>
        <v>104</v>
      </c>
      <c r="B819" s="85" t="str">
        <f ca="1">IFERROR(__xludf.DUMMYFUNCTION("GOOGLETRANSLATE(B1422:B1437,""RU"",""UK"")"),"Свердло 18,0х300(150) Р18 КМ2")</f>
        <v>Свердло 18,0х300(150) Р18 КМ2</v>
      </c>
      <c r="C819" s="59" t="s">
        <v>6</v>
      </c>
      <c r="D819" s="59">
        <v>1</v>
      </c>
      <c r="E819" s="91" t="s">
        <v>36</v>
      </c>
    </row>
    <row r="820" spans="1:5">
      <c r="A820" s="21">
        <f t="shared" si="21"/>
        <v>105</v>
      </c>
      <c r="B820" s="85" t="str">
        <f ca="1">IFERROR(__xludf.DUMMYFUNCTION("GOOGLETRANSLATE(B1422:B1437,""RU"",""UK"")"),"Свердло 18,0х350(200) Р18 КМ2")</f>
        <v>Свердло 18,0х350(200) Р18 КМ2</v>
      </c>
      <c r="C820" s="59" t="s">
        <v>6</v>
      </c>
      <c r="D820" s="59">
        <v>7</v>
      </c>
      <c r="E820" s="91" t="s">
        <v>36</v>
      </c>
    </row>
    <row r="821" spans="1:5">
      <c r="A821" s="21">
        <f t="shared" si="21"/>
        <v>106</v>
      </c>
      <c r="B821" s="85" t="str">
        <f ca="1">IFERROR(__xludf.DUMMYFUNCTION("GOOGLETRANSLATE(B1423:B1438,""RU"",""UK"")"),"Свердло 18,0х400(150) Р18 КМ2")</f>
        <v>Свердло 18,0х400(150) Р18 КМ2</v>
      </c>
      <c r="C821" s="59" t="s">
        <v>6</v>
      </c>
      <c r="D821" s="59">
        <v>1</v>
      </c>
      <c r="E821" s="91" t="s">
        <v>27</v>
      </c>
    </row>
    <row r="822" spans="1:5">
      <c r="A822" s="21">
        <f t="shared" si="21"/>
        <v>107</v>
      </c>
      <c r="B822" s="85" t="str">
        <f ca="1">IFERROR(__xludf.DUMMYFUNCTION("GOOGLETRANSLATE(B1423:B1438,""RU"",""UK"")"),"Свердло 18,0х450(200) Р18 КМ2")</f>
        <v>Свердло 18,0х450(200) Р18 КМ2</v>
      </c>
      <c r="C822" s="59" t="s">
        <v>6</v>
      </c>
      <c r="D822" s="59">
        <v>2</v>
      </c>
      <c r="E822" s="91" t="s">
        <v>27</v>
      </c>
    </row>
    <row r="823" spans="1:5">
      <c r="A823" s="21">
        <f t="shared" si="21"/>
        <v>108</v>
      </c>
      <c r="B823" s="85" t="str">
        <f ca="1">IFERROR(__xludf.DUMMYFUNCTION("GOOGLETRANSLATE(B1424:B1439,""RU"",""UK"")"),"Свердло 18,0х560/220 ВК8 КМ3")</f>
        <v>Свердло 18,0х560/220 ВК8 КМ3</v>
      </c>
      <c r="C823" s="59" t="s">
        <v>6</v>
      </c>
      <c r="D823" s="59">
        <v>1</v>
      </c>
      <c r="E823" s="91" t="s">
        <v>27</v>
      </c>
    </row>
    <row r="824" spans="1:5">
      <c r="A824" s="21">
        <f t="shared" si="21"/>
        <v>109</v>
      </c>
      <c r="B824" s="85" t="str">
        <f ca="1">IFERROR(__xludf.DUMMYFUNCTION("GOOGLETRANSLATE(B1425:B1440,""RU"",""UK"")"),"Свердло 18,25 Р18к/хв / 18,5 Р18к/хв")</f>
        <v>Свердло 18,25 Р18к/хв / 18,5 Р18к/хв</v>
      </c>
      <c r="C824" s="59" t="s">
        <v>6</v>
      </c>
      <c r="D824" s="59" t="s">
        <v>2031</v>
      </c>
      <c r="E824" s="91" t="s">
        <v>413</v>
      </c>
    </row>
    <row r="825" spans="1:5">
      <c r="A825" s="21">
        <f t="shared" si="21"/>
        <v>110</v>
      </c>
      <c r="B825" s="85" t="str">
        <f ca="1">IFERROR(__xludf.DUMMYFUNCTION("GOOGLETRANSLATE(B1426:B1441,""RU"",""UK"")"),"Свердло 18,5х390(160) Р18 к/хв")</f>
        <v>Свердло 18,5х390(160) Р18 к/хв</v>
      </c>
      <c r="C825" s="59" t="s">
        <v>6</v>
      </c>
      <c r="D825" s="59">
        <v>10</v>
      </c>
      <c r="E825" s="91" t="s">
        <v>27</v>
      </c>
    </row>
    <row r="826" spans="1:5">
      <c r="A826" s="21">
        <f t="shared" si="21"/>
        <v>111</v>
      </c>
      <c r="B826" s="85" t="str">
        <f ca="1">IFERROR(__xludf.DUMMYFUNCTION("GOOGLETRANSLATE(B1427:B1442,""RU"",""UK"")"),"Свердло 18,75 Р18к/хв")</f>
        <v>Свердло 18,75 Р18к/хв</v>
      </c>
      <c r="C826" s="59" t="s">
        <v>6</v>
      </c>
      <c r="D826" s="59">
        <v>4</v>
      </c>
      <c r="E826" s="91" t="s">
        <v>413</v>
      </c>
    </row>
    <row r="827" spans="1:5">
      <c r="A827" s="21">
        <f t="shared" ref="A827:A871" si="22">A826+1</f>
        <v>112</v>
      </c>
      <c r="B827" s="85" t="str">
        <f ca="1">IFERROR(__xludf.DUMMYFUNCTION("GOOGLETRANSLATE(B1428:B1443,""RU"",""UK"")"),"Свердло 19,0 Р18 ц/хв / 19,0 Р18 к/хв / 19,0 Р9 к/хв /19,0 ВК8 к/хв")</f>
        <v>Свердло 19,0 Р18 ц/хв / 19,0 Р18 к/хв / 19,0 Р9 к/хв /19,0 ВК8 к/хв</v>
      </c>
      <c r="C827" s="59" t="s">
        <v>6</v>
      </c>
      <c r="D827" s="59" t="s">
        <v>2035</v>
      </c>
      <c r="E827" s="91" t="s">
        <v>413</v>
      </c>
    </row>
    <row r="828" spans="1:5">
      <c r="A828" s="21">
        <f t="shared" si="22"/>
        <v>113</v>
      </c>
      <c r="B828" s="85" t="str">
        <f ca="1">IFERROR(__xludf.DUMMYFUNCTION("GOOGLETRANSLATE(B1429:B1444,""RU"",""UK"")"),"Свердло 19,4 к/хв Р18/19,5к/хв Р18")</f>
        <v>Свердло 19,4 к/хв Р18/19,5к/хв Р18</v>
      </c>
      <c r="C828" s="59" t="s">
        <v>6</v>
      </c>
      <c r="D828" s="59" t="s">
        <v>6127</v>
      </c>
      <c r="E828" s="91" t="s">
        <v>413</v>
      </c>
    </row>
    <row r="829" spans="1:5">
      <c r="A829" s="21">
        <f t="shared" si="22"/>
        <v>114</v>
      </c>
      <c r="B829" s="85" t="str">
        <f ca="1">IFERROR(__xludf.DUMMYFUNCTION("GOOGLETRANSLATE(B1430:B1445,""RU"",""UK"")"),"Свердло 20,0КМ3 ВК8")</f>
        <v>Свердло 20,0КМ3 ВК8</v>
      </c>
      <c r="C829" s="59" t="s">
        <v>6</v>
      </c>
      <c r="D829" s="59">
        <v>12</v>
      </c>
      <c r="E829" s="91" t="s">
        <v>27</v>
      </c>
    </row>
    <row r="830" spans="1:5">
      <c r="A830" s="21">
        <f t="shared" si="22"/>
        <v>115</v>
      </c>
      <c r="B830" s="85" t="str">
        <f ca="1">IFERROR(__xludf.DUMMYFUNCTION("GOOGLETRANSLATE(B1432:B1447,""RU"",""UK"")"),"Свердло конічне 20,2-22,5х650 (330) Р18 КМ3")</f>
        <v>Свердло конічне 20,2-22,5х650 (330) Р18 КМ3</v>
      </c>
      <c r="C830" s="59" t="s">
        <v>6</v>
      </c>
      <c r="D830" s="59">
        <v>2</v>
      </c>
      <c r="E830" s="91" t="s">
        <v>138</v>
      </c>
    </row>
    <row r="831" spans="1:5">
      <c r="A831" s="21">
        <f t="shared" si="22"/>
        <v>116</v>
      </c>
      <c r="B831" s="85" t="str">
        <f ca="1">IFERROR(__xludf.DUMMYFUNCTION("GOOGLETRANSLATE(B1433:B1448,""RU"",""UK"")"),"Свердло 20,3 Р18к/хв")</f>
        <v>Свердло 20,3 Р18к/хв</v>
      </c>
      <c r="C831" s="59" t="s">
        <v>6</v>
      </c>
      <c r="D831" s="59">
        <v>5</v>
      </c>
      <c r="E831" s="91" t="s">
        <v>413</v>
      </c>
    </row>
    <row r="832" spans="1:5">
      <c r="A832" s="21">
        <f t="shared" si="22"/>
        <v>117</v>
      </c>
      <c r="B832" s="85" t="str">
        <f ca="1">IFERROR(__xludf.DUMMYFUNCTION("GOOGLETRANSLATE(B1434:B1449,""RU"",""UK"")"),"Свердло 20,75Р18 к/хв")</f>
        <v>Свердло 20,75Р18 к/хв</v>
      </c>
      <c r="C832" s="59" t="s">
        <v>6</v>
      </c>
      <c r="D832" s="59">
        <v>1</v>
      </c>
      <c r="E832" s="91" t="s">
        <v>27</v>
      </c>
    </row>
    <row r="833" spans="1:5">
      <c r="A833" s="21">
        <f t="shared" si="22"/>
        <v>118</v>
      </c>
      <c r="B833" s="85" t="str">
        <f ca="1">IFERROR(__xludf.DUMMYFUNCTION("GOOGLETRANSLATE(B1435:B1450,""RU"",""UK"")"),"Свердло 21,0 ВК8к/хв")</f>
        <v>Свердло 21,0 ВК8к/хв</v>
      </c>
      <c r="C833" s="59" t="s">
        <v>6</v>
      </c>
      <c r="D833" s="160">
        <v>3</v>
      </c>
      <c r="E833" s="91" t="s">
        <v>27</v>
      </c>
    </row>
    <row r="834" spans="1:5">
      <c r="A834" s="21">
        <f t="shared" si="22"/>
        <v>119</v>
      </c>
      <c r="B834" s="85" t="str">
        <f ca="1">IFERROR(__xludf.DUMMYFUNCTION("GOOGLETRANSLATE(B1436:B1451,""RU"",""UK"")"),"Свердло 21,0х240 Р18к/хв ")</f>
        <v xml:space="preserve">Свердло 21,0х240 Р18к/хв </v>
      </c>
      <c r="C834" s="59" t="s">
        <v>6</v>
      </c>
      <c r="D834" s="59">
        <v>1</v>
      </c>
      <c r="E834" s="91" t="s">
        <v>78</v>
      </c>
    </row>
    <row r="835" spans="1:5">
      <c r="A835" s="21">
        <f t="shared" si="22"/>
        <v>120</v>
      </c>
      <c r="B835" s="85" t="str">
        <f ca="1">IFERROR(__xludf.DUMMYFUNCTION("GOOGLETRANSLATE(B1436:B1451,""RU"",""UK"")"),"Свердло 21,0х280Р18к/хв")</f>
        <v>Свердло 21,0х280Р18к/хв</v>
      </c>
      <c r="C835" s="59" t="s">
        <v>6</v>
      </c>
      <c r="D835" s="59">
        <v>1</v>
      </c>
      <c r="E835" s="91" t="s">
        <v>78</v>
      </c>
    </row>
    <row r="836" spans="1:5">
      <c r="A836" s="21">
        <f t="shared" si="22"/>
        <v>121</v>
      </c>
      <c r="B836" s="85" t="str">
        <f ca="1">IFERROR(__xludf.DUMMYFUNCTION("GOOGLETRANSLATE(B1437:B1452,""RU"",""UK"")"),"Свердло 21,0х370 (250) КМ3 Р18")</f>
        <v>Свердло 21,0х370 (250) КМ3 Р18</v>
      </c>
      <c r="C836" s="59" t="s">
        <v>6</v>
      </c>
      <c r="D836" s="59">
        <v>7</v>
      </c>
      <c r="E836" s="91" t="s">
        <v>33</v>
      </c>
    </row>
    <row r="837" spans="1:5">
      <c r="A837" s="21">
        <f t="shared" si="22"/>
        <v>122</v>
      </c>
      <c r="B837" s="85" t="str">
        <f ca="1">IFERROR(__xludf.DUMMYFUNCTION("GOOGLETRANSLATE(B1438:B1453,""RU"",""UK"")"),"Свердло 21,2Р18к/хв / 21,25Р18к/хв")</f>
        <v>Свердло 21,2Р18к/хв / 21,25Р18к/хв</v>
      </c>
      <c r="C837" s="59" t="s">
        <v>6</v>
      </c>
      <c r="D837" s="59" t="s">
        <v>749</v>
      </c>
      <c r="E837" s="91" t="s">
        <v>842</v>
      </c>
    </row>
    <row r="838" spans="1:5">
      <c r="A838" s="21">
        <f t="shared" si="22"/>
        <v>123</v>
      </c>
      <c r="B838" s="85" t="str">
        <f ca="1">IFERROR(__xludf.DUMMYFUNCTION("GOOGLETRANSLATE(B1439:B1454,""RU"",""UK"")"),"Свердло 21,5 Р9К5/21,5 Р18к/хв")</f>
        <v>Свердло 21,5 Р9К5/21,5 Р18к/хв</v>
      </c>
      <c r="C838" s="59" t="s">
        <v>6</v>
      </c>
      <c r="D838" s="59" t="s">
        <v>749</v>
      </c>
      <c r="E838" s="91" t="s">
        <v>842</v>
      </c>
    </row>
    <row r="839" spans="1:5">
      <c r="A839" s="21">
        <f t="shared" si="22"/>
        <v>124</v>
      </c>
      <c r="B839" s="85" t="str">
        <f ca="1">IFERROR(__xludf.DUMMYFUNCTION("GOOGLETRANSLATE(B1440:B1455,""RU"",""UK"")"),"Свердло 21,5 ВК8к/хв")</f>
        <v>Свердло 21,5 ВК8к/хв</v>
      </c>
      <c r="C839" s="59" t="s">
        <v>6</v>
      </c>
      <c r="D839" s="160">
        <v>2</v>
      </c>
      <c r="E839" s="91" t="s">
        <v>842</v>
      </c>
    </row>
    <row r="840" spans="1:5">
      <c r="A840" s="21">
        <f t="shared" si="22"/>
        <v>125</v>
      </c>
      <c r="B840" s="85" t="str">
        <f ca="1">IFERROR(__xludf.DUMMYFUNCTION("GOOGLETRANSLATE(B1440:B1455,""RU"",""UK"")"),"Свердло 21,5 Т5К10 КМ3")</f>
        <v>Свердло 21,5 Т5К10 КМ3</v>
      </c>
      <c r="C840" s="59" t="s">
        <v>6</v>
      </c>
      <c r="D840" s="160">
        <v>4</v>
      </c>
      <c r="E840" s="91" t="s">
        <v>842</v>
      </c>
    </row>
    <row r="841" spans="1:5">
      <c r="A841" s="21">
        <f t="shared" si="22"/>
        <v>126</v>
      </c>
      <c r="B841" s="85" t="str">
        <f ca="1">IFERROR(__xludf.DUMMYFUNCTION("GOOGLETRANSLATE(B1441:B1456,""RU"",""UK"")"),"Свердло 22,0 ВК8к/хв")</f>
        <v>Свердло 22,0 ВК8к/хв</v>
      </c>
      <c r="C841" s="59" t="s">
        <v>6</v>
      </c>
      <c r="D841" s="59">
        <v>8</v>
      </c>
      <c r="E841" s="91">
        <v>690</v>
      </c>
    </row>
    <row r="842" spans="1:5">
      <c r="A842" s="21">
        <f t="shared" si="22"/>
        <v>127</v>
      </c>
      <c r="B842" s="85" t="s">
        <v>6411</v>
      </c>
      <c r="C842" s="59" t="s">
        <v>6</v>
      </c>
      <c r="D842" s="59">
        <v>1</v>
      </c>
      <c r="E842" s="91">
        <v>690</v>
      </c>
    </row>
    <row r="843" spans="1:5">
      <c r="A843" s="21">
        <f t="shared" si="22"/>
        <v>128</v>
      </c>
      <c r="B843" s="85" t="str">
        <f ca="1">IFERROR(__xludf.DUMMYFUNCTION("GOOGLETRANSLATE(B1443:B1458,""RU"",""UK"")"),"Свердло 22,0х600(300) Р18 КМ3")</f>
        <v>Свердло 22,0х600(300) Р18 КМ3</v>
      </c>
      <c r="C843" s="59" t="s">
        <v>6</v>
      </c>
      <c r="D843" s="59">
        <v>3</v>
      </c>
      <c r="E843" s="91" t="s">
        <v>102</v>
      </c>
    </row>
    <row r="844" spans="1:5">
      <c r="A844" s="21">
        <f t="shared" si="22"/>
        <v>129</v>
      </c>
      <c r="B844" s="85" t="str">
        <f ca="1">IFERROR(__xludf.DUMMYFUNCTION("GOOGLETRANSLATE(B1444:B1459,""RU"",""UK"")"),"Свердло 22,25Р18 к/хв")</f>
        <v>Свердло 22,25Р18 к/хв</v>
      </c>
      <c r="C844" s="59" t="s">
        <v>6</v>
      </c>
      <c r="D844" s="59">
        <v>1</v>
      </c>
      <c r="E844" s="91" t="s">
        <v>33</v>
      </c>
    </row>
    <row r="845" spans="1:5">
      <c r="A845" s="21">
        <f t="shared" si="22"/>
        <v>130</v>
      </c>
      <c r="B845" s="85" t="str">
        <f ca="1">IFERROR(__xludf.DUMMYFUNCTION("GOOGLETRANSLATE(B1445:B1460,""RU"",""UK"")"),"Свердло 22,5х350Р18к/хв")</f>
        <v>Свердло 22,5х350Р18к/хв</v>
      </c>
      <c r="C845" s="59" t="s">
        <v>6</v>
      </c>
      <c r="D845" s="59">
        <v>5</v>
      </c>
      <c r="E845" s="91" t="s">
        <v>33</v>
      </c>
    </row>
    <row r="846" spans="1:5">
      <c r="A846" s="21">
        <f t="shared" si="22"/>
        <v>131</v>
      </c>
      <c r="B846" s="85" t="str">
        <f ca="1">IFERROR(__xludf.DUMMYFUNCTION("GOOGLETRANSLATE(B1446:B1461,""RU"",""UK"")"),"Свердло 23,0ВК8 к/хв")</f>
        <v>Свердло 23,0ВК8 к/хв</v>
      </c>
      <c r="C846" s="59" t="s">
        <v>6</v>
      </c>
      <c r="D846" s="59">
        <v>2</v>
      </c>
      <c r="E846" s="91" t="s">
        <v>33</v>
      </c>
    </row>
    <row r="847" spans="1:5">
      <c r="A847" s="21">
        <f t="shared" si="22"/>
        <v>132</v>
      </c>
      <c r="B847" s="85" t="str">
        <f ca="1">IFERROR(__xludf.DUMMYFUNCTION("GOOGLETRANSLATE(B1447:B1462,""RU"",""UK"")"),"Свердло 23,0х340(240) Р18к/хв")</f>
        <v>Свердло 23,0х340(240) Р18к/хв</v>
      </c>
      <c r="C847" s="59" t="s">
        <v>6</v>
      </c>
      <c r="D847" s="59">
        <v>1</v>
      </c>
      <c r="E847" s="91" t="s">
        <v>1874</v>
      </c>
    </row>
    <row r="848" spans="1:5">
      <c r="A848" s="21">
        <f t="shared" si="22"/>
        <v>133</v>
      </c>
      <c r="B848" s="85" t="str">
        <f ca="1">IFERROR(__xludf.DUMMYFUNCTION("GOOGLETRANSLATE(B1448:B1463,""RU"",""UK"")"),"Свердло 23,5 ВК8к/хв")</f>
        <v>Свердло 23,5 ВК8к/хв</v>
      </c>
      <c r="C848" s="59" t="s">
        <v>6</v>
      </c>
      <c r="D848" s="59">
        <v>1</v>
      </c>
      <c r="E848" s="91" t="s">
        <v>33</v>
      </c>
    </row>
    <row r="849" spans="1:5">
      <c r="A849" s="21">
        <f t="shared" si="22"/>
        <v>134</v>
      </c>
      <c r="B849" s="85" t="str">
        <f ca="1">IFERROR(__xludf.DUMMYFUNCTION("GOOGLETRANSLATE(B1449:B1464,""RU"",""UK"")"),"Свердло 23,5х490(350) Р9к/хв")</f>
        <v>Свердло 23,5х490(350) Р9к/хв</v>
      </c>
      <c r="C849" s="59" t="s">
        <v>6</v>
      </c>
      <c r="D849" s="59">
        <v>1</v>
      </c>
      <c r="E849" s="91" t="s">
        <v>100</v>
      </c>
    </row>
    <row r="850" spans="1:5">
      <c r="A850" s="21">
        <f t="shared" si="22"/>
        <v>135</v>
      </c>
      <c r="B850" s="85" t="str">
        <f ca="1">IFERROR(__xludf.DUMMYFUNCTION("GOOGLETRANSLATE(B1450:B1465,""RU"",""UK"")"),"Свердло 23,7х280Р18к/хв")</f>
        <v>Свердло 23,7х280Р18к/хв</v>
      </c>
      <c r="C850" s="59" t="s">
        <v>6</v>
      </c>
      <c r="D850" s="59">
        <v>3</v>
      </c>
      <c r="E850" s="91" t="s">
        <v>33</v>
      </c>
    </row>
    <row r="851" spans="1:5">
      <c r="A851" s="21">
        <f t="shared" si="22"/>
        <v>136</v>
      </c>
      <c r="B851" s="85" t="str">
        <f ca="1">IFERROR(__xludf.DUMMYFUNCTION("GOOGLETRANSLATE(B1451:B1466,""RU"",""UK"")"),"Свердло 23,75Р18к/хв / 23,75Р12к/хв / 23,75Р9к/хв")</f>
        <v>Свердло 23,75Р18к/хв / 23,75Р12к/хв / 23,75Р9к/хв</v>
      </c>
      <c r="C851" s="59" t="s">
        <v>6</v>
      </c>
      <c r="D851" s="59" t="s">
        <v>2063</v>
      </c>
      <c r="E851" s="91" t="s">
        <v>33</v>
      </c>
    </row>
    <row r="852" spans="1:5">
      <c r="A852" s="21">
        <f t="shared" si="22"/>
        <v>137</v>
      </c>
      <c r="B852" s="85" t="str">
        <f ca="1">IFERROR(__xludf.DUMMYFUNCTION("GOOGLETRANSLATE(B1452:B1467,""RU"",""UK"")"),"Свердло 24,0Р18к/хв")</f>
        <v>Свердло 24,0Р18к/хв</v>
      </c>
      <c r="C852" s="59" t="s">
        <v>6</v>
      </c>
      <c r="D852" s="59">
        <v>1</v>
      </c>
      <c r="E852" s="91" t="s">
        <v>33</v>
      </c>
    </row>
    <row r="853" spans="1:5">
      <c r="A853" s="21">
        <f t="shared" si="22"/>
        <v>138</v>
      </c>
      <c r="B853" s="85" t="str">
        <f ca="1">IFERROR(__xludf.DUMMYFUNCTION("GOOGLETRANSLATE(B1452:B1467,""RU"",""UK"")"),"Свердло 24,0Р9к/хв ")</f>
        <v xml:space="preserve">Свердло 24,0Р9к/хв </v>
      </c>
      <c r="C853" s="59" t="s">
        <v>6</v>
      </c>
      <c r="D853" s="59">
        <v>1</v>
      </c>
      <c r="E853" s="91" t="s">
        <v>33</v>
      </c>
    </row>
    <row r="854" spans="1:5">
      <c r="A854" s="21">
        <f t="shared" si="22"/>
        <v>139</v>
      </c>
      <c r="B854" s="85" t="str">
        <f ca="1">IFERROR(__xludf.DUMMYFUNCTION("GOOGLETRANSLATE(B1452:B1467,""RU"",""UK"")"),"Свердло 24.0ВК8к/хв")</f>
        <v>Свердло 24.0ВК8к/хв</v>
      </c>
      <c r="C854" s="59" t="s">
        <v>6</v>
      </c>
      <c r="D854" s="59">
        <v>8</v>
      </c>
      <c r="E854" s="91" t="s">
        <v>33</v>
      </c>
    </row>
    <row r="855" spans="1:5">
      <c r="A855" s="21">
        <f t="shared" si="22"/>
        <v>140</v>
      </c>
      <c r="B855" s="85" t="str">
        <f ca="1">IFERROR(__xludf.DUMMYFUNCTION("GOOGLETRANSLATE(B1453:B1468,""RU"",""UK"")"),"Свердло 24,0х300Р9к/хв / 24,0х310Р12к/хв")</f>
        <v>Свердло 24,0х300Р9к/хв / 24,0х310Р12к/хв</v>
      </c>
      <c r="C855" s="59" t="s">
        <v>6</v>
      </c>
      <c r="D855" s="59" t="s">
        <v>2067</v>
      </c>
      <c r="E855" s="91" t="s">
        <v>100</v>
      </c>
    </row>
    <row r="856" spans="1:5">
      <c r="A856" s="21">
        <f t="shared" si="22"/>
        <v>141</v>
      </c>
      <c r="B856" s="85" t="str">
        <f ca="1">IFERROR(__xludf.DUMMYFUNCTION("GOOGLETRANSLATE(B1454:B1469,""RU"",""UK"")"),"Свердло 24,0х400Р18к/хв / 24,0х440Р18к/хв")</f>
        <v>Свердло 24,0х400Р18к/хв / 24,0х440Р18к/хв</v>
      </c>
      <c r="C856" s="59" t="s">
        <v>6</v>
      </c>
      <c r="D856" s="59" t="s">
        <v>2069</v>
      </c>
      <c r="E856" s="91" t="s">
        <v>283</v>
      </c>
    </row>
    <row r="857" spans="1:5">
      <c r="A857" s="21">
        <f t="shared" si="22"/>
        <v>142</v>
      </c>
      <c r="B857" s="85" t="str">
        <f ca="1">IFERROR(__xludf.DUMMYFUNCTION("GOOGLETRANSLATE(B1455:B1470,""RU"",""UK"")"),"Свердло 24,1Р18 к/хв")</f>
        <v>Свердло 24,1Р18 к/хв</v>
      </c>
      <c r="C857" s="59" t="s">
        <v>6</v>
      </c>
      <c r="D857" s="59">
        <v>1</v>
      </c>
      <c r="E857" s="91" t="s">
        <v>33</v>
      </c>
    </row>
    <row r="858" spans="1:5">
      <c r="A858" s="21">
        <f t="shared" si="22"/>
        <v>143</v>
      </c>
      <c r="B858" s="85" t="str">
        <f ca="1">IFERROR(__xludf.DUMMYFUNCTION("GOOGLETRANSLATE(B1456:B1471,""RU"",""UK"")"),"Свердло 24,7Р18к/хв / 24,75Р18к/хв")</f>
        <v>Свердло 24,7Р18к/хв / 24,75Р18к/хв</v>
      </c>
      <c r="C858" s="59" t="s">
        <v>6</v>
      </c>
      <c r="D858" s="59" t="s">
        <v>793</v>
      </c>
      <c r="E858" s="91" t="s">
        <v>100</v>
      </c>
    </row>
    <row r="859" spans="1:5">
      <c r="A859" s="21">
        <f t="shared" si="22"/>
        <v>144</v>
      </c>
      <c r="B859" s="85" t="str">
        <f ca="1">IFERROR(__xludf.DUMMYFUNCTION("GOOGLETRANSLATE(B1458:B1473,""RU"",""UK"")"),"Свердло 26.0 ВК8к/хв")</f>
        <v>Свердло 26.0 ВК8к/хв</v>
      </c>
      <c r="C859" s="59" t="s">
        <v>6</v>
      </c>
      <c r="D859" s="59">
        <v>2</v>
      </c>
      <c r="E859" s="91" t="s">
        <v>100</v>
      </c>
    </row>
    <row r="860" spans="1:5">
      <c r="A860" s="21">
        <f t="shared" si="22"/>
        <v>145</v>
      </c>
      <c r="B860" s="85" t="str">
        <f ca="1">IFERROR(__xludf.DUMMYFUNCTION("GOOGLETRANSLATE(B1459:B1474,""RU"",""UK"")"),"Свердло 27.0 ВК8к/хв")</f>
        <v>Свердло 27.0 ВК8к/хв</v>
      </c>
      <c r="C860" s="59" t="s">
        <v>6</v>
      </c>
      <c r="D860" s="59">
        <v>3</v>
      </c>
      <c r="E860" s="91" t="s">
        <v>100</v>
      </c>
    </row>
    <row r="861" spans="1:5">
      <c r="A861" s="21">
        <f t="shared" si="22"/>
        <v>146</v>
      </c>
      <c r="B861" s="85" t="str">
        <f ca="1">IFERROR(__xludf.DUMMYFUNCTION("GOOGLETRANSLATE(B1460:B1475,""RU"",""UK"")"),"Свердло 28.75Р18к/хв")</f>
        <v>Свердло 28.75Р18к/хв</v>
      </c>
      <c r="C861" s="59" t="s">
        <v>6</v>
      </c>
      <c r="D861" s="59">
        <v>1</v>
      </c>
      <c r="E861" s="91" t="s">
        <v>283</v>
      </c>
    </row>
    <row r="862" spans="1:5">
      <c r="A862" s="21">
        <f t="shared" si="22"/>
        <v>147</v>
      </c>
      <c r="B862" s="85" t="str">
        <f ca="1">IFERROR(__xludf.DUMMYFUNCTION("GOOGLETRANSLATE(B1461:B1476,""RU"",""UK"")"),"Свердло 29,0Р18к/хв")</f>
        <v>Свердло 29,0Р18к/хв</v>
      </c>
      <c r="C862" s="59" t="s">
        <v>6</v>
      </c>
      <c r="D862" s="59">
        <v>4</v>
      </c>
      <c r="E862" s="91" t="s">
        <v>283</v>
      </c>
    </row>
    <row r="863" spans="1:5">
      <c r="A863" s="21">
        <f t="shared" si="22"/>
        <v>148</v>
      </c>
      <c r="B863" s="85" t="str">
        <f ca="1">IFERROR(__xludf.DUMMYFUNCTION("GOOGLETRANSLATE(B1462:B1477,""RU"",""UK"")"),"Свердло 29,0х470(200)Р18к/хв")</f>
        <v>Свердло 29,0х470(200)Р18к/хв</v>
      </c>
      <c r="C863" s="59" t="s">
        <v>6</v>
      </c>
      <c r="D863" s="59">
        <v>1</v>
      </c>
      <c r="E863" s="91" t="s">
        <v>1874</v>
      </c>
    </row>
    <row r="864" spans="1:5">
      <c r="A864" s="21">
        <f t="shared" si="22"/>
        <v>149</v>
      </c>
      <c r="B864" s="85" t="str">
        <f ca="1">IFERROR(__xludf.DUMMYFUNCTION("GOOGLETRANSLATE(B1463:B1478,""RU"",""UK"")"),"Свердло 30,0 ВК8 к/хв")</f>
        <v>Свердло 30,0 ВК8 к/хв</v>
      </c>
      <c r="C864" s="59" t="s">
        <v>6</v>
      </c>
      <c r="D864" s="59">
        <v>1</v>
      </c>
      <c r="E864" s="91" t="s">
        <v>1874</v>
      </c>
    </row>
    <row r="865" spans="1:5">
      <c r="A865" s="21">
        <f t="shared" si="22"/>
        <v>150</v>
      </c>
      <c r="B865" s="85" t="str">
        <f ca="1">IFERROR(__xludf.DUMMYFUNCTION("GOOGLETRANSLATE(B1465:B1480,""RU"",""UK"")"),"Свердло 30.5Р18к/хв")</f>
        <v>Свердло 30.5Р18к/хв</v>
      </c>
      <c r="C865" s="59" t="s">
        <v>6</v>
      </c>
      <c r="D865" s="59">
        <v>1</v>
      </c>
      <c r="E865" s="91" t="s">
        <v>1874</v>
      </c>
    </row>
    <row r="866" spans="1:5">
      <c r="A866" s="21">
        <f t="shared" si="22"/>
        <v>151</v>
      </c>
      <c r="B866" s="85" t="str">
        <f ca="1">IFERROR(__xludf.DUMMYFUNCTION("GOOGLETRANSLATE(B1466:B1481,""RU"",""UK"")"),"Свердло 32,0 ВК8 КМ5 в/з/32,0х640ВК8 КМ4")</f>
        <v>Свердло 32,0 ВК8 КМ5 в/з/32,0х640ВК8 КМ4</v>
      </c>
      <c r="C866" s="59" t="s">
        <v>6</v>
      </c>
      <c r="D866" s="59" t="s">
        <v>749</v>
      </c>
      <c r="E866" s="91" t="s">
        <v>283</v>
      </c>
    </row>
    <row r="867" spans="1:5">
      <c r="A867" s="21">
        <f t="shared" si="22"/>
        <v>152</v>
      </c>
      <c r="B867" s="85" t="str">
        <f ca="1">IFERROR(__xludf.DUMMYFUNCTION("GOOGLETRANSLATE(B1467:B1482,""RU"",""UK"")"),"Свердло 34.0 Р18к/хв")</f>
        <v>Свердло 34.0 Р18к/хв</v>
      </c>
      <c r="C867" s="59" t="s">
        <v>6</v>
      </c>
      <c r="D867" s="59">
        <v>1</v>
      </c>
      <c r="E867" s="91" t="s">
        <v>2083</v>
      </c>
    </row>
    <row r="868" spans="1:5">
      <c r="A868" s="21">
        <f t="shared" si="22"/>
        <v>153</v>
      </c>
      <c r="B868" s="85" t="str">
        <f ca="1">IFERROR(__xludf.DUMMYFUNCTION("GOOGLETRANSLATE(B1468:B1483,""RU"",""UK"")"),"Свердло 35.9 Р18к/хв")</f>
        <v>Свердло 35.9 Р18к/хв</v>
      </c>
      <c r="C868" s="59" t="s">
        <v>6</v>
      </c>
      <c r="D868" s="59">
        <v>1</v>
      </c>
      <c r="E868" s="91" t="s">
        <v>1874</v>
      </c>
    </row>
    <row r="869" spans="1:5">
      <c r="A869" s="21">
        <f t="shared" si="22"/>
        <v>154</v>
      </c>
      <c r="B869" s="85" t="str">
        <f ca="1">IFERROR(__xludf.DUMMYFUNCTION("GOOGLETRANSLATE(B1469:B1484,""RU"",""UK"")"),"Свердло 36.0 Р18к/хв")</f>
        <v>Свердло 36.0 Р18к/хв</v>
      </c>
      <c r="C869" s="59" t="s">
        <v>6</v>
      </c>
      <c r="D869" s="160">
        <v>2</v>
      </c>
      <c r="E869" s="91" t="s">
        <v>1874</v>
      </c>
    </row>
    <row r="870" spans="1:5">
      <c r="A870" s="21">
        <f t="shared" si="22"/>
        <v>155</v>
      </c>
      <c r="B870" s="85" t="str">
        <f ca="1">IFERROR(__xludf.DUMMYFUNCTION("GOOGLETRANSLATE(B1469:B1484,""RU"",""UK"")"),"Свердло 36,0 ВК8 к/хв")</f>
        <v>Свердло 36,0 ВК8 к/хв</v>
      </c>
      <c r="C870" s="59" t="s">
        <v>6</v>
      </c>
      <c r="D870" s="160">
        <v>1</v>
      </c>
      <c r="E870" s="91" t="s">
        <v>1874</v>
      </c>
    </row>
    <row r="871" spans="1:5">
      <c r="A871" s="21">
        <f t="shared" si="22"/>
        <v>156</v>
      </c>
      <c r="B871" s="85" t="str">
        <f ca="1">IFERROR(__xludf.DUMMYFUNCTION("GOOGLETRANSLATE(B1470:B1485,""RU"",""UK"")"),"Свердло 36,5 Р18к/хв")</f>
        <v>Свердло 36,5 Р18к/хв</v>
      </c>
      <c r="C871" s="59" t="s">
        <v>6</v>
      </c>
      <c r="D871" s="59">
        <v>1</v>
      </c>
      <c r="E871" s="91" t="s">
        <v>1874</v>
      </c>
    </row>
    <row r="872" spans="1:5">
      <c r="A872" s="21">
        <f t="shared" ref="A872:A881" si="23">A871+1</f>
        <v>157</v>
      </c>
      <c r="B872" s="85" t="str">
        <f ca="1">IFERROR(__xludf.DUMMYFUNCTION("GOOGLETRANSLATE(B1471:B1486,""RU"",""UK"")"),"Свердло 37,0Р18/37,0Р9")</f>
        <v>Свердло 37,0Р18/37,0Р9</v>
      </c>
      <c r="C872" s="59" t="s">
        <v>6</v>
      </c>
      <c r="D872" s="59" t="s">
        <v>749</v>
      </c>
      <c r="E872" s="91" t="s">
        <v>1874</v>
      </c>
    </row>
    <row r="873" spans="1:5">
      <c r="A873" s="21">
        <f t="shared" si="23"/>
        <v>158</v>
      </c>
      <c r="B873" s="85" t="str">
        <f ca="1">IFERROR(__xludf.DUMMYFUNCTION("GOOGLETRANSLATE(B1472:B1487,""RU"",""UK"")"),"Свердло 37,5х440 Р18к/хв")</f>
        <v>Свердло 37,5х440 Р18к/хв</v>
      </c>
      <c r="C873" s="59" t="s">
        <v>6</v>
      </c>
      <c r="D873" s="59">
        <v>5</v>
      </c>
      <c r="E873" s="91" t="s">
        <v>1874</v>
      </c>
    </row>
    <row r="874" spans="1:5">
      <c r="A874" s="21">
        <f t="shared" si="23"/>
        <v>159</v>
      </c>
      <c r="B874" s="85" t="str">
        <f ca="1">IFERROR(__xludf.DUMMYFUNCTION("GOOGLETRANSLATE(B1473:B1488,""RU"",""UK"")"),"Свердло 38,0 Р18к/хв")</f>
        <v>Свердло 38,0 Р18к/хв</v>
      </c>
      <c r="C874" s="59" t="s">
        <v>6</v>
      </c>
      <c r="D874" s="59">
        <v>1</v>
      </c>
      <c r="E874" s="91" t="s">
        <v>111</v>
      </c>
    </row>
    <row r="875" spans="1:5">
      <c r="A875" s="21">
        <f t="shared" si="23"/>
        <v>160</v>
      </c>
      <c r="B875" s="85" t="str">
        <f ca="1">IFERROR(__xludf.DUMMYFUNCTION("GOOGLETRANSLATE(B1473:B1488,""RU"",""UK"")"),"Свердло 38,0 Р12к/хв")</f>
        <v>Свердло 38,0 Р12к/хв</v>
      </c>
      <c r="C875" s="59" t="s">
        <v>6</v>
      </c>
      <c r="D875" s="59">
        <v>1</v>
      </c>
      <c r="E875" s="91" t="s">
        <v>111</v>
      </c>
    </row>
    <row r="876" spans="1:5">
      <c r="A876" s="21">
        <f t="shared" si="23"/>
        <v>161</v>
      </c>
      <c r="B876" s="85" t="str">
        <f ca="1">IFERROR(__xludf.DUMMYFUNCTION("GOOGLETRANSLATE(B1474:B1489,""RU"",""UK"")"),"Свердло 40.0 Р18к/хв легко вжив.")</f>
        <v>Свердло 40.0 Р18к/хв легко вжив.</v>
      </c>
      <c r="C876" s="59" t="s">
        <v>6</v>
      </c>
      <c r="D876" s="59">
        <v>1</v>
      </c>
      <c r="E876" s="91" t="s">
        <v>111</v>
      </c>
    </row>
    <row r="877" spans="1:5">
      <c r="A877" s="21">
        <f t="shared" si="23"/>
        <v>162</v>
      </c>
      <c r="B877" s="85" t="str">
        <f ca="1">IFERROR(__xludf.DUMMYFUNCTION("GOOGLETRANSLATE(B1475:B1490,""RU"",""UK"")"),"Свердло 43.5 Р18к/хв")</f>
        <v>Свердло 43.5 Р18к/хв</v>
      </c>
      <c r="C877" s="59" t="s">
        <v>6</v>
      </c>
      <c r="D877" s="59">
        <v>1</v>
      </c>
      <c r="E877" s="91" t="s">
        <v>80</v>
      </c>
    </row>
    <row r="878" spans="1:5">
      <c r="A878" s="21">
        <f t="shared" si="23"/>
        <v>163</v>
      </c>
      <c r="B878" s="85" t="str">
        <f ca="1">IFERROR(__xludf.DUMMYFUNCTION("GOOGLETRANSLATE(B1476:B1491,""RU"",""UK"")"),"Свердло 45,0х100-120 короткий Р18к/хв")</f>
        <v>Свердло 45,0х100-120 короткий Р18к/хв</v>
      </c>
      <c r="C878" s="59" t="s">
        <v>6</v>
      </c>
      <c r="D878" s="59">
        <v>3</v>
      </c>
      <c r="E878" s="91" t="s">
        <v>2093</v>
      </c>
    </row>
    <row r="879" spans="1:5">
      <c r="A879" s="21">
        <f t="shared" si="23"/>
        <v>164</v>
      </c>
      <c r="B879" s="85" t="str">
        <f ca="1">IFERROR(__xludf.DUMMYFUNCTION("GOOGLETRANSLATE(B1476:B1491,""RU"",""UK"")"),"Свердло 45,0х150 короткий Р18к/хв")</f>
        <v>Свердло 45,0х150 короткий Р18к/хв</v>
      </c>
      <c r="C879" s="59" t="s">
        <v>6</v>
      </c>
      <c r="D879" s="59">
        <v>1</v>
      </c>
      <c r="E879" s="91" t="s">
        <v>2093</v>
      </c>
    </row>
    <row r="880" spans="1:5">
      <c r="A880" s="21">
        <f t="shared" si="23"/>
        <v>165</v>
      </c>
      <c r="B880" s="85" t="str">
        <f ca="1">IFERROR(__xludf.DUMMYFUNCTION("GOOGLETRANSLATE(B1477:B1492,""RU"",""UK"")"),"Свердло 45,3х380 Р9 КМ4")</f>
        <v>Свердло 45,3х380 Р9 КМ4</v>
      </c>
      <c r="C880" s="59" t="s">
        <v>6</v>
      </c>
      <c r="D880" s="59">
        <v>1</v>
      </c>
      <c r="E880" s="91">
        <v>1500</v>
      </c>
    </row>
    <row r="881" spans="1:5">
      <c r="A881" s="21">
        <f t="shared" si="23"/>
        <v>166</v>
      </c>
      <c r="B881" s="85" t="str">
        <f ca="1">IFERROR(__xludf.DUMMYFUNCTION("GOOGLETRANSLATE(B1478:B1493,""RU"",""UK"")"),"Свердло 50,0 Р18 КМ4 заточка?")</f>
        <v>Свердло 50,0 Р18 КМ4 заточка?</v>
      </c>
      <c r="C881" s="59" t="s">
        <v>6</v>
      </c>
      <c r="D881" s="59">
        <v>1</v>
      </c>
      <c r="E881" s="91">
        <v>2100</v>
      </c>
    </row>
    <row r="882" spans="1:5">
      <c r="A882" s="43"/>
      <c r="B882" s="110" t="str">
        <f ca="1">IFERROR(__xludf.DUMMYFUNCTION("GOOGLETRANSLATE(B1480:B1495,""RU"",""UK"")"),"15. С В Е Р Д Л А  А Л М А З Н І  (скло, кераміка, бетон)")</f>
        <v>15. С В Е Р Д Л А  А Л М А З Н І  (скло, кераміка, бетон)</v>
      </c>
      <c r="C882" s="29"/>
      <c r="D882" s="29"/>
      <c r="E882" s="95"/>
    </row>
    <row r="883" spans="1:5">
      <c r="A883" s="21">
        <v>1</v>
      </c>
      <c r="B883" s="85" t="str">
        <f ca="1">IFERROR(__xludf.DUMMYFUNCTION("GOOGLETRANSLATE(B1481:B1496,""RU"",""UK"")"),"Свердло алмазне трубчасте 4,0х2,5х50")</f>
        <v>Свердло алмазне трубчасте 4,0х2,5х50</v>
      </c>
      <c r="C883" s="59" t="s">
        <v>6</v>
      </c>
      <c r="D883" s="59">
        <v>68</v>
      </c>
      <c r="E883" s="91" t="s">
        <v>167</v>
      </c>
    </row>
    <row r="884" spans="1:5">
      <c r="A884" s="21">
        <v>3</v>
      </c>
      <c r="B884" s="85" t="str">
        <f ca="1">IFERROR(__xludf.DUMMYFUNCTION("GOOGLETRANSLATE(B1482:B1497,""RU"",""UK"")"),"Свердло алмазне клинообр. 7,0х80")</f>
        <v>Свердло алмазне клинообр. 7,0х80</v>
      </c>
      <c r="C884" s="59" t="s">
        <v>6</v>
      </c>
      <c r="D884" s="59">
        <v>10</v>
      </c>
      <c r="E884" s="91" t="s">
        <v>304</v>
      </c>
    </row>
    <row r="885" spans="1:5">
      <c r="A885" s="21">
        <v>5</v>
      </c>
      <c r="B885" s="85" t="str">
        <f ca="1">IFERROR(__xludf.DUMMYFUNCTION("GOOGLETRANSLATE(B1483:B1498,""RU"",""UK"")"),"Свердло алмазне трубчасте 8х6х50")</f>
        <v>Свердло алмазне трубчасте 8х6х50</v>
      </c>
      <c r="C885" s="59" t="s">
        <v>6</v>
      </c>
      <c r="D885" s="59">
        <v>3</v>
      </c>
      <c r="E885" s="91" t="s">
        <v>314</v>
      </c>
    </row>
    <row r="886" spans="1:5">
      <c r="A886" s="21">
        <v>6</v>
      </c>
      <c r="B886" s="85" t="str">
        <f ca="1">IFERROR(__xludf.DUMMYFUNCTION("GOOGLETRANSLATE(B1484:B1499,""RU"",""UK"")"),"Свердло алмазне клинообр. 10х85")</f>
        <v>Свердло алмазне клинообр. 10х85</v>
      </c>
      <c r="C886" s="59" t="s">
        <v>6</v>
      </c>
      <c r="D886" s="59">
        <v>2</v>
      </c>
      <c r="E886" s="91" t="s">
        <v>255</v>
      </c>
    </row>
    <row r="887" spans="1:5">
      <c r="A887" s="21">
        <v>7</v>
      </c>
      <c r="B887" s="85" t="str">
        <f ca="1">IFERROR(__xludf.DUMMYFUNCTION("GOOGLETRANSLATE(B1485:B1500,""RU"",""UK"")"),"Свердло алмазне трубчасте 12х60")</f>
        <v>Свердло алмазне трубчасте 12х60</v>
      </c>
      <c r="C887" s="59" t="s">
        <v>6</v>
      </c>
      <c r="D887" s="59">
        <v>15</v>
      </c>
      <c r="E887" s="91" t="s">
        <v>226</v>
      </c>
    </row>
    <row r="888" spans="1:5">
      <c r="A888" s="21">
        <v>8</v>
      </c>
      <c r="B888" s="85" t="str">
        <f ca="1">IFERROR(__xludf.DUMMYFUNCTION("GOOGLETRANSLATE(B1486:B1501,""RU"",""UK"")"),"Свердло алмазне клинообр. 14х100")</f>
        <v>Свердло алмазне клинообр. 14х100</v>
      </c>
      <c r="C888" s="59" t="s">
        <v>6</v>
      </c>
      <c r="D888" s="59">
        <v>3</v>
      </c>
      <c r="E888" s="91" t="s">
        <v>338</v>
      </c>
    </row>
    <row r="889" spans="1:5">
      <c r="A889" s="21">
        <v>9</v>
      </c>
      <c r="B889" s="85" t="str">
        <f ca="1">IFERROR(__xludf.DUMMYFUNCTION("GOOGLETRANSLATE(B1487:B1502,""RU"",""UK"")"),"Свердло алмазне корончасте 30мм")</f>
        <v>Свердло алмазне корончасте 30мм</v>
      </c>
      <c r="C889" s="59" t="s">
        <v>6</v>
      </c>
      <c r="D889" s="59">
        <v>18</v>
      </c>
      <c r="E889" s="91" t="s">
        <v>212</v>
      </c>
    </row>
    <row r="890" spans="1:5">
      <c r="A890" s="21">
        <v>10</v>
      </c>
      <c r="B890" s="85" t="str">
        <f ca="1">IFERROR(__xludf.DUMMYFUNCTION("GOOGLETRANSLATE(B1488:B1503,""RU"",""UK"")"),"Свердло алмазне корончасте 40мм")</f>
        <v>Свердло алмазне корончасте 40мм</v>
      </c>
      <c r="C890" s="59" t="s">
        <v>6</v>
      </c>
      <c r="D890" s="59">
        <v>1</v>
      </c>
      <c r="E890" s="91" t="s">
        <v>2106</v>
      </c>
    </row>
    <row r="891" spans="1:5">
      <c r="A891" s="21">
        <v>11</v>
      </c>
      <c r="B891" s="85" t="str">
        <f ca="1">IFERROR(__xludf.DUMMYFUNCTION("GOOGLETRANSLATE(B1489:B1504,""RU"",""UK"")"),"Свердло алмазне корончасте 42мм")</f>
        <v>Свердло алмазне корончасте 42мм</v>
      </c>
      <c r="C891" s="59" t="s">
        <v>6</v>
      </c>
      <c r="D891" s="59">
        <v>3</v>
      </c>
      <c r="E891" s="91" t="s">
        <v>136</v>
      </c>
    </row>
    <row r="892" spans="1:5">
      <c r="A892" s="21">
        <v>12</v>
      </c>
      <c r="B892" s="85" t="str">
        <f ca="1">IFERROR(__xludf.DUMMYFUNCTION("GOOGLETRANSLATE(B1490:B1505,""RU"",""UK"")"),"Свердло алмазне корончасте 45мм")</f>
        <v>Свердло алмазне корончасте 45мм</v>
      </c>
      <c r="C892" s="59" t="s">
        <v>6</v>
      </c>
      <c r="D892" s="59">
        <v>1</v>
      </c>
      <c r="E892" s="91" t="s">
        <v>348</v>
      </c>
    </row>
    <row r="893" spans="1:5">
      <c r="A893" s="21">
        <v>13</v>
      </c>
      <c r="B893" s="85" t="str">
        <f ca="1">IFERROR(__xludf.DUMMYFUNCTION("GOOGLETRANSLATE(B1491:B1506,""RU"",""UK"")"),"Свердло алмазне корончасте 55мм")</f>
        <v>Свердло алмазне корончасте 55мм</v>
      </c>
      <c r="C893" s="59" t="s">
        <v>6</v>
      </c>
      <c r="D893" s="59">
        <v>1</v>
      </c>
      <c r="E893" s="91" t="s">
        <v>319</v>
      </c>
    </row>
    <row r="894" spans="1:5">
      <c r="A894" s="21">
        <v>14</v>
      </c>
      <c r="B894" s="85" t="str">
        <f ca="1">IFERROR(__xludf.DUMMYFUNCTION("GOOGLETRANSLATE(B1492:B1507,""RU"",""UK"")"),"Свердло трубчасте алмазне 60х350мм")</f>
        <v>Свердло трубчасте алмазне 60х350мм</v>
      </c>
      <c r="C894" s="59" t="s">
        <v>6</v>
      </c>
      <c r="D894" s="59">
        <v>1</v>
      </c>
      <c r="E894" s="91" t="s">
        <v>2111</v>
      </c>
    </row>
  </sheetData>
  <pageMargins left="0.7" right="0.7" top="0.75" bottom="0.75" header="0.3" footer="0.3"/>
  <pageSetup paperSize="9" orientation="portrait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3"/>
  <sheetViews>
    <sheetView topLeftCell="A250" zoomScale="250" zoomScaleNormal="250" workbookViewId="0">
      <selection activeCell="B263" sqref="B263"/>
    </sheetView>
  </sheetViews>
  <sheetFormatPr defaultRowHeight="12.75"/>
  <cols>
    <col min="1" max="1" width="5.7109375" style="151" customWidth="1"/>
    <col min="2" max="2" width="54.140625" style="137" customWidth="1"/>
    <col min="3" max="16384" width="9.140625" style="137"/>
  </cols>
  <sheetData>
    <row r="1" spans="1:5">
      <c r="A1" s="145">
        <v>1</v>
      </c>
      <c r="B1" s="220" t="str">
        <f ca="1">IFERROR(__xludf.DUMMYFUNCTION("GOOGLETRANSLATE(B88:B103,""RU"",""UK"")"),"Ключ граничний (динамометричний) КПТ-200 попер. вимір. 50-200Нм")</f>
        <v>Ключ граничний (динамометричний) КПТ-200 попер. вимір. 50-200Нм</v>
      </c>
      <c r="C1" s="147" t="s">
        <v>6</v>
      </c>
      <c r="D1" s="147">
        <v>3</v>
      </c>
      <c r="E1" s="148">
        <v>1150</v>
      </c>
    </row>
    <row r="2" spans="1:5">
      <c r="A2" s="145">
        <f>A1+1</f>
        <v>2</v>
      </c>
      <c r="B2" s="146" t="str">
        <f ca="1">IFERROR(__xludf.DUMMYFUNCTION("GOOGLETRANSLATE(B89:B104,""RU"",""UK"")"),"Ключ динамометричний АС-301 попер. вимір. М-10кгм")</f>
        <v>Ключ динамометричний АС-301 попер. вимір. М-10кгм</v>
      </c>
      <c r="C2" s="147" t="s">
        <v>6</v>
      </c>
      <c r="D2" s="147">
        <v>1</v>
      </c>
      <c r="E2" s="148" t="s">
        <v>33</v>
      </c>
    </row>
    <row r="3" spans="1:5">
      <c r="A3" s="145">
        <f t="shared" ref="A3:A66" si="0">A2+1</f>
        <v>3</v>
      </c>
      <c r="B3" s="146" t="str">
        <f ca="1">IFERROR(__xludf.DUMMYFUNCTION("GOOGLETRANSLATE(B90:B105,""RU"",""UK"")"),"Ключ динамометричний ПТ-484 попер. вимір. М-40кгм")</f>
        <v>Ключ динамометричний ПТ-484 попер. вимір. М-40кгм</v>
      </c>
      <c r="C3" s="147" t="s">
        <v>6</v>
      </c>
      <c r="D3" s="147">
        <v>1</v>
      </c>
      <c r="E3" s="148" t="s">
        <v>80</v>
      </c>
    </row>
    <row r="4" spans="1:5">
      <c r="A4" s="145">
        <f t="shared" si="0"/>
        <v>4</v>
      </c>
      <c r="B4" s="146" t="str">
        <f ca="1">IFERROR(__xludf.DUMMYFUNCTION("GOOGLETRANSLATE(B91:B106,""RU"",""UK"")"),"Ключ трубний КТР-1 (10-36мм)")</f>
        <v>Ключ трубний КТР-1 (10-36мм)</v>
      </c>
      <c r="C4" s="147" t="s">
        <v>6</v>
      </c>
      <c r="D4" s="147">
        <v>0</v>
      </c>
      <c r="E4" s="148" t="s">
        <v>106</v>
      </c>
    </row>
    <row r="5" spans="1:5">
      <c r="A5" s="145">
        <f t="shared" si="0"/>
        <v>5</v>
      </c>
      <c r="B5" s="146" t="str">
        <f ca="1">IFERROR(__xludf.DUMMYFUNCTION("GOOGLETRANSLATE(B92:B107,""RU"",""UK"")"),"Ключ трубний КТР-2 (20-50мм)")</f>
        <v>Ключ трубний КТР-2 (20-50мм)</v>
      </c>
      <c r="C5" s="147" t="s">
        <v>6</v>
      </c>
      <c r="D5" s="147">
        <v>1</v>
      </c>
      <c r="E5" s="148" t="s">
        <v>148</v>
      </c>
    </row>
    <row r="6" spans="1:5">
      <c r="A6" s="145">
        <f t="shared" si="0"/>
        <v>6</v>
      </c>
      <c r="B6" s="172" t="str">
        <f ca="1">IFERROR(__xludf.DUMMYFUNCTION("GOOGLETRANSLATE(B93:B108,""RU"",""UK"")"),"Ключ трубний КТР-3 (20-63мм)")</f>
        <v>Ключ трубний КТР-3 (20-63мм)</v>
      </c>
      <c r="C6" s="147" t="s">
        <v>6</v>
      </c>
      <c r="D6" s="147">
        <v>0</v>
      </c>
      <c r="E6" s="148" t="s">
        <v>150</v>
      </c>
    </row>
    <row r="7" spans="1:5">
      <c r="A7" s="145">
        <f t="shared" si="0"/>
        <v>7</v>
      </c>
      <c r="B7" s="146" t="str">
        <f ca="1">IFERROR(__xludf.DUMMYFUNCTION("GOOGLETRANSLATE(B94:B109,""RU"",""UK"")"),"Ключ трубний №4 (25-90мм)")</f>
        <v>Ключ трубний №4 (25-90мм)</v>
      </c>
      <c r="C7" s="147" t="s">
        <v>6</v>
      </c>
      <c r="D7" s="147">
        <v>2</v>
      </c>
      <c r="E7" s="148" t="s">
        <v>88</v>
      </c>
    </row>
    <row r="8" spans="1:5">
      <c r="A8" s="145">
        <f t="shared" si="0"/>
        <v>8</v>
      </c>
      <c r="B8" s="172" t="str">
        <f ca="1">IFERROR(__xludf.DUMMYFUNCTION("GOOGLETRANSLATE(B95:B110,""RU"",""UK"")"),"Ключ трубний №5 (32-120мм)")</f>
        <v>Ключ трубний №5 (32-120мм)</v>
      </c>
      <c r="C8" s="147" t="s">
        <v>6</v>
      </c>
      <c r="D8" s="147">
        <v>1</v>
      </c>
      <c r="E8" s="148">
        <v>1550</v>
      </c>
    </row>
    <row r="9" spans="1:5">
      <c r="A9" s="145">
        <f t="shared" si="0"/>
        <v>9</v>
      </c>
      <c r="B9" s="146" t="str">
        <f ca="1">IFERROR(__xludf.DUMMYFUNCTION("GOOGLETRANSLATE(B96:B111,""RU"",""UK"")"),"Ключ трубний важильний Cr.-V, тип ""S"", Berg, 1"", 315мм")</f>
        <v>Ключ трубний важильний Cr.-V, тип "S", Berg, 1", 315мм</v>
      </c>
      <c r="C9" s="147" t="s">
        <v>6</v>
      </c>
      <c r="D9" s="147">
        <v>1</v>
      </c>
      <c r="E9" s="148" t="s">
        <v>155</v>
      </c>
    </row>
    <row r="10" spans="1:5">
      <c r="A10" s="145">
        <f t="shared" si="0"/>
        <v>10</v>
      </c>
      <c r="B10" s="146" t="str">
        <f ca="1">IFERROR(__xludf.DUMMYFUNCTION("GOOGLETRANSLATE(B97:B112,""RU"",""UK"")"),"Ключ трубний ланцюговий (50-130мм)")</f>
        <v>Ключ трубний ланцюговий (50-130мм)</v>
      </c>
      <c r="C10" s="147" t="s">
        <v>6</v>
      </c>
      <c r="D10" s="147">
        <v>0</v>
      </c>
      <c r="E10" s="148" t="s">
        <v>157</v>
      </c>
    </row>
    <row r="11" spans="1:5">
      <c r="A11" s="145">
        <f t="shared" si="0"/>
        <v>11</v>
      </c>
      <c r="B11" s="146" t="str">
        <f ca="1">IFERROR(__xludf.DUMMYFUNCTION("GOOGLETRANSLATE(B98:B113,""RU"",""UK"")"),"Ключ трубний самозатискний №2 (20-50мм)")</f>
        <v>Ключ трубний самозатискний №2 (20-50мм)</v>
      </c>
      <c r="C11" s="147" t="s">
        <v>6</v>
      </c>
      <c r="D11" s="147">
        <v>3</v>
      </c>
      <c r="E11" s="148" t="s">
        <v>159</v>
      </c>
    </row>
    <row r="12" spans="1:5">
      <c r="A12" s="145">
        <f t="shared" si="0"/>
        <v>12</v>
      </c>
      <c r="B12" s="146" t="str">
        <f ca="1">IFERROR(__xludf.DUMMYFUNCTION("GOOGLETRANSLATE(B99:B114,""RU"",""UK"")"),"Ключ розвідний ""Преміум"", Cr-V, 250мм")</f>
        <v>Ключ розвідний "Преміум", Cr-V, 250мм</v>
      </c>
      <c r="C12" s="147" t="s">
        <v>6</v>
      </c>
      <c r="D12" s="147">
        <v>0</v>
      </c>
      <c r="E12" s="148" t="s">
        <v>106</v>
      </c>
    </row>
    <row r="13" spans="1:5">
      <c r="A13" s="145">
        <f t="shared" si="0"/>
        <v>13</v>
      </c>
      <c r="B13" s="146" t="str">
        <f ca="1">IFERROR(__xludf.DUMMYFUNCTION("GOOGLETRANSLATE(B100:B115,""RU"",""UK"")"),"Ключ розвідний 0-30мм")</f>
        <v>Ключ розвідний 0-30мм</v>
      </c>
      <c r="C13" s="147" t="s">
        <v>6</v>
      </c>
      <c r="D13" s="147">
        <v>8</v>
      </c>
      <c r="E13" s="148" t="s">
        <v>162</v>
      </c>
    </row>
    <row r="14" spans="1:5">
      <c r="A14" s="145">
        <f t="shared" si="0"/>
        <v>14</v>
      </c>
      <c r="B14" s="146" t="str">
        <f ca="1">IFERROR(__xludf.DUMMYFUNCTION("GOOGLETRANSLATE(B101:B116,""RU"",""UK"")"),"Ключ розвідний 0-46мм")</f>
        <v>Ключ розвідний 0-46мм</v>
      </c>
      <c r="C14" s="147" t="s">
        <v>6</v>
      </c>
      <c r="D14" s="147">
        <v>30</v>
      </c>
      <c r="E14" s="148">
        <v>480</v>
      </c>
    </row>
    <row r="15" spans="1:5">
      <c r="A15" s="145">
        <f t="shared" si="0"/>
        <v>15</v>
      </c>
      <c r="B15" s="146" t="str">
        <f ca="1">IFERROR(__xludf.DUMMYFUNCTION("GOOGLETRANSLATE(B102:B117,""RU"",""UK"")"),"Ключ ріжково-накидний Cr-V 6мм")</f>
        <v>Ключ ріжково-накидний Cr-V 6мм</v>
      </c>
      <c r="C15" s="147" t="s">
        <v>6</v>
      </c>
      <c r="D15" s="147">
        <v>1</v>
      </c>
      <c r="E15" s="148" t="s">
        <v>165</v>
      </c>
    </row>
    <row r="16" spans="1:5">
      <c r="A16" s="145">
        <f t="shared" si="0"/>
        <v>16</v>
      </c>
      <c r="B16" s="172" t="str">
        <f ca="1">IFERROR(__xludf.DUMMYFUNCTION("GOOGLETRANSLATE(B103:B118,""RU"",""UK"")"),"Ключ ріжково-накидний Cr-V 7мм")</f>
        <v>Ключ ріжково-накидний Cr-V 7мм</v>
      </c>
      <c r="C16" s="147" t="s">
        <v>6</v>
      </c>
      <c r="D16" s="147">
        <v>0</v>
      </c>
      <c r="E16" s="148" t="s">
        <v>167</v>
      </c>
    </row>
    <row r="17" spans="1:5">
      <c r="A17" s="145">
        <f t="shared" si="0"/>
        <v>17</v>
      </c>
      <c r="B17" s="146" t="str">
        <f ca="1">IFERROR(__xludf.DUMMYFUNCTION("GOOGLETRANSLATE(B104:B119,""RU"",""UK"")"),"Ключ ріжково-накидний Cr-V 8мм")</f>
        <v>Ключ ріжково-накидний Cr-V 8мм</v>
      </c>
      <c r="C17" s="147" t="s">
        <v>6</v>
      </c>
      <c r="D17" s="147">
        <v>2</v>
      </c>
      <c r="E17" s="148" t="s">
        <v>169</v>
      </c>
    </row>
    <row r="18" spans="1:5">
      <c r="A18" s="145">
        <f t="shared" si="0"/>
        <v>18</v>
      </c>
      <c r="B18" s="146" t="str">
        <f ca="1">IFERROR(__xludf.DUMMYFUNCTION("GOOGLETRANSLATE(B105:B120,""RU"",""UK"")"),"Ключ ріжково-накидний 9мм")</f>
        <v>Ключ ріжково-накидний 9мм</v>
      </c>
      <c r="C18" s="147" t="s">
        <v>6</v>
      </c>
      <c r="D18" s="147">
        <v>3</v>
      </c>
      <c r="E18" s="148" t="s">
        <v>171</v>
      </c>
    </row>
    <row r="19" spans="1:5">
      <c r="A19" s="145">
        <f t="shared" si="0"/>
        <v>19</v>
      </c>
      <c r="B19" s="146" t="str">
        <f ca="1">IFERROR(__xludf.DUMMYFUNCTION("GOOGLETRANSLATE(B106:B121,""RU"",""UK"")"),"Ключ ріжково-накидний Cr-V 10мм")</f>
        <v>Ключ ріжково-накидний Cr-V 10мм</v>
      </c>
      <c r="C19" s="147" t="s">
        <v>6</v>
      </c>
      <c r="D19" s="147">
        <v>0</v>
      </c>
      <c r="E19" s="148" t="s">
        <v>173</v>
      </c>
    </row>
    <row r="20" spans="1:5">
      <c r="A20" s="145">
        <f t="shared" si="0"/>
        <v>20</v>
      </c>
      <c r="B20" s="146" t="str">
        <f ca="1">IFERROR(__xludf.DUMMYFUNCTION("GOOGLETRANSLATE(B107:B122,""RU"",""UK"")"),"Ключ ріжково-накидний 11мм")</f>
        <v>Ключ ріжково-накидний 11мм</v>
      </c>
      <c r="C20" s="147" t="s">
        <v>6</v>
      </c>
      <c r="D20" s="147">
        <v>4</v>
      </c>
      <c r="E20" s="148" t="s">
        <v>175</v>
      </c>
    </row>
    <row r="21" spans="1:5">
      <c r="A21" s="145">
        <f t="shared" si="0"/>
        <v>21</v>
      </c>
      <c r="B21" s="146" t="str">
        <f ca="1">IFERROR(__xludf.DUMMYFUNCTION("GOOGLETRANSLATE(B108:B123,""RU"",""UK"")"),"Ключ ріжково-накидний Cr-V 12мм")</f>
        <v>Ключ ріжково-накидний Cr-V 12мм</v>
      </c>
      <c r="C21" s="147" t="s">
        <v>6</v>
      </c>
      <c r="D21" s="147">
        <v>0</v>
      </c>
      <c r="E21" s="148" t="s">
        <v>177</v>
      </c>
    </row>
    <row r="22" spans="1:5">
      <c r="A22" s="145">
        <f t="shared" si="0"/>
        <v>22</v>
      </c>
      <c r="B22" s="146" t="str">
        <f ca="1">IFERROR(__xludf.DUMMYFUNCTION("GOOGLETRANSLATE(B109:B124,""RU"",""UK"")"),"Ключ ріжково-накидний Cr-V 13мм")</f>
        <v>Ключ ріжково-накидний Cr-V 13мм</v>
      </c>
      <c r="C22" s="147" t="s">
        <v>6</v>
      </c>
      <c r="D22" s="147">
        <v>0</v>
      </c>
      <c r="E22" s="148" t="s">
        <v>179</v>
      </c>
    </row>
    <row r="23" spans="1:5">
      <c r="A23" s="145">
        <f t="shared" si="0"/>
        <v>23</v>
      </c>
      <c r="B23" s="146" t="str">
        <f ca="1">IFERROR(__xludf.DUMMYFUNCTION("GOOGLETRANSLATE(B110:B125,""RU"",""UK"")"),"Ключ ріжково-накидний Cr-V 14мм")</f>
        <v>Ключ ріжково-накидний Cr-V 14мм</v>
      </c>
      <c r="C23" s="147" t="s">
        <v>6</v>
      </c>
      <c r="D23" s="147">
        <v>0</v>
      </c>
      <c r="E23" s="148" t="s">
        <v>181</v>
      </c>
    </row>
    <row r="24" spans="1:5">
      <c r="A24" s="145">
        <f t="shared" si="0"/>
        <v>24</v>
      </c>
      <c r="B24" s="146" t="str">
        <f ca="1">IFERROR(__xludf.DUMMYFUNCTION("GOOGLETRANSLATE(B111:B126,""RU"",""UK"")"),"Ключ ріжково-накидний Cr-V 15мм")</f>
        <v>Ключ ріжково-накидний Cr-V 15мм</v>
      </c>
      <c r="C24" s="147" t="s">
        <v>6</v>
      </c>
      <c r="D24" s="147">
        <v>1</v>
      </c>
      <c r="E24" s="148" t="s">
        <v>183</v>
      </c>
    </row>
    <row r="25" spans="1:5">
      <c r="A25" s="145">
        <f t="shared" si="0"/>
        <v>25</v>
      </c>
      <c r="B25" s="146" t="str">
        <f ca="1">IFERROR(__xludf.DUMMYFUNCTION("GOOGLETRANSLATE(B112:B127,""RU"",""UK"")"),"Ключ ріжково-накидний Cr-V 17мм")</f>
        <v>Ключ ріжково-накидний Cr-V 17мм</v>
      </c>
      <c r="C25" s="147" t="s">
        <v>6</v>
      </c>
      <c r="D25" s="147">
        <v>1</v>
      </c>
      <c r="E25" s="148" t="s">
        <v>185</v>
      </c>
    </row>
    <row r="26" spans="1:5">
      <c r="A26" s="145">
        <f t="shared" si="0"/>
        <v>26</v>
      </c>
      <c r="B26" s="146" t="str">
        <f ca="1">IFERROR(__xludf.DUMMYFUNCTION("GOOGLETRANSLATE(B113:B128,""RU"",""UK"")"),"Ключ ріжково-накидний Cr-V 19мм")</f>
        <v>Ключ ріжково-накидний Cr-V 19мм</v>
      </c>
      <c r="C26" s="147" t="s">
        <v>6</v>
      </c>
      <c r="D26" s="147">
        <v>1</v>
      </c>
      <c r="E26" s="148" t="s">
        <v>187</v>
      </c>
    </row>
    <row r="27" spans="1:5">
      <c r="A27" s="145">
        <f t="shared" si="0"/>
        <v>27</v>
      </c>
      <c r="B27" s="146" t="str">
        <f ca="1">IFERROR(__xludf.DUMMYFUNCTION("GOOGLETRANSLATE(B114:B129,""RU"",""UK"")"),"Ключ ріжково-накидний 20мм")</f>
        <v>Ключ ріжково-накидний 20мм</v>
      </c>
      <c r="C27" s="147" t="s">
        <v>6</v>
      </c>
      <c r="D27" s="147">
        <v>3</v>
      </c>
      <c r="E27" s="148">
        <v>105</v>
      </c>
    </row>
    <row r="28" spans="1:5">
      <c r="A28" s="145">
        <f t="shared" si="0"/>
        <v>28</v>
      </c>
      <c r="B28" s="146" t="str">
        <f ca="1">IFERROR(__xludf.DUMMYFUNCTION("GOOGLETRANSLATE(B115:B130,""RU"",""UK"")"),"Ключ ріжково-накидний 21мм")</f>
        <v>Ключ ріжково-накидний 21мм</v>
      </c>
      <c r="C28" s="147" t="s">
        <v>6</v>
      </c>
      <c r="D28" s="147">
        <v>1</v>
      </c>
      <c r="E28" s="148">
        <v>108</v>
      </c>
    </row>
    <row r="29" spans="1:5">
      <c r="A29" s="145">
        <f t="shared" si="0"/>
        <v>29</v>
      </c>
      <c r="B29" s="146" t="str">
        <f ca="1">IFERROR(__xludf.DUMMYFUNCTION("GOOGLETRANSLATE(B116:B131,""RU"",""UK"")"),"Ключ ріжково-накидний 23мм")</f>
        <v>Ключ ріжково-накидний 23мм</v>
      </c>
      <c r="C29" s="147" t="s">
        <v>6</v>
      </c>
      <c r="D29" s="147">
        <v>1</v>
      </c>
      <c r="E29" s="148">
        <v>180</v>
      </c>
    </row>
    <row r="30" spans="1:5">
      <c r="A30" s="145">
        <f t="shared" si="0"/>
        <v>30</v>
      </c>
      <c r="B30" s="146" t="str">
        <f ca="1">IFERROR(__xludf.DUMMYFUNCTION("GOOGLETRANSLATE(B117:B132,""RU"",""UK"")"),"Ключ ріжково-накидний Cr-V 24мм")</f>
        <v>Ключ ріжково-накидний Cr-V 24мм</v>
      </c>
      <c r="C30" s="147" t="s">
        <v>6</v>
      </c>
      <c r="D30" s="147">
        <v>0</v>
      </c>
      <c r="E30" s="148">
        <v>180</v>
      </c>
    </row>
    <row r="31" spans="1:5">
      <c r="A31" s="145">
        <f t="shared" si="0"/>
        <v>31</v>
      </c>
      <c r="B31" s="146" t="str">
        <f ca="1">IFERROR(__xludf.DUMMYFUNCTION("GOOGLETRANSLATE(B118:B133,""RU"",""UK"")"),"Ключ ріжково-накидний 26мм")</f>
        <v>Ключ ріжково-накидний 26мм</v>
      </c>
      <c r="C31" s="147" t="s">
        <v>6</v>
      </c>
      <c r="D31" s="147">
        <v>14</v>
      </c>
      <c r="E31" s="148">
        <v>210</v>
      </c>
    </row>
    <row r="32" spans="1:5">
      <c r="A32" s="145">
        <f t="shared" si="0"/>
        <v>32</v>
      </c>
      <c r="B32" s="146" t="str">
        <f ca="1">IFERROR(__xludf.DUMMYFUNCTION("GOOGLETRANSLATE(B119:B134,""RU"",""UK"")"),"Ключ ріжково-накидний 27мм")</f>
        <v>Ключ ріжково-накидний 27мм</v>
      </c>
      <c r="C32" s="147" t="s">
        <v>6</v>
      </c>
      <c r="D32" s="147">
        <v>1</v>
      </c>
      <c r="E32" s="148">
        <v>218</v>
      </c>
    </row>
    <row r="33" spans="1:5">
      <c r="A33" s="145">
        <f t="shared" si="0"/>
        <v>33</v>
      </c>
      <c r="B33" s="146" t="str">
        <f ca="1">IFERROR(__xludf.DUMMYFUNCTION("GOOGLETRANSLATE(B120:B135,""RU"",""UK"")"),"Ключ ріжково-накидний 29мм")</f>
        <v>Ключ ріжково-накидний 29мм</v>
      </c>
      <c r="C33" s="147" t="s">
        <v>6</v>
      </c>
      <c r="D33" s="147">
        <v>5</v>
      </c>
      <c r="E33" s="148" t="s">
        <v>199</v>
      </c>
    </row>
    <row r="34" spans="1:5">
      <c r="A34" s="145">
        <f t="shared" si="0"/>
        <v>34</v>
      </c>
      <c r="B34" s="146" t="str">
        <f ca="1">IFERROR(__xludf.DUMMYFUNCTION("GOOGLETRANSLATE(B120:B135,""RU"",""UK"")"),"Ключ ріжково-накидний 32мм")</f>
        <v>Ключ ріжково-накидний 32мм</v>
      </c>
      <c r="C34" s="147" t="s">
        <v>6</v>
      </c>
      <c r="D34" s="147">
        <v>1</v>
      </c>
      <c r="E34" s="148">
        <v>330</v>
      </c>
    </row>
    <row r="35" spans="1:5">
      <c r="A35" s="145">
        <f t="shared" si="0"/>
        <v>35</v>
      </c>
      <c r="B35" s="146" t="str">
        <f ca="1">IFERROR(__xludf.DUMMYFUNCTION("GOOGLETRANSLATE(B122:B137,""RU"",""UK"")"),"Ключ накидний 8х10мм")</f>
        <v>Ключ накидний 8х10мм</v>
      </c>
      <c r="C35" s="147" t="s">
        <v>6</v>
      </c>
      <c r="D35" s="147">
        <v>0</v>
      </c>
      <c r="E35" s="148" t="s">
        <v>203</v>
      </c>
    </row>
    <row r="36" spans="1:5">
      <c r="A36" s="145">
        <f t="shared" si="0"/>
        <v>36</v>
      </c>
      <c r="B36" s="146" t="str">
        <f ca="1">IFERROR(__xludf.DUMMYFUNCTION("GOOGLETRANSLATE(B123:B138,""RU"",""UK"")"),"Ключ накидний 10х12мм")</f>
        <v>Ключ накидний 10х12мм</v>
      </c>
      <c r="C36" s="147" t="s">
        <v>6</v>
      </c>
      <c r="D36" s="147">
        <v>2</v>
      </c>
      <c r="E36" s="148" t="s">
        <v>205</v>
      </c>
    </row>
    <row r="37" spans="1:5">
      <c r="A37" s="145">
        <f t="shared" si="0"/>
        <v>37</v>
      </c>
      <c r="B37" s="146" t="str">
        <f ca="1">IFERROR(__xludf.DUMMYFUNCTION("GOOGLETRANSLATE(B124:B139,""RU"",""UK"")"),"Ключ накидний 12х13мм")</f>
        <v>Ключ накидний 12х13мм</v>
      </c>
      <c r="C37" s="147" t="s">
        <v>6</v>
      </c>
      <c r="D37" s="147">
        <v>0</v>
      </c>
      <c r="E37" s="148" t="s">
        <v>207</v>
      </c>
    </row>
    <row r="38" spans="1:5">
      <c r="A38" s="145">
        <f t="shared" si="0"/>
        <v>38</v>
      </c>
      <c r="B38" s="146" t="str">
        <f ca="1">IFERROR(__xludf.DUMMYFUNCTION("GOOGLETRANSLATE(B125:B140,""RU"",""UK"")"),"Ключ накидний 14х17мм")</f>
        <v>Ключ накидний 14х17мм</v>
      </c>
      <c r="C38" s="147" t="s">
        <v>6</v>
      </c>
      <c r="D38" s="147">
        <v>4</v>
      </c>
      <c r="E38" s="148">
        <v>99</v>
      </c>
    </row>
    <row r="39" spans="1:5">
      <c r="A39" s="145">
        <f t="shared" si="0"/>
        <v>39</v>
      </c>
      <c r="B39" s="146" t="str">
        <f ca="1">IFERROR(__xludf.DUMMYFUNCTION("GOOGLETRANSLATE(B126:B141,""RU"",""UK"")"),"Ключ накидний 14х19мм")</f>
        <v>Ключ накидний 14х19мм</v>
      </c>
      <c r="C39" s="147" t="s">
        <v>6</v>
      </c>
      <c r="D39" s="147">
        <v>1</v>
      </c>
      <c r="E39" s="148" t="s">
        <v>212</v>
      </c>
    </row>
    <row r="40" spans="1:5">
      <c r="A40" s="145">
        <f t="shared" si="0"/>
        <v>40</v>
      </c>
      <c r="B40" s="146" t="str">
        <f ca="1">IFERROR(__xludf.DUMMYFUNCTION("GOOGLETRANSLATE(B127:B142,""RU"",""UK"")"),"Ключ накидний 17х19 мм")</f>
        <v>Ключ накидний 17х19 мм</v>
      </c>
      <c r="C40" s="147" t="s">
        <v>6</v>
      </c>
      <c r="D40" s="147">
        <v>2</v>
      </c>
      <c r="E40" s="148" t="s">
        <v>214</v>
      </c>
    </row>
    <row r="41" spans="1:5">
      <c r="A41" s="145">
        <f t="shared" si="0"/>
        <v>41</v>
      </c>
      <c r="B41" s="146" t="str">
        <f ca="1">IFERROR(__xludf.DUMMYFUNCTION("GOOGLETRANSLATE(B128:B143,""RU"",""UK"")"),"Ключ накидний 19х22мм")</f>
        <v>Ключ накидний 19х22мм</v>
      </c>
      <c r="C41" s="147" t="s">
        <v>6</v>
      </c>
      <c r="D41" s="147">
        <v>3</v>
      </c>
      <c r="E41" s="148">
        <v>180</v>
      </c>
    </row>
    <row r="42" spans="1:5">
      <c r="A42" s="145">
        <f t="shared" si="0"/>
        <v>42</v>
      </c>
      <c r="B42" s="146" t="str">
        <f ca="1">IFERROR(__xludf.DUMMYFUNCTION("GOOGLETRANSLATE(B129:B144,""RU"",""UK"")"),"Ключ накидний 20х22мм")</f>
        <v>Ключ накидний 20х22мм</v>
      </c>
      <c r="C42" s="147" t="s">
        <v>6</v>
      </c>
      <c r="D42" s="147">
        <v>5</v>
      </c>
      <c r="E42" s="148">
        <v>198</v>
      </c>
    </row>
    <row r="43" spans="1:5">
      <c r="A43" s="145">
        <f t="shared" si="0"/>
        <v>43</v>
      </c>
      <c r="B43" s="146" t="str">
        <f ca="1">IFERROR(__xludf.DUMMYFUNCTION("GOOGLETRANSLATE(B130:B145,""RU"",""UK"")"),"Ключ накидний 25х28мм")</f>
        <v>Ключ накидний 25х28мм</v>
      </c>
      <c r="C43" s="147" t="s">
        <v>6</v>
      </c>
      <c r="D43" s="147">
        <v>1</v>
      </c>
      <c r="E43" s="148">
        <v>210</v>
      </c>
    </row>
    <row r="44" spans="1:5">
      <c r="A44" s="145">
        <f t="shared" si="0"/>
        <v>44</v>
      </c>
      <c r="B44" s="146" t="str">
        <f ca="1">IFERROR(__xludf.DUMMYFUNCTION("GOOGLETRANSLATE(B131:B146,""RU"",""UK"")"),"Ключ накидний 24х30мм")</f>
        <v>Ключ накидний 24х30мм</v>
      </c>
      <c r="C44" s="147" t="s">
        <v>6</v>
      </c>
      <c r="D44" s="147">
        <v>4</v>
      </c>
      <c r="E44" s="148">
        <v>240</v>
      </c>
    </row>
    <row r="45" spans="1:5">
      <c r="A45" s="145">
        <f t="shared" si="0"/>
        <v>45</v>
      </c>
      <c r="B45" s="146" t="str">
        <f ca="1">IFERROR(__xludf.DUMMYFUNCTION("GOOGLETRANSLATE(B133:B148,""RU"",""UK"")"),"Ключ накидний короткий 32мм")</f>
        <v>Ключ накидний короткий 32мм</v>
      </c>
      <c r="C45" s="147" t="s">
        <v>6</v>
      </c>
      <c r="D45" s="147">
        <v>2</v>
      </c>
      <c r="E45" s="148" t="s">
        <v>226</v>
      </c>
    </row>
    <row r="46" spans="1:5">
      <c r="A46" s="145">
        <f t="shared" si="0"/>
        <v>46</v>
      </c>
      <c r="B46" s="146" t="str">
        <f ca="1">IFERROR(__xludf.DUMMYFUNCTION("GOOGLETRANSLATE(B134:B149,""RU"",""UK"")"),"Ключ накидний ударний 17мм")</f>
        <v>Ключ накидний ударний 17мм</v>
      </c>
      <c r="C46" s="147" t="s">
        <v>6</v>
      </c>
      <c r="D46" s="147">
        <v>7</v>
      </c>
      <c r="E46" s="148" t="s">
        <v>140</v>
      </c>
    </row>
    <row r="47" spans="1:5">
      <c r="A47" s="145">
        <f t="shared" si="0"/>
        <v>47</v>
      </c>
      <c r="B47" s="146" t="str">
        <f ca="1">IFERROR(__xludf.DUMMYFUNCTION("GOOGLETRANSLATE(B135:B150,""RU"",""UK"")"),"Ключ накидний ударний 32мм")</f>
        <v>Ключ накидний ударний 32мм</v>
      </c>
      <c r="C47" s="147" t="s">
        <v>6</v>
      </c>
      <c r="D47" s="147">
        <v>1</v>
      </c>
      <c r="E47" s="148" t="s">
        <v>16</v>
      </c>
    </row>
    <row r="48" spans="1:5">
      <c r="A48" s="145">
        <f t="shared" si="0"/>
        <v>48</v>
      </c>
      <c r="B48" s="146" t="str">
        <f ca="1">IFERROR(__xludf.DUMMYFUNCTION("GOOGLETRANSLATE(B136:B151,""RU"",""UK"")"),"Ключ накидний ударний 50мм")</f>
        <v>Ключ накидний ударний 50мм</v>
      </c>
      <c r="C48" s="147" t="s">
        <v>6</v>
      </c>
      <c r="D48" s="147">
        <v>5</v>
      </c>
      <c r="E48" s="148">
        <v>750</v>
      </c>
    </row>
    <row r="49" spans="1:5">
      <c r="A49" s="145">
        <f t="shared" si="0"/>
        <v>49</v>
      </c>
      <c r="B49" s="172" t="str">
        <f ca="1">IFERROR(__xludf.DUMMYFUNCTION("GOOGLETRANSLATE(B136:B151,""RU"",""UK"")"),"Ключ накидний ударний 55мм")</f>
        <v>Ключ накидний ударний 55мм</v>
      </c>
      <c r="C49" s="147" t="s">
        <v>6</v>
      </c>
      <c r="D49" s="147">
        <v>0</v>
      </c>
      <c r="E49" s="148" t="s">
        <v>63</v>
      </c>
    </row>
    <row r="50" spans="1:5">
      <c r="A50" s="145">
        <f t="shared" si="0"/>
        <v>50</v>
      </c>
      <c r="B50" s="172" t="str">
        <f ca="1">IFERROR(__xludf.DUMMYFUNCTION("GOOGLETRANSLATE(B137:B152,""RU"",""UK"")"),"Ключ накидний ударний 70мм")</f>
        <v>Ключ накидний ударний 70мм</v>
      </c>
      <c r="C50" s="147" t="s">
        <v>6</v>
      </c>
      <c r="D50" s="147">
        <v>0</v>
      </c>
      <c r="E50" s="148">
        <v>1150</v>
      </c>
    </row>
    <row r="51" spans="1:5">
      <c r="A51" s="145">
        <f t="shared" si="0"/>
        <v>51</v>
      </c>
      <c r="B51" s="172" t="str">
        <f ca="1">IFERROR(__xludf.DUMMYFUNCTION("GOOGLETRANSLATE(B138:B153,""RU"",""UK"")"),"Ключ накидний ударний 75мм")</f>
        <v>Ключ накидний ударний 75мм</v>
      </c>
      <c r="C51" s="147" t="s">
        <v>6</v>
      </c>
      <c r="D51" s="147">
        <v>0</v>
      </c>
      <c r="E51" s="148">
        <v>1200</v>
      </c>
    </row>
    <row r="52" spans="1:5">
      <c r="A52" s="145">
        <f t="shared" si="0"/>
        <v>52</v>
      </c>
      <c r="B52" s="146" t="str">
        <f ca="1">IFERROR(__xludf.DUMMYFUNCTION("GOOGLETRANSLATE(B139:B154,""RU"",""UK"")"),"Ключ накидний ударний 136мм")</f>
        <v>Ключ накидний ударний 136мм</v>
      </c>
      <c r="C52" s="147" t="s">
        <v>6</v>
      </c>
      <c r="D52" s="147">
        <v>1</v>
      </c>
      <c r="E52" s="148" t="s">
        <v>235</v>
      </c>
    </row>
    <row r="53" spans="1:5">
      <c r="A53" s="145">
        <f t="shared" si="0"/>
        <v>53</v>
      </c>
      <c r="B53" s="146" t="str">
        <f ca="1">IFERROR(__xludf.DUMMYFUNCTION("GOOGLETRANSLATE(B140:B155,""RU"",""UK"")"),"Ключ накидний ударний 145мм")</f>
        <v>Ключ накидний ударний 145мм</v>
      </c>
      <c r="C53" s="147" t="s">
        <v>6</v>
      </c>
      <c r="D53" s="147">
        <v>1</v>
      </c>
      <c r="E53" s="148" t="s">
        <v>237</v>
      </c>
    </row>
    <row r="54" spans="1:5">
      <c r="A54" s="145">
        <f t="shared" si="0"/>
        <v>54</v>
      </c>
      <c r="B54" s="146" t="str">
        <f ca="1">IFERROR(__xludf.DUMMYFUNCTION("GOOGLETRANSLATE(B141:B156,""RU"",""UK"")"),"Ключ ріжковий 4х5мм")</f>
        <v>Ключ ріжковий 4х5мм</v>
      </c>
      <c r="C54" s="147" t="s">
        <v>6</v>
      </c>
      <c r="D54" s="147">
        <v>70</v>
      </c>
      <c r="E54" s="148" t="s">
        <v>239</v>
      </c>
    </row>
    <row r="55" spans="1:5">
      <c r="A55" s="145">
        <f t="shared" si="0"/>
        <v>55</v>
      </c>
      <c r="B55" s="146" t="str">
        <f ca="1">IFERROR(__xludf.DUMMYFUNCTION("GOOGLETRANSLATE(B142:B157,""RU"",""UK"")"),"Ключ ріжковий 5.5х7мм")</f>
        <v>Ключ ріжковий 5.5х7мм</v>
      </c>
      <c r="C55" s="147" t="s">
        <v>6</v>
      </c>
      <c r="D55" s="147">
        <v>29</v>
      </c>
      <c r="E55" s="148" t="s">
        <v>241</v>
      </c>
    </row>
    <row r="56" spans="1:5">
      <c r="A56" s="145">
        <f t="shared" si="0"/>
        <v>56</v>
      </c>
      <c r="B56" s="146" t="str">
        <f ca="1">IFERROR(__xludf.DUMMYFUNCTION("GOOGLETRANSLATE(B143:B158,""RU"",""UK"")"),"Ключ ріжковий 7х8мм")</f>
        <v>Ключ ріжковий 7х8мм</v>
      </c>
      <c r="C56" s="147" t="s">
        <v>6</v>
      </c>
      <c r="D56" s="147">
        <v>10</v>
      </c>
      <c r="E56" s="148" t="s">
        <v>243</v>
      </c>
    </row>
    <row r="57" spans="1:5">
      <c r="A57" s="145">
        <f t="shared" si="0"/>
        <v>57</v>
      </c>
      <c r="B57" s="146" t="str">
        <f ca="1">IFERROR(__xludf.DUMMYFUNCTION("GOOGLETRANSLATE(B144:B159,""RU"",""UK"")"),"Ключ ріжковий 8х10мм")</f>
        <v>Ключ ріжковий 8х10мм</v>
      </c>
      <c r="C57" s="147" t="s">
        <v>6</v>
      </c>
      <c r="D57" s="147">
        <v>190</v>
      </c>
      <c r="E57" s="148">
        <v>27</v>
      </c>
    </row>
    <row r="58" spans="1:5">
      <c r="A58" s="145">
        <f t="shared" si="0"/>
        <v>58</v>
      </c>
      <c r="B58" s="146" t="str">
        <f ca="1">IFERROR(__xludf.DUMMYFUNCTION("GOOGLETRANSLATE(B146:B161,""RU"",""UK"")"),"Ключ ріжковий 10х12мм")</f>
        <v>Ключ ріжковий 10х12мм</v>
      </c>
      <c r="C58" s="147" t="s">
        <v>6</v>
      </c>
      <c r="D58" s="147">
        <v>49</v>
      </c>
      <c r="E58" s="148" t="s">
        <v>248</v>
      </c>
    </row>
    <row r="59" spans="1:5">
      <c r="A59" s="145">
        <f t="shared" si="0"/>
        <v>59</v>
      </c>
      <c r="B59" s="146" t="str">
        <f ca="1">IFERROR(__xludf.DUMMYFUNCTION("GOOGLETRANSLATE(B147:B162,""RU"",""UK"")"),"Ключ ріжковий 12х13мм")</f>
        <v>Ключ ріжковий 12х13мм</v>
      </c>
      <c r="C59" s="147" t="s">
        <v>6</v>
      </c>
      <c r="D59" s="147">
        <v>38</v>
      </c>
      <c r="E59" s="148" t="s">
        <v>169</v>
      </c>
    </row>
    <row r="60" spans="1:5">
      <c r="A60" s="145">
        <f t="shared" si="0"/>
        <v>60</v>
      </c>
      <c r="B60" s="146" t="str">
        <f ca="1">IFERROR(__xludf.DUMMYFUNCTION("GOOGLETRANSLATE(B148:B163,""RU"",""UK"")"),"Ключ ріжковий 12х14мм")</f>
        <v>Ключ ріжковий 12х14мм</v>
      </c>
      <c r="C60" s="147" t="s">
        <v>6</v>
      </c>
      <c r="D60" s="147">
        <v>1288</v>
      </c>
      <c r="E60" s="148" t="s">
        <v>201</v>
      </c>
    </row>
    <row r="61" spans="1:5">
      <c r="A61" s="145">
        <f t="shared" si="0"/>
        <v>61</v>
      </c>
      <c r="B61" s="146" t="str">
        <f ca="1">IFERROR(__xludf.DUMMYFUNCTION("GOOGLETRANSLATE(B149:B164,""RU"",""UK"")"),"Ключ ріжковий 13х14мм")</f>
        <v>Ключ ріжковий 13х14мм</v>
      </c>
      <c r="C61" s="147" t="s">
        <v>6</v>
      </c>
      <c r="D61" s="192">
        <v>5</v>
      </c>
      <c r="E61" s="148" t="s">
        <v>253</v>
      </c>
    </row>
    <row r="62" spans="1:5">
      <c r="A62" s="145">
        <f t="shared" si="0"/>
        <v>62</v>
      </c>
      <c r="B62" s="146" t="str">
        <f ca="1">IFERROR(__xludf.DUMMYFUNCTION("GOOGLETRANSLATE(B149:B164,""RU"",""UK"")"),"Ключ ріжковий 13х17мм")</f>
        <v>Ключ ріжковий 13х17мм</v>
      </c>
      <c r="C62" s="147" t="s">
        <v>6</v>
      </c>
      <c r="D62" s="192">
        <v>23</v>
      </c>
      <c r="E62" s="148" t="s">
        <v>253</v>
      </c>
    </row>
    <row r="63" spans="1:5">
      <c r="A63" s="145">
        <f t="shared" si="0"/>
        <v>63</v>
      </c>
      <c r="B63" s="146" t="str">
        <f ca="1">IFERROR(__xludf.DUMMYFUNCTION("GOOGLETRANSLATE(B150:B165,""RU"",""UK"")"),"Ключ ріжковий 14х17мм")</f>
        <v>Ключ ріжковий 14х17мм</v>
      </c>
      <c r="C63" s="147" t="s">
        <v>6</v>
      </c>
      <c r="D63" s="147">
        <v>294</v>
      </c>
      <c r="E63" s="148" t="s">
        <v>255</v>
      </c>
    </row>
    <row r="64" spans="1:5">
      <c r="A64" s="145">
        <f t="shared" si="0"/>
        <v>64</v>
      </c>
      <c r="B64" s="146" t="str">
        <f ca="1">IFERROR(__xludf.DUMMYFUNCTION("GOOGLETRANSLATE(B151:B166,""RU"",""UK"")"),"Ключ ріжковий 17х19мм")</f>
        <v>Ключ ріжковий 17х19мм</v>
      </c>
      <c r="C64" s="147" t="s">
        <v>6</v>
      </c>
      <c r="D64" s="147">
        <v>180</v>
      </c>
      <c r="E64" s="148" t="s">
        <v>257</v>
      </c>
    </row>
    <row r="65" spans="1:5">
      <c r="A65" s="145">
        <f t="shared" si="0"/>
        <v>65</v>
      </c>
      <c r="B65" s="146" t="str">
        <f ca="1">IFERROR(__xludf.DUMMYFUNCTION("GOOGLETRANSLATE(B152:B167,""RU"",""UK"")"),"Ключ ріжковий 17х22мм")</f>
        <v>Ключ ріжковий 17х22мм</v>
      </c>
      <c r="C65" s="147" t="s">
        <v>6</v>
      </c>
      <c r="D65" s="147">
        <v>17</v>
      </c>
      <c r="E65" s="148" t="s">
        <v>212</v>
      </c>
    </row>
    <row r="66" spans="1:5">
      <c r="A66" s="145">
        <f t="shared" si="0"/>
        <v>66</v>
      </c>
      <c r="B66" s="146" t="str">
        <f ca="1">IFERROR(__xludf.DUMMYFUNCTION("GOOGLETRANSLATE(B153:B168,""RU"",""UK"")"),"Ключ ріжковий 19х22мм")</f>
        <v>Ключ ріжковий 19х22мм</v>
      </c>
      <c r="C66" s="147" t="s">
        <v>6</v>
      </c>
      <c r="D66" s="147">
        <v>460</v>
      </c>
      <c r="E66" s="148" t="s">
        <v>136</v>
      </c>
    </row>
    <row r="67" spans="1:5">
      <c r="A67" s="145">
        <f t="shared" ref="A67:A131" si="1">A66+1</f>
        <v>67</v>
      </c>
      <c r="B67" s="146" t="str">
        <f ca="1">IFERROR(__xludf.DUMMYFUNCTION("GOOGLETRANSLATE(B154:B169,""RU"",""UK"")"),"Ключ ріжковий 22х24мм")</f>
        <v>Ключ ріжковий 22х24мм</v>
      </c>
      <c r="C67" s="147" t="s">
        <v>6</v>
      </c>
      <c r="D67" s="147">
        <v>240</v>
      </c>
      <c r="E67" s="148" t="s">
        <v>261</v>
      </c>
    </row>
    <row r="68" spans="1:5">
      <c r="A68" s="145">
        <f t="shared" si="1"/>
        <v>68</v>
      </c>
      <c r="B68" s="146" t="str">
        <f ca="1">IFERROR(__xludf.DUMMYFUNCTION("GOOGLETRANSLATE(B155:B170,""RU"",""UK"")"),"Ключ ріжковий 24х27мм")</f>
        <v>Ключ ріжковий 24х27мм</v>
      </c>
      <c r="C68" s="147" t="s">
        <v>6</v>
      </c>
      <c r="D68" s="147">
        <v>317</v>
      </c>
      <c r="E68" s="148" t="s">
        <v>263</v>
      </c>
    </row>
    <row r="69" spans="1:5">
      <c r="A69" s="145">
        <f t="shared" si="1"/>
        <v>69</v>
      </c>
      <c r="B69" s="146" t="str">
        <f ca="1">IFERROR(__xludf.DUMMYFUNCTION("GOOGLETRANSLATE(B157:B172,""RU"",""UK"")"),"Ключ ріжковий 27х30мм")</f>
        <v>Ключ ріжковий 27х30мм</v>
      </c>
      <c r="C69" s="147" t="s">
        <v>6</v>
      </c>
      <c r="D69" s="147">
        <v>439</v>
      </c>
      <c r="E69" s="148">
        <v>210</v>
      </c>
    </row>
    <row r="70" spans="1:5">
      <c r="A70" s="145">
        <f t="shared" si="1"/>
        <v>70</v>
      </c>
      <c r="B70" s="146" t="str">
        <f ca="1">IFERROR(__xludf.DUMMYFUNCTION("GOOGLETRANSLATE(B158:B173,""RU"",""UK"")"),"Ключ ріжковий 30х32мм")</f>
        <v>Ключ ріжковий 30х32мм</v>
      </c>
      <c r="C70" s="147" t="s">
        <v>6</v>
      </c>
      <c r="D70" s="147">
        <v>517</v>
      </c>
      <c r="E70" s="148" t="s">
        <v>20</v>
      </c>
    </row>
    <row r="71" spans="1:5">
      <c r="A71" s="145">
        <f t="shared" si="1"/>
        <v>71</v>
      </c>
      <c r="B71" s="146" t="str">
        <f ca="1">IFERROR(__xludf.DUMMYFUNCTION("GOOGLETRANSLATE(B159:B174,""RU"",""UK"")"),"Ключ ріжковий 32х36мм")</f>
        <v>Ключ ріжковий 32х36мм</v>
      </c>
      <c r="C71" s="147" t="s">
        <v>6</v>
      </c>
      <c r="D71" s="147">
        <v>5</v>
      </c>
      <c r="E71" s="148">
        <v>330</v>
      </c>
    </row>
    <row r="72" spans="1:5">
      <c r="A72" s="145">
        <f t="shared" si="1"/>
        <v>72</v>
      </c>
      <c r="B72" s="146" t="str">
        <f ca="1">IFERROR(__xludf.DUMMYFUNCTION("GOOGLETRANSLATE(B160:B175,""RU"",""UK"")"),"Ключ ріжковий 36х41мм")</f>
        <v>Ключ ріжковий 36х41мм</v>
      </c>
      <c r="C72" s="147" t="s">
        <v>6</v>
      </c>
      <c r="D72" s="147">
        <v>284</v>
      </c>
      <c r="E72" s="148">
        <v>360</v>
      </c>
    </row>
    <row r="73" spans="1:5">
      <c r="A73" s="145">
        <f t="shared" si="1"/>
        <v>73</v>
      </c>
      <c r="B73" s="146" t="str">
        <f ca="1">IFERROR(__xludf.DUMMYFUNCTION("GOOGLETRANSLATE(B161:B176,""RU"",""UK"")"),"Ключ ріжковий 41х46мм")</f>
        <v>Ключ ріжковий 41х46мм</v>
      </c>
      <c r="C73" s="147" t="s">
        <v>6</v>
      </c>
      <c r="D73" s="147">
        <v>26</v>
      </c>
      <c r="E73" s="148">
        <v>420</v>
      </c>
    </row>
    <row r="74" spans="1:5">
      <c r="A74" s="145">
        <f t="shared" si="1"/>
        <v>74</v>
      </c>
      <c r="B74" s="146" t="str">
        <f ca="1">IFERROR(__xludf.DUMMYFUNCTION("GOOGLETRANSLATE(B162:B177,""RU"",""UK"")"),"Ключ ріжковий 46х50мм")</f>
        <v>Ключ ріжковий 46х50мм</v>
      </c>
      <c r="C74" s="147" t="s">
        <v>6</v>
      </c>
      <c r="D74" s="147">
        <v>70</v>
      </c>
      <c r="E74" s="148">
        <v>570</v>
      </c>
    </row>
    <row r="75" spans="1:5">
      <c r="A75" s="145">
        <f t="shared" si="1"/>
        <v>75</v>
      </c>
      <c r="B75" s="146" t="str">
        <f ca="1">IFERROR(__xludf.DUMMYFUNCTION("GOOGLETRANSLATE(B163:B178,""RU"",""UK"")"),"Ключ ріжковий 50х55мм")</f>
        <v>Ключ ріжковий 50х55мм</v>
      </c>
      <c r="C75" s="147" t="s">
        <v>6</v>
      </c>
      <c r="D75" s="147">
        <v>18</v>
      </c>
      <c r="E75" s="148">
        <v>720</v>
      </c>
    </row>
    <row r="76" spans="1:5">
      <c r="A76" s="145">
        <f t="shared" si="1"/>
        <v>76</v>
      </c>
      <c r="B76" s="146" t="str">
        <f ca="1">IFERROR(__xludf.DUMMYFUNCTION("GOOGLETRANSLATE(B164:B179,""RU"",""UK"")"),"Ключ ріжковий 65х70мм")</f>
        <v>Ключ ріжковий 65х70мм</v>
      </c>
      <c r="C76" s="147" t="s">
        <v>6</v>
      </c>
      <c r="D76" s="147">
        <v>2</v>
      </c>
      <c r="E76" s="148">
        <v>1000</v>
      </c>
    </row>
    <row r="77" spans="1:5">
      <c r="A77" s="145">
        <f t="shared" si="1"/>
        <v>77</v>
      </c>
      <c r="B77" s="146" t="str">
        <f ca="1">IFERROR(__xludf.DUMMYFUNCTION("GOOGLETRANSLATE(B135:B150,""RU"",""UK"")"),"Ключ ріжковий ударний 27мм")</f>
        <v>Ключ ріжковий ударний 27мм</v>
      </c>
      <c r="C77" s="147" t="s">
        <v>6</v>
      </c>
      <c r="D77" s="147">
        <v>2</v>
      </c>
      <c r="E77" s="148">
        <v>300</v>
      </c>
    </row>
    <row r="78" spans="1:5">
      <c r="A78" s="145">
        <f t="shared" si="1"/>
        <v>78</v>
      </c>
      <c r="B78" s="146" t="str">
        <f ca="1">IFERROR(__xludf.DUMMYFUNCTION("GOOGLETRANSLATE(B165:B180,""RU"",""UK"")"),"Ключ ріжковий 41мм")</f>
        <v>Ключ ріжковий 41мм</v>
      </c>
      <c r="C78" s="147" t="s">
        <v>6</v>
      </c>
      <c r="D78" s="147">
        <v>0</v>
      </c>
      <c r="E78" s="148">
        <v>250</v>
      </c>
    </row>
    <row r="79" spans="1:5">
      <c r="A79" s="145">
        <f t="shared" si="1"/>
        <v>79</v>
      </c>
      <c r="B79" s="146" t="str">
        <f ca="1">IFERROR(__xludf.DUMMYFUNCTION("GOOGLETRANSLATE(B166:B181,""RU"",""UK"")"),"Ключ ріжковий 46мм")</f>
        <v>Ключ ріжковий 46мм</v>
      </c>
      <c r="C79" s="147" t="s">
        <v>6</v>
      </c>
      <c r="D79" s="147">
        <v>51</v>
      </c>
      <c r="E79" s="148">
        <v>300</v>
      </c>
    </row>
    <row r="80" spans="1:5">
      <c r="A80" s="145">
        <f t="shared" si="1"/>
        <v>80</v>
      </c>
      <c r="B80" s="146" t="str">
        <f ca="1">IFERROR(__xludf.DUMMYFUNCTION("GOOGLETRANSLATE(B167:B182,""RU"",""UK"")"),"Ключ ріжковий 50мм тонкий")</f>
        <v>Ключ ріжковий 50мм тонкий</v>
      </c>
      <c r="C80" s="147" t="s">
        <v>6</v>
      </c>
      <c r="D80" s="147">
        <v>10</v>
      </c>
      <c r="E80" s="148">
        <v>300</v>
      </c>
    </row>
    <row r="81" spans="1:5">
      <c r="A81" s="145">
        <f t="shared" si="1"/>
        <v>81</v>
      </c>
      <c r="B81" s="146" t="str">
        <f ca="1">IFERROR(__xludf.DUMMYFUNCTION("GOOGLETRANSLATE(B168:B183,""RU"",""UK"")"),"Ключ ріжковий 55мм")</f>
        <v>Ключ ріжковий 55мм</v>
      </c>
      <c r="C81" s="147" t="s">
        <v>6</v>
      </c>
      <c r="D81" s="147">
        <v>115</v>
      </c>
      <c r="E81" s="148">
        <v>450</v>
      </c>
    </row>
    <row r="82" spans="1:5">
      <c r="A82" s="145">
        <f t="shared" si="1"/>
        <v>82</v>
      </c>
      <c r="B82" s="194" t="str">
        <f ca="1">IFERROR(__xludf.DUMMYFUNCTION("GOOGLETRANSLATE(B169:B184,""RU"",""UK"")"),"Ключ ріжковий 60мм")</f>
        <v>Ключ ріжковий 60мм</v>
      </c>
      <c r="C82" s="147" t="s">
        <v>6</v>
      </c>
      <c r="D82" s="147">
        <v>8</v>
      </c>
      <c r="E82" s="148">
        <v>800</v>
      </c>
    </row>
    <row r="83" spans="1:5">
      <c r="A83" s="145">
        <f t="shared" si="1"/>
        <v>83</v>
      </c>
      <c r="B83" s="194" t="str">
        <f ca="1">IFERROR(__xludf.DUMMYFUNCTION("GOOGLETRANSLATE(B170:B185,""RU"",""UK"")"),"Ключ ріжковий 65мм")</f>
        <v>Ключ ріжковий 65мм</v>
      </c>
      <c r="C83" s="147" t="s">
        <v>6</v>
      </c>
      <c r="D83" s="147">
        <v>2</v>
      </c>
      <c r="E83" s="148" t="s">
        <v>102</v>
      </c>
    </row>
    <row r="84" spans="1:5">
      <c r="A84" s="145">
        <f t="shared" si="1"/>
        <v>84</v>
      </c>
      <c r="B84" s="146" t="str">
        <f ca="1">IFERROR(__xludf.DUMMYFUNCTION("GOOGLETRANSLATE(B170:B185,""RU"",""UK"")"),"Ключ ріжковий 65мм під лом, монтіровку")</f>
        <v>Ключ ріжковий 65мм під лом, монтіровку</v>
      </c>
      <c r="C84" s="147" t="s">
        <v>6</v>
      </c>
      <c r="D84" s="147">
        <v>7</v>
      </c>
      <c r="E84" s="148">
        <v>750</v>
      </c>
    </row>
    <row r="85" spans="1:5">
      <c r="A85" s="145">
        <f t="shared" si="1"/>
        <v>85</v>
      </c>
      <c r="B85" s="146" t="str">
        <f ca="1">IFERROR(__xludf.DUMMYFUNCTION("GOOGLETRANSLATE(B171:B186,""RU"",""UK"")"),"Ключ ріжковий 70мм")</f>
        <v>Ключ ріжковий 70мм</v>
      </c>
      <c r="C85" s="147" t="s">
        <v>6</v>
      </c>
      <c r="D85" s="147">
        <v>14</v>
      </c>
      <c r="E85" s="148">
        <v>900</v>
      </c>
    </row>
    <row r="86" spans="1:5">
      <c r="A86" s="145">
        <f t="shared" si="1"/>
        <v>86</v>
      </c>
      <c r="B86" s="172" t="str">
        <f ca="1">IFERROR(__xludf.DUMMYFUNCTION("GOOGLETRANSLATE(B172:B187,""RU"",""UK"")"),"Ключ ріжковий 75мм")</f>
        <v>Ключ ріжковий 75мм</v>
      </c>
      <c r="C86" s="147" t="s">
        <v>6</v>
      </c>
      <c r="D86" s="147">
        <v>1</v>
      </c>
      <c r="E86" s="148">
        <v>1400</v>
      </c>
    </row>
    <row r="87" spans="1:5">
      <c r="A87" s="145">
        <f t="shared" si="1"/>
        <v>87</v>
      </c>
      <c r="B87" s="146" t="str">
        <f ca="1">IFERROR(__xludf.DUMMYFUNCTION("GOOGLETRANSLATE(B173:B188,""RU"",""UK"")"),"Ключ торцевий ізогн. 4мм")</f>
        <v>Ключ торцевий ізогн. 4мм</v>
      </c>
      <c r="C87" s="147" t="s">
        <v>6</v>
      </c>
      <c r="D87" s="147">
        <v>5</v>
      </c>
      <c r="E87" s="148" t="s">
        <v>286</v>
      </c>
    </row>
    <row r="88" spans="1:5">
      <c r="A88" s="145">
        <f t="shared" si="1"/>
        <v>88</v>
      </c>
      <c r="B88" s="146" t="str">
        <f ca="1">IFERROR(__xludf.DUMMYFUNCTION("GOOGLETRANSLATE(B174:B189,""RU"",""UK"")"),"Ключ торцевий (викрутка) 4мм")</f>
        <v>Ключ торцевий (викрутка) 4мм</v>
      </c>
      <c r="C88" s="147" t="s">
        <v>6</v>
      </c>
      <c r="D88" s="147">
        <v>5</v>
      </c>
      <c r="E88" s="148" t="s">
        <v>167</v>
      </c>
    </row>
    <row r="89" spans="1:5">
      <c r="A89" s="145">
        <f t="shared" si="1"/>
        <v>89</v>
      </c>
      <c r="B89" s="146" t="str">
        <f ca="1">IFERROR(__xludf.DUMMYFUNCTION("GOOGLETRANSLATE(B175:B190,""RU"",""UK"")"),"Ключ торцевий (викрутка) 5мм")</f>
        <v>Ключ торцевий (викрутка) 5мм</v>
      </c>
      <c r="C89" s="147" t="s">
        <v>6</v>
      </c>
      <c r="D89" s="147">
        <v>3</v>
      </c>
      <c r="E89" s="148" t="s">
        <v>167</v>
      </c>
    </row>
    <row r="90" spans="1:5">
      <c r="A90" s="145">
        <f t="shared" si="1"/>
        <v>90</v>
      </c>
      <c r="B90" s="146" t="str">
        <f ca="1">IFERROR(__xludf.DUMMYFUNCTION("GOOGLETRANSLATE(B176:B191,""RU"",""UK"")"),"Ключ торцевий ізогн. 8мм")</f>
        <v>Ключ торцевий ізогн. 8мм</v>
      </c>
      <c r="C90" s="147" t="s">
        <v>6</v>
      </c>
      <c r="D90" s="147">
        <v>71</v>
      </c>
      <c r="E90" s="148">
        <v>33</v>
      </c>
    </row>
    <row r="91" spans="1:5">
      <c r="A91" s="145">
        <f t="shared" si="1"/>
        <v>91</v>
      </c>
      <c r="B91" s="146" t="str">
        <f ca="1">IFERROR(__xludf.DUMMYFUNCTION("GOOGLETRANSLATE(B177:B192,""RU"",""UK"")"),"Ключ торцевий ізогн. 10мм")</f>
        <v>Ключ торцевий ізогн. 10мм</v>
      </c>
      <c r="C91" s="147" t="s">
        <v>6</v>
      </c>
      <c r="D91" s="147">
        <v>18</v>
      </c>
      <c r="E91" s="148">
        <v>36</v>
      </c>
    </row>
    <row r="92" spans="1:5">
      <c r="A92" s="145">
        <f t="shared" si="1"/>
        <v>92</v>
      </c>
      <c r="B92" s="146" t="str">
        <f ca="1">IFERROR(__xludf.DUMMYFUNCTION("GOOGLETRANSLATE(B178:B193,""RU"",""UK"")"),"Ключ торцевий прямий. 10мм")</f>
        <v>Ключ торцевий прямий. 10мм</v>
      </c>
      <c r="C92" s="147" t="s">
        <v>6</v>
      </c>
      <c r="D92" s="147">
        <v>3</v>
      </c>
      <c r="E92" s="148">
        <v>33</v>
      </c>
    </row>
    <row r="93" spans="1:5">
      <c r="A93" s="145">
        <f t="shared" si="1"/>
        <v>93</v>
      </c>
      <c r="B93" s="146" t="str">
        <f ca="1">IFERROR(__xludf.DUMMYFUNCTION("GOOGLETRANSLATE(B179:B194,""RU"",""UK"")"),"Ключ торцевий прямий. 11мм")</f>
        <v>Ключ торцевий прямий. 11мм</v>
      </c>
      <c r="C93" s="147" t="s">
        <v>6</v>
      </c>
      <c r="D93" s="147">
        <v>2</v>
      </c>
      <c r="E93" s="148">
        <v>33</v>
      </c>
    </row>
    <row r="94" spans="1:5">
      <c r="A94" s="145">
        <f t="shared" si="1"/>
        <v>94</v>
      </c>
      <c r="B94" s="146" t="str">
        <f ca="1">IFERROR(__xludf.DUMMYFUNCTION("GOOGLETRANSLATE(B180:B195,""RU"",""UK"")"),"Ключ торцевий 11мм Т-обр")</f>
        <v>Ключ торцевий 11мм Т-обр</v>
      </c>
      <c r="C94" s="147" t="s">
        <v>6</v>
      </c>
      <c r="D94" s="147">
        <v>5</v>
      </c>
      <c r="E94" s="148">
        <v>33</v>
      </c>
    </row>
    <row r="95" spans="1:5">
      <c r="A95" s="145">
        <f t="shared" si="1"/>
        <v>95</v>
      </c>
      <c r="B95" s="146" t="str">
        <f ca="1">IFERROR(__xludf.DUMMYFUNCTION("GOOGLETRANSLATE(B181:B196,""RU"",""UK"")"),"Ключ торцевий карданний 10мм")</f>
        <v>Ключ торцевий карданний 10мм</v>
      </c>
      <c r="C95" s="147" t="s">
        <v>6</v>
      </c>
      <c r="D95" s="147">
        <v>12</v>
      </c>
      <c r="E95" s="148" t="s">
        <v>297</v>
      </c>
    </row>
    <row r="96" spans="1:5">
      <c r="A96" s="145">
        <f t="shared" si="1"/>
        <v>96</v>
      </c>
      <c r="B96" s="146" t="str">
        <f ca="1">IFERROR(__xludf.DUMMYFUNCTION("GOOGLETRANSLATE(B182:B197,""RU"",""UK"")"),"Ключ торцевий ізогн. 14мм")</f>
        <v>Ключ торцевий ізогн. 14мм</v>
      </c>
      <c r="C96" s="147" t="s">
        <v>6</v>
      </c>
      <c r="D96" s="147">
        <v>4</v>
      </c>
      <c r="E96" s="148" t="s">
        <v>299</v>
      </c>
    </row>
    <row r="97" spans="1:5">
      <c r="A97" s="145">
        <f t="shared" si="1"/>
        <v>97</v>
      </c>
      <c r="B97" s="146" t="str">
        <f ca="1">IFERROR(__xludf.DUMMYFUNCTION("GOOGLETRANSLATE(B183:B198,""RU"",""UK"")"),"Ключ торцевий ізогн. 14мм т-обр")</f>
        <v>Ключ торцевий ізогн. 14мм т-обр</v>
      </c>
      <c r="C97" s="147" t="s">
        <v>6</v>
      </c>
      <c r="D97" s="147">
        <v>4</v>
      </c>
      <c r="E97" s="148" t="s">
        <v>299</v>
      </c>
    </row>
    <row r="98" spans="1:5">
      <c r="A98" s="145">
        <f t="shared" si="1"/>
        <v>98</v>
      </c>
      <c r="B98" s="146" t="str">
        <f ca="1">IFERROR(__xludf.DUMMYFUNCTION("GOOGLETRANSLATE(B184:B199,""RU"",""UK"")"),"Ключ торцевий прямий 13мм")</f>
        <v>Ключ торцевий прямий 13мм</v>
      </c>
      <c r="C98" s="147" t="s">
        <v>6</v>
      </c>
      <c r="D98" s="147">
        <v>31</v>
      </c>
      <c r="E98" s="148" t="s">
        <v>302</v>
      </c>
    </row>
    <row r="99" spans="1:5">
      <c r="A99" s="145">
        <f t="shared" si="1"/>
        <v>99</v>
      </c>
      <c r="B99" s="146" t="str">
        <f ca="1">IFERROR(__xludf.DUMMYFUNCTION("GOOGLETRANSLATE(B185:B200,""RU"",""UK"")"),"Ключ торцевий ізогн. 17мм")</f>
        <v>Ключ торцевий ізогн. 17мм</v>
      </c>
      <c r="C99" s="147" t="s">
        <v>6</v>
      </c>
      <c r="D99" s="147">
        <v>5</v>
      </c>
      <c r="E99" s="148" t="s">
        <v>304</v>
      </c>
    </row>
    <row r="100" spans="1:5">
      <c r="A100" s="145">
        <f t="shared" si="1"/>
        <v>100</v>
      </c>
      <c r="B100" s="146" t="str">
        <f ca="1">IFERROR(__xludf.DUMMYFUNCTION("GOOGLETRANSLATE(B186:B201,""RU"",""UK"")"),"Ключ торцевий ізогн. 19мм")</f>
        <v>Ключ торцевий ізогн. 19мм</v>
      </c>
      <c r="C100" s="147" t="s">
        <v>6</v>
      </c>
      <c r="D100" s="147">
        <v>8</v>
      </c>
      <c r="E100" s="148" t="s">
        <v>304</v>
      </c>
    </row>
    <row r="101" spans="1:5">
      <c r="A101" s="145">
        <f t="shared" si="1"/>
        <v>101</v>
      </c>
      <c r="B101" s="146" t="str">
        <f ca="1">IFERROR(__xludf.DUMMYFUNCTION("GOOGLETRANSLATE(B187:B202,""RU"",""UK"")"),"Ключ торцевий ізогн. 7х8")</f>
        <v>Ключ торцевий ізогн. 7х8</v>
      </c>
      <c r="C101" s="147" t="s">
        <v>6</v>
      </c>
      <c r="D101" s="147">
        <v>9</v>
      </c>
      <c r="E101" s="148" t="s">
        <v>307</v>
      </c>
    </row>
    <row r="102" spans="1:5">
      <c r="A102" s="145">
        <f t="shared" si="1"/>
        <v>102</v>
      </c>
      <c r="B102" s="146" t="str">
        <f ca="1">IFERROR(__xludf.DUMMYFUNCTION("GOOGLETRANSLATE(B188:B203,""RU"",""UK"")"),"Ключ торцевий ізогн. 10х12")</f>
        <v>Ключ торцевий ізогн. 10х12</v>
      </c>
      <c r="C102" s="147" t="s">
        <v>6</v>
      </c>
      <c r="D102" s="147">
        <v>2</v>
      </c>
      <c r="E102" s="148">
        <v>46</v>
      </c>
    </row>
    <row r="103" spans="1:5">
      <c r="A103" s="145">
        <f t="shared" si="1"/>
        <v>103</v>
      </c>
      <c r="B103" s="146" t="str">
        <f ca="1">IFERROR(__xludf.DUMMYFUNCTION("GOOGLETRANSLATE(B189:B204,""RU"",""UK"")"),"Ключ торцевий ізогн. 12х14")</f>
        <v>Ключ торцевий ізогн. 12х14</v>
      </c>
      <c r="C103" s="147" t="s">
        <v>6</v>
      </c>
      <c r="D103" s="147">
        <v>3</v>
      </c>
      <c r="E103" s="148">
        <v>47</v>
      </c>
    </row>
    <row r="104" spans="1:5">
      <c r="A104" s="145">
        <f t="shared" si="1"/>
        <v>104</v>
      </c>
      <c r="B104" s="146" t="str">
        <f ca="1">IFERROR(__xludf.DUMMYFUNCTION("GOOGLETRANSLATE(B190:B205,""RU"",""UK"")"),"Ключ торцевий ізогн. 14х17")</f>
        <v>Ключ торцевий ізогн. 14х17</v>
      </c>
      <c r="C104" s="147" t="s">
        <v>6</v>
      </c>
      <c r="D104" s="147">
        <v>1</v>
      </c>
      <c r="E104" s="148" t="s">
        <v>253</v>
      </c>
    </row>
    <row r="105" spans="1:5">
      <c r="A105" s="145">
        <f t="shared" si="1"/>
        <v>105</v>
      </c>
      <c r="B105" s="146" t="str">
        <f ca="1">IFERROR(__xludf.DUMMYFUNCTION("GOOGLETRANSLATE(B191:B206,""RU"",""UK"")"),"Ключ торцевий ізогн. 15х17")</f>
        <v>Ключ торцевий ізогн. 15х17</v>
      </c>
      <c r="C105" s="147" t="s">
        <v>6</v>
      </c>
      <c r="D105" s="147">
        <v>1</v>
      </c>
      <c r="E105" s="148" t="s">
        <v>253</v>
      </c>
    </row>
    <row r="106" spans="1:5">
      <c r="A106" s="145">
        <f t="shared" si="1"/>
        <v>106</v>
      </c>
      <c r="B106" s="146" t="str">
        <f ca="1">IFERROR(__xludf.DUMMYFUNCTION("GOOGLETRANSLATE(B192:B207,""RU"",""UK"")"),"Ключ торцевий прямий 14х17")</f>
        <v>Ключ торцевий прямий 14х17</v>
      </c>
      <c r="C106" s="147" t="s">
        <v>6</v>
      </c>
      <c r="D106" s="147">
        <v>6</v>
      </c>
      <c r="E106" s="148" t="s">
        <v>314</v>
      </c>
    </row>
    <row r="107" spans="1:5">
      <c r="A107" s="145">
        <f t="shared" si="1"/>
        <v>107</v>
      </c>
      <c r="B107" s="146" t="str">
        <f ca="1">IFERROR(__xludf.DUMMYFUNCTION("GOOGLETRANSLATE(B193:B208,""RU"",""UK"")"),"Ключ торцевий прямий 17")</f>
        <v>Ключ торцевий прямий 17</v>
      </c>
      <c r="C107" s="147" t="s">
        <v>6</v>
      </c>
      <c r="D107" s="147">
        <v>2</v>
      </c>
      <c r="E107" s="148" t="s">
        <v>255</v>
      </c>
    </row>
    <row r="108" spans="1:5">
      <c r="A108" s="145">
        <f t="shared" si="1"/>
        <v>108</v>
      </c>
      <c r="B108" s="146" t="str">
        <f ca="1">IFERROR(__xludf.DUMMYFUNCTION("GOOGLETRANSLATE(B194:B209,""RU"",""UK"")"),"Ключ торцевий ізогн. 17х19")</f>
        <v>Ключ торцевий ізогн. 17х19</v>
      </c>
      <c r="C108" s="147" t="s">
        <v>6</v>
      </c>
      <c r="D108" s="147">
        <v>3</v>
      </c>
      <c r="E108" s="148" t="s">
        <v>317</v>
      </c>
    </row>
    <row r="109" spans="1:5">
      <c r="A109" s="145">
        <f t="shared" si="1"/>
        <v>109</v>
      </c>
      <c r="B109" s="146" t="str">
        <f ca="1">IFERROR(__xludf.DUMMYFUNCTION("GOOGLETRANSLATE(B195:B210,""RU"",""UK"")"),"Ключ торцевий ізогн. 17х22")</f>
        <v>Ключ торцевий ізогн. 17х22</v>
      </c>
      <c r="C109" s="147" t="s">
        <v>6</v>
      </c>
      <c r="D109" s="147">
        <v>6</v>
      </c>
      <c r="E109" s="148" t="s">
        <v>319</v>
      </c>
    </row>
    <row r="110" spans="1:5">
      <c r="A110" s="145">
        <f t="shared" si="1"/>
        <v>110</v>
      </c>
      <c r="B110" s="146" t="str">
        <f ca="1">IFERROR(__xludf.DUMMYFUNCTION("GOOGLETRANSLATE(B196:B211,""RU"",""UK"")"),"Ключ торцевий ізогн. 19х22")</f>
        <v>Ключ торцевий ізогн. 19х22</v>
      </c>
      <c r="C110" s="147" t="s">
        <v>6</v>
      </c>
      <c r="D110" s="147">
        <v>15</v>
      </c>
      <c r="E110" s="148" t="s">
        <v>319</v>
      </c>
    </row>
    <row r="111" spans="1:5">
      <c r="A111" s="145">
        <f t="shared" si="1"/>
        <v>111</v>
      </c>
      <c r="B111" s="146" t="str">
        <f ca="1">IFERROR(__xludf.DUMMYFUNCTION("GOOGLETRANSLATE(B197:B212,""RU"",""UK"")"),"Ключ торцевий прямий 19х22")</f>
        <v>Ключ торцевий прямий 19х22</v>
      </c>
      <c r="C111" s="147" t="s">
        <v>6</v>
      </c>
      <c r="D111" s="147">
        <v>10</v>
      </c>
      <c r="E111" s="148" t="s">
        <v>136</v>
      </c>
    </row>
    <row r="112" spans="1:5">
      <c r="A112" s="145">
        <f t="shared" si="1"/>
        <v>112</v>
      </c>
      <c r="B112" s="146" t="str">
        <f ca="1">IFERROR(__xludf.DUMMYFUNCTION("GOOGLETRANSLATE(B198:B213,""RU"",""UK"")"),"Ключ торцевий ізогн. 22х22")</f>
        <v>Ключ торцевий ізогн. 22х22</v>
      </c>
      <c r="C112" s="147" t="s">
        <v>6</v>
      </c>
      <c r="D112" s="147">
        <v>3</v>
      </c>
      <c r="E112" s="148" t="s">
        <v>119</v>
      </c>
    </row>
    <row r="113" spans="1:5">
      <c r="A113" s="145">
        <f t="shared" si="1"/>
        <v>113</v>
      </c>
      <c r="B113" s="146" t="str">
        <f ca="1">IFERROR(__xludf.DUMMYFUNCTION("GOOGLETRANSLATE(B199:B214,""RU"",""UK"")"),"Ключ торцевий 22 / торцевий ізогн. 22")</f>
        <v>Ключ торцевий 22 / торцевий ізогн. 22</v>
      </c>
      <c r="C113" s="147" t="s">
        <v>6</v>
      </c>
      <c r="D113" s="147" t="s">
        <v>324</v>
      </c>
      <c r="E113" s="148" t="s">
        <v>319</v>
      </c>
    </row>
    <row r="114" spans="1:5">
      <c r="A114" s="145">
        <f t="shared" si="1"/>
        <v>114</v>
      </c>
      <c r="B114" s="146" t="str">
        <f ca="1">IFERROR(__xludf.DUMMYFUNCTION("GOOGLETRANSLATE(B200:B215,""RU"",""UK"")"),"Ключ торцевий 27")</f>
        <v>Ключ торцевий 27</v>
      </c>
      <c r="C114" s="147" t="s">
        <v>6</v>
      </c>
      <c r="D114" s="147">
        <v>12</v>
      </c>
      <c r="E114" s="148" t="s">
        <v>319</v>
      </c>
    </row>
    <row r="115" spans="1:5">
      <c r="A115" s="145">
        <f t="shared" si="1"/>
        <v>115</v>
      </c>
      <c r="B115" s="146" t="str">
        <f ca="1">IFERROR(__xludf.DUMMYFUNCTION("GOOGLETRANSLATE(B201:B216,""RU"",""UK"")"),"Ключ торцевий ізогн. 22х24")</f>
        <v>Ключ торцевий ізогн. 22х24</v>
      </c>
      <c r="C115" s="147" t="s">
        <v>6</v>
      </c>
      <c r="D115" s="147">
        <v>1</v>
      </c>
      <c r="E115" s="148" t="s">
        <v>327</v>
      </c>
    </row>
    <row r="116" spans="1:5">
      <c r="A116" s="145">
        <f t="shared" si="1"/>
        <v>116</v>
      </c>
      <c r="B116" s="146" t="str">
        <f ca="1">IFERROR(__xludf.DUMMYFUNCTION("GOOGLETRANSLATE(B202:B217,""RU"",""UK"")"),"Ключ торцевий балонний 24х27")</f>
        <v>Ключ торцевий балонний 24х27</v>
      </c>
      <c r="C116" s="147" t="s">
        <v>6</v>
      </c>
      <c r="D116" s="147">
        <v>2</v>
      </c>
      <c r="E116" s="148" t="s">
        <v>140</v>
      </c>
    </row>
    <row r="117" spans="1:5">
      <c r="A117" s="145">
        <f t="shared" si="1"/>
        <v>117</v>
      </c>
      <c r="B117" s="146" t="str">
        <f ca="1">IFERROR(__xludf.DUMMYFUNCTION("GOOGLETRANSLATE(B203:B218,""RU"",""UK"")"),"Ключ торцевий ізогн. 24х27прямий")</f>
        <v>Ключ торцевий ізогн. 24х27прямий</v>
      </c>
      <c r="C117" s="147" t="s">
        <v>6</v>
      </c>
      <c r="D117" s="147">
        <v>1</v>
      </c>
      <c r="E117" s="148" t="s">
        <v>119</v>
      </c>
    </row>
    <row r="118" spans="1:5">
      <c r="A118" s="145">
        <f t="shared" si="1"/>
        <v>118</v>
      </c>
      <c r="B118" s="146" t="str">
        <f ca="1">IFERROR(__xludf.DUMMYFUNCTION("GOOGLETRANSLATE(B204:B219,""RU"",""UK"")"),"Ключ торцевий ізогн. 27х30")</f>
        <v>Ключ торцевий ізогн. 27х30</v>
      </c>
      <c r="C118" s="147" t="s">
        <v>6</v>
      </c>
      <c r="D118" s="147">
        <v>2</v>
      </c>
      <c r="E118" s="148" t="s">
        <v>140</v>
      </c>
    </row>
    <row r="119" spans="1:5">
      <c r="A119" s="145">
        <f t="shared" si="1"/>
        <v>119</v>
      </c>
      <c r="B119" s="146" t="str">
        <f ca="1">IFERROR(__xludf.DUMMYFUNCTION("GOOGLETRANSLATE(B205:B220,""RU"",""UK"")"),"Ключ торцевий ізогн. 46мм")</f>
        <v>Ключ торцевий ізогн. 46мм</v>
      </c>
      <c r="C119" s="147" t="s">
        <v>6</v>
      </c>
      <c r="D119" s="147">
        <v>2</v>
      </c>
      <c r="E119" s="148" t="s">
        <v>16</v>
      </c>
    </row>
    <row r="120" spans="1:5">
      <c r="A120" s="145">
        <f t="shared" si="1"/>
        <v>120</v>
      </c>
      <c r="B120" s="146" t="str">
        <f ca="1">IFERROR(__xludf.DUMMYFUNCTION("GOOGLETRANSLATE(B206:B221,""RU"",""UK"")"),"Ключ торцевий ізогн. 52мм")</f>
        <v>Ключ торцевий ізогн. 52мм</v>
      </c>
      <c r="C120" s="147" t="s">
        <v>6</v>
      </c>
      <c r="D120" s="147">
        <v>1</v>
      </c>
      <c r="E120" s="148" t="s">
        <v>272</v>
      </c>
    </row>
    <row r="121" spans="1:5">
      <c r="A121" s="145">
        <f t="shared" si="1"/>
        <v>121</v>
      </c>
      <c r="B121" s="146" t="str">
        <f ca="1">IFERROR(__xludf.DUMMYFUNCTION("GOOGLETRANSLATE(B207:B222,""RU"",""UK"")"),"Ключ торцевий ізогн. 70мм")</f>
        <v>Ключ торцевий ізогн. 70мм</v>
      </c>
      <c r="C121" s="147" t="s">
        <v>6</v>
      </c>
      <c r="D121" s="147">
        <v>1</v>
      </c>
      <c r="E121" s="148" t="s">
        <v>138</v>
      </c>
    </row>
    <row r="122" spans="1:5">
      <c r="A122" s="145">
        <f t="shared" si="1"/>
        <v>122</v>
      </c>
      <c r="B122" s="146" t="str">
        <f ca="1">IFERROR(__xludf.DUMMYFUNCTION("GOOGLETRANSLATE(B208:B223,""RU"",""UK"")"),"Ключ свічковий трубчастий 14х21")</f>
        <v>Ключ свічковий трубчастий 14х21</v>
      </c>
      <c r="C122" s="147" t="s">
        <v>6</v>
      </c>
      <c r="D122" s="147">
        <v>26</v>
      </c>
      <c r="E122" s="148" t="s">
        <v>335</v>
      </c>
    </row>
    <row r="123" spans="1:5">
      <c r="A123" s="145">
        <f t="shared" si="1"/>
        <v>123</v>
      </c>
      <c r="B123" s="146" t="str">
        <f ca="1">IFERROR(__xludf.DUMMYFUNCTION("GOOGLETRANSLATE(B209:B224,""RU"",""UK"")"),"Ключ свічковий трубчастий 21х22")</f>
        <v>Ключ свічковий трубчастий 21х22</v>
      </c>
      <c r="C123" s="147" t="s">
        <v>6</v>
      </c>
      <c r="D123" s="147">
        <v>1</v>
      </c>
      <c r="E123" s="148" t="s">
        <v>335</v>
      </c>
    </row>
    <row r="124" spans="1:5">
      <c r="A124" s="145">
        <f t="shared" si="1"/>
        <v>124</v>
      </c>
      <c r="B124" s="146" t="str">
        <f ca="1">IFERROR(__xludf.DUMMYFUNCTION("GOOGLETRANSLATE(B210:B225,""RU"",""UK"")"),"Ключ для круглих шліцьових гайок 22-26мм")</f>
        <v>Ключ для круглих шліцьових гайок 22-26мм</v>
      </c>
      <c r="C124" s="147" t="s">
        <v>6</v>
      </c>
      <c r="D124" s="147">
        <v>106</v>
      </c>
      <c r="E124" s="148" t="s">
        <v>338</v>
      </c>
    </row>
    <row r="125" spans="1:5">
      <c r="A125" s="145">
        <f t="shared" si="1"/>
        <v>125</v>
      </c>
      <c r="B125" s="194" t="str">
        <f ca="1">IFERROR(__xludf.DUMMYFUNCTION("GOOGLETRANSLATE(B210:B225,""RU"",""UK"")"),"Ключ для круглих шліцьових гайок 22-60мм шарнирний")</f>
        <v>Ключ для круглих шліцьових гайок 22-60мм шарнирний</v>
      </c>
      <c r="C125" s="147" t="s">
        <v>6</v>
      </c>
      <c r="D125" s="147">
        <v>7</v>
      </c>
      <c r="E125" s="148">
        <v>120</v>
      </c>
    </row>
    <row r="126" spans="1:5">
      <c r="A126" s="145">
        <f t="shared" si="1"/>
        <v>126</v>
      </c>
      <c r="B126" s="194" t="str">
        <f ca="1">IFERROR(__xludf.DUMMYFUNCTION("GOOGLETRANSLATE(B212:B227,""RU"",""UK"")"),"Ключ для круглих шліцьових гайок 30-34мм")</f>
        <v>Ключ для круглих шліцьових гайок 30-34мм</v>
      </c>
      <c r="C126" s="147" t="s">
        <v>6</v>
      </c>
      <c r="D126" s="147">
        <v>15</v>
      </c>
      <c r="E126" s="148" t="s">
        <v>212</v>
      </c>
    </row>
    <row r="127" spans="1:5">
      <c r="A127" s="145">
        <f t="shared" si="1"/>
        <v>127</v>
      </c>
      <c r="B127" s="172" t="str">
        <f ca="1">IFERROR(__xludf.DUMMYFUNCTION("GOOGLETRANSLATE(B213:B228,""RU"",""UK"")"),"Ключ для круглих шліцьових гайок 34-36мм")</f>
        <v>Ключ для круглих шліцьових гайок 34-36мм</v>
      </c>
      <c r="C127" s="147" t="s">
        <v>6</v>
      </c>
      <c r="D127" s="147">
        <v>3</v>
      </c>
      <c r="E127" s="148" t="s">
        <v>185</v>
      </c>
    </row>
    <row r="128" spans="1:5">
      <c r="A128" s="145">
        <f t="shared" si="1"/>
        <v>128</v>
      </c>
      <c r="B128" s="146" t="str">
        <f ca="1">IFERROR(__xludf.DUMMYFUNCTION("GOOGLETRANSLATE(B214:B229,""RU"",""UK"")"),"Ключ для круглих шліцьових гайок 38-42мм")</f>
        <v>Ключ для круглих шліцьових гайок 38-42мм</v>
      </c>
      <c r="C128" s="147" t="s">
        <v>6</v>
      </c>
      <c r="D128" s="147">
        <v>37</v>
      </c>
      <c r="E128" s="148" t="s">
        <v>136</v>
      </c>
    </row>
    <row r="129" spans="1:5">
      <c r="A129" s="145">
        <f t="shared" si="1"/>
        <v>129</v>
      </c>
      <c r="B129" s="194" t="str">
        <f ca="1">IFERROR(__xludf.DUMMYFUNCTION("GOOGLETRANSLATE(B215:B230,""RU"",""UK"")"),"Ключ для круглих шліцьових гайок 45-52мм")</f>
        <v>Ключ для круглих шліцьових гайок 45-52мм</v>
      </c>
      <c r="C129" s="147" t="s">
        <v>6</v>
      </c>
      <c r="D129" s="147">
        <v>10</v>
      </c>
      <c r="E129" s="148" t="s">
        <v>344</v>
      </c>
    </row>
    <row r="130" spans="1:5">
      <c r="A130" s="145">
        <f t="shared" si="1"/>
        <v>130</v>
      </c>
      <c r="B130" s="146" t="str">
        <f ca="1">IFERROR(__xludf.DUMMYFUNCTION("GOOGLETRANSLATE(B216:B231,""RU"",""UK"")"),"Ключ для круглих шліцьових гайок 55-60мм")</f>
        <v>Ключ для круглих шліцьових гайок 55-60мм</v>
      </c>
      <c r="C130" s="147" t="s">
        <v>6</v>
      </c>
      <c r="D130" s="147">
        <v>67</v>
      </c>
      <c r="E130" s="148" t="s">
        <v>346</v>
      </c>
    </row>
    <row r="131" spans="1:5">
      <c r="A131" s="145">
        <f t="shared" si="1"/>
        <v>131</v>
      </c>
      <c r="B131" s="146" t="str">
        <f ca="1">IFERROR(__xludf.DUMMYFUNCTION("GOOGLETRANSLATE(B217:B232,""RU"",""UK"")"),"Ключ для круглих шліцьових гайок 55-62мм")</f>
        <v>Ключ для круглих шліцьових гайок 55-62мм</v>
      </c>
      <c r="C131" s="147" t="s">
        <v>6</v>
      </c>
      <c r="D131" s="147">
        <v>198</v>
      </c>
      <c r="E131" s="148" t="s">
        <v>348</v>
      </c>
    </row>
    <row r="132" spans="1:5">
      <c r="A132" s="145">
        <f t="shared" ref="A132:A198" si="2">A131+1</f>
        <v>132</v>
      </c>
      <c r="B132" s="146" t="str">
        <f ca="1">IFERROR(__xludf.DUMMYFUNCTION("GOOGLETRANSLATE(B218:B233,""RU"",""UK"")"),"Ключ для круглих шліцьових гайок 65-70мм")</f>
        <v>Ключ для круглих шліцьових гайок 65-70мм</v>
      </c>
      <c r="C132" s="147" t="s">
        <v>6</v>
      </c>
      <c r="D132" s="147">
        <v>13</v>
      </c>
      <c r="E132" s="148" t="s">
        <v>319</v>
      </c>
    </row>
    <row r="133" spans="1:5">
      <c r="A133" s="145">
        <f t="shared" si="2"/>
        <v>133</v>
      </c>
      <c r="B133" s="146" t="str">
        <f ca="1">IFERROR(__xludf.DUMMYFUNCTION("GOOGLETRANSLATE(B219:B234,""RU"",""UK"")"),"Ключ для круглих шліцьових гайок 68-72мм")</f>
        <v>Ключ для круглих шліцьових гайок 68-72мм</v>
      </c>
      <c r="C133" s="147" t="s">
        <v>6</v>
      </c>
      <c r="D133" s="147">
        <v>8</v>
      </c>
      <c r="E133" s="148" t="s">
        <v>351</v>
      </c>
    </row>
    <row r="134" spans="1:5">
      <c r="A134" s="145">
        <f t="shared" si="2"/>
        <v>134</v>
      </c>
      <c r="B134" s="146" t="str">
        <f ca="1">IFERROR(__xludf.DUMMYFUNCTION("GOOGLETRANSLATE(B220:B235,""RU"",""UK"")"),"Ключ для круглих шліцьових гайок 75-85мм")</f>
        <v>Ключ для круглих шліцьових гайок 75-85мм</v>
      </c>
      <c r="C134" s="147" t="s">
        <v>6</v>
      </c>
      <c r="D134" s="147">
        <v>12</v>
      </c>
      <c r="E134" s="148" t="s">
        <v>353</v>
      </c>
    </row>
    <row r="135" spans="1:5">
      <c r="A135" s="145">
        <f t="shared" si="2"/>
        <v>135</v>
      </c>
      <c r="B135" s="194" t="str">
        <f ca="1">IFERROR(__xludf.DUMMYFUNCTION("GOOGLETRANSLATE(B221:B236,""RU"",""UK"")"),"Ключ для круглих шліцьових гайок 90-95мм")</f>
        <v>Ключ для круглих шліцьових гайок 90-95мм</v>
      </c>
      <c r="C135" s="147" t="s">
        <v>6</v>
      </c>
      <c r="D135" s="147">
        <v>11</v>
      </c>
      <c r="E135" s="148" t="s">
        <v>119</v>
      </c>
    </row>
    <row r="136" spans="1:5">
      <c r="A136" s="145">
        <f t="shared" si="2"/>
        <v>136</v>
      </c>
      <c r="B136" s="216" t="str">
        <f ca="1">IFERROR(__xludf.DUMMYFUNCTION("GOOGLETRANSLATE(B222:B237,""RU"",""UK"")"),"Ключ для круглих шліцьових гайок 100-110мм")</f>
        <v>Ключ для круглих шліцьових гайок 100-110мм</v>
      </c>
      <c r="C136" s="147" t="s">
        <v>6</v>
      </c>
      <c r="D136" s="147">
        <v>0</v>
      </c>
      <c r="E136" s="148">
        <v>240</v>
      </c>
    </row>
    <row r="137" spans="1:5">
      <c r="A137" s="145">
        <f t="shared" si="2"/>
        <v>137</v>
      </c>
      <c r="B137" s="146" t="str">
        <f ca="1">IFERROR(__xludf.DUMMYFUNCTION("GOOGLETRANSLATE(B223:B238,""RU"",""UK"")"),"Ключ для круглих шліцьових гайок 115-120мм")</f>
        <v>Ключ для круглих шліцьових гайок 115-120мм</v>
      </c>
      <c r="C137" s="147" t="s">
        <v>6</v>
      </c>
      <c r="D137" s="147">
        <v>8</v>
      </c>
      <c r="E137" s="148">
        <v>246</v>
      </c>
    </row>
    <row r="138" spans="1:5">
      <c r="A138" s="145">
        <f t="shared" si="2"/>
        <v>138</v>
      </c>
      <c r="B138" s="146" t="str">
        <f ca="1">IFERROR(__xludf.DUMMYFUNCTION("GOOGLETRANSLATE(B223:B238,""RU"",""UK"")"),"Ключ для круглих шліцьових гайок 115-130мм")</f>
        <v>Ключ для круглих шліцьових гайок 115-130мм</v>
      </c>
      <c r="C138" s="147" t="s">
        <v>6</v>
      </c>
      <c r="D138" s="147">
        <v>100</v>
      </c>
      <c r="E138" s="148">
        <v>258</v>
      </c>
    </row>
    <row r="139" spans="1:5">
      <c r="A139" s="145">
        <f t="shared" si="2"/>
        <v>139</v>
      </c>
      <c r="B139" s="146" t="str">
        <f ca="1">IFERROR(__xludf.DUMMYFUNCTION("GOOGLETRANSLATE(B224:B239,""RU"",""UK"")"),"Ключ для круглих шліцьових гайок 105-140мм")</f>
        <v>Ключ для круглих шліцьових гайок 105-140мм</v>
      </c>
      <c r="C139" s="147" t="s">
        <v>6</v>
      </c>
      <c r="D139" s="147">
        <v>2</v>
      </c>
      <c r="E139" s="148">
        <v>270</v>
      </c>
    </row>
    <row r="140" spans="1:5">
      <c r="A140" s="145">
        <f t="shared" si="2"/>
        <v>140</v>
      </c>
      <c r="B140" s="172" t="str">
        <f ca="1">IFERROR(__xludf.DUMMYFUNCTION("GOOGLETRANSLATE(B225:B240,""RU"",""UK"")"),"Ключ для круглих шліцьових гайок 135-140мм")</f>
        <v>Ключ для круглих шліцьових гайок 135-140мм</v>
      </c>
      <c r="C140" s="147" t="s">
        <v>6</v>
      </c>
      <c r="D140" s="147">
        <v>1</v>
      </c>
      <c r="E140" s="148" t="s">
        <v>20</v>
      </c>
    </row>
    <row r="141" spans="1:5">
      <c r="A141" s="145">
        <f t="shared" si="2"/>
        <v>141</v>
      </c>
      <c r="B141" s="146" t="str">
        <f ca="1">IFERROR(__xludf.DUMMYFUNCTION("GOOGLETRANSLATE(B225:B240,""RU"",""UK"")"),"Ключ для круглих шліцьових гайок 135-145мм")</f>
        <v>Ключ для круглих шліцьових гайок 135-145мм</v>
      </c>
      <c r="C141" s="147" t="s">
        <v>6</v>
      </c>
      <c r="D141" s="147">
        <v>6</v>
      </c>
      <c r="E141" s="148" t="s">
        <v>20</v>
      </c>
    </row>
    <row r="142" spans="1:5">
      <c r="A142" s="145">
        <f t="shared" si="2"/>
        <v>142</v>
      </c>
      <c r="B142" s="146" t="str">
        <f ca="1">IFERROR(__xludf.DUMMYFUNCTION("GOOGLETRANSLATE(B227:B242,""RU"",""UK"")"),"Ключ шестигранний 4мм")</f>
        <v>Ключ шестигранний 4мм</v>
      </c>
      <c r="C142" s="147" t="s">
        <v>6</v>
      </c>
      <c r="D142" s="147">
        <v>57</v>
      </c>
      <c r="E142" s="148" t="s">
        <v>361</v>
      </c>
    </row>
    <row r="143" spans="1:5">
      <c r="A143" s="145">
        <f t="shared" si="2"/>
        <v>143</v>
      </c>
      <c r="B143" s="146" t="str">
        <f ca="1">IFERROR(__xludf.DUMMYFUNCTION("GOOGLETRANSLATE(B228:B243,""RU"",""UK"")"),"Ключ шестигранний 5мм")</f>
        <v>Ключ шестигранний 5мм</v>
      </c>
      <c r="C143" s="147" t="s">
        <v>6</v>
      </c>
      <c r="D143" s="147">
        <v>435</v>
      </c>
      <c r="E143" s="148" t="s">
        <v>286</v>
      </c>
    </row>
    <row r="144" spans="1:5">
      <c r="A144" s="145">
        <f t="shared" si="2"/>
        <v>144</v>
      </c>
      <c r="B144" s="146" t="str">
        <f ca="1">IFERROR(__xludf.DUMMYFUNCTION("GOOGLETRANSLATE(B230:B245,""RU"",""UK"")"),"Ключ шестигранний 6мм")</f>
        <v>Ключ шестигранний 6мм</v>
      </c>
      <c r="C144" s="147" t="s">
        <v>6</v>
      </c>
      <c r="D144" s="147">
        <v>513</v>
      </c>
      <c r="E144" s="148" t="s">
        <v>290</v>
      </c>
    </row>
    <row r="145" spans="1:5">
      <c r="A145" s="145">
        <f t="shared" si="2"/>
        <v>145</v>
      </c>
      <c r="B145" s="146" t="str">
        <f ca="1">IFERROR(__xludf.DUMMYFUNCTION("GOOGLETRANSLATE(B231:B246,""RU"",""UK"")"),"Ключ шестигранний 7мм")</f>
        <v>Ключ шестигранний 7мм</v>
      </c>
      <c r="C145" s="147" t="s">
        <v>6</v>
      </c>
      <c r="D145" s="147">
        <v>70</v>
      </c>
      <c r="E145" s="148" t="s">
        <v>366</v>
      </c>
    </row>
    <row r="146" spans="1:5">
      <c r="A146" s="145">
        <f t="shared" si="2"/>
        <v>146</v>
      </c>
      <c r="B146" s="146" t="str">
        <f ca="1">IFERROR(__xludf.DUMMYFUNCTION("GOOGLETRANSLATE(B232:B247,""RU"",""UK"")"),"Ключ шестигранний 8мм")</f>
        <v>Ключ шестигранний 8мм</v>
      </c>
      <c r="C146" s="147" t="s">
        <v>6</v>
      </c>
      <c r="D146" s="147">
        <v>548</v>
      </c>
      <c r="E146" s="148" t="s">
        <v>167</v>
      </c>
    </row>
    <row r="147" spans="1:5">
      <c r="A147" s="145">
        <f t="shared" si="2"/>
        <v>147</v>
      </c>
      <c r="B147" s="146" t="str">
        <f ca="1">IFERROR(__xludf.DUMMYFUNCTION("GOOGLETRANSLATE(B233:B248,""RU"",""UK"")"),"Ключ шестигранний 10мм")</f>
        <v>Ключ шестигранний 10мм</v>
      </c>
      <c r="C147" s="147" t="s">
        <v>6</v>
      </c>
      <c r="D147" s="147">
        <v>273</v>
      </c>
      <c r="E147" s="148" t="s">
        <v>169</v>
      </c>
    </row>
    <row r="148" spans="1:5">
      <c r="A148" s="145">
        <f t="shared" si="2"/>
        <v>148</v>
      </c>
      <c r="B148" s="146" t="str">
        <f ca="1">IFERROR(__xludf.DUMMYFUNCTION("GOOGLETRANSLATE(B234:B249,""RU"",""UK"")"),"Ключ шестигранний 12мм")</f>
        <v>Ключ шестигранний 12мм</v>
      </c>
      <c r="C148" s="147" t="s">
        <v>6</v>
      </c>
      <c r="D148" s="147">
        <v>207</v>
      </c>
      <c r="E148" s="148" t="s">
        <v>255</v>
      </c>
    </row>
    <row r="149" spans="1:5">
      <c r="A149" s="145">
        <f t="shared" si="2"/>
        <v>149</v>
      </c>
      <c r="B149" s="146" t="str">
        <f ca="1">IFERROR(__xludf.DUMMYFUNCTION("GOOGLETRANSLATE(B235:B250,""RU"",""UK"")"),"Ключ шестигранний 14мм")</f>
        <v>Ключ шестигранний 14мм</v>
      </c>
      <c r="C149" s="147" t="s">
        <v>6</v>
      </c>
      <c r="D149" s="147">
        <v>2</v>
      </c>
      <c r="E149" s="148" t="s">
        <v>371</v>
      </c>
    </row>
    <row r="150" spans="1:5">
      <c r="A150" s="145">
        <f t="shared" si="2"/>
        <v>150</v>
      </c>
      <c r="B150" s="146" t="str">
        <f ca="1">IFERROR(__xludf.DUMMYFUNCTION("GOOGLETRANSLATE(B236:B251,""RU"",""UK"")"),"Ключ шестигранний 17мм")</f>
        <v>Ключ шестигранний 17мм</v>
      </c>
      <c r="C150" s="147" t="s">
        <v>6</v>
      </c>
      <c r="D150" s="147">
        <v>50</v>
      </c>
      <c r="E150" s="148" t="s">
        <v>338</v>
      </c>
    </row>
    <row r="151" spans="1:5">
      <c r="A151" s="145">
        <f t="shared" si="2"/>
        <v>151</v>
      </c>
      <c r="B151" s="146" t="str">
        <f ca="1">IFERROR(__xludf.DUMMYFUNCTION("GOOGLETRANSLATE(B237:B252,""RU"",""UK"")"),"Ключ шестигранний 19мм")</f>
        <v>Ключ шестигранний 19мм</v>
      </c>
      <c r="C151" s="147" t="s">
        <v>6</v>
      </c>
      <c r="D151" s="147">
        <v>143</v>
      </c>
      <c r="E151" s="148">
        <v>105</v>
      </c>
    </row>
    <row r="152" spans="1:5">
      <c r="A152" s="145">
        <f t="shared" si="2"/>
        <v>152</v>
      </c>
      <c r="B152" s="146" t="str">
        <f ca="1">IFERROR(__xludf.DUMMYFUNCTION("GOOGLETRANSLATE(B238:B253,""RU"",""UK"")"),"Ключ шестигранний 20мм")</f>
        <v>Ключ шестигранний 20мм</v>
      </c>
      <c r="C152" s="147" t="s">
        <v>6</v>
      </c>
      <c r="D152" s="147">
        <v>8</v>
      </c>
      <c r="E152" s="148" t="s">
        <v>136</v>
      </c>
    </row>
    <row r="153" spans="1:5">
      <c r="A153" s="145">
        <f t="shared" si="2"/>
        <v>153</v>
      </c>
      <c r="B153" s="146" t="str">
        <f ca="1">IFERROR(__xludf.DUMMYFUNCTION("GOOGLETRANSLATE(B238:B253,""RU"",""UK"")"),"Ключ шестигранний 22мм")</f>
        <v>Ключ шестигранний 22мм</v>
      </c>
      <c r="C153" s="147" t="s">
        <v>6</v>
      </c>
      <c r="D153" s="147">
        <v>26</v>
      </c>
      <c r="E153" s="148" t="s">
        <v>136</v>
      </c>
    </row>
    <row r="154" spans="1:5">
      <c r="A154" s="145">
        <f t="shared" si="2"/>
        <v>154</v>
      </c>
      <c r="B154" s="146" t="str">
        <f ca="1">IFERROR(__xludf.DUMMYFUNCTION("GOOGLETRANSLATE(B239:B254,""RU"",""UK"")"),"Ключ шестигранний 24мм")</f>
        <v>Ключ шестигранний 24мм</v>
      </c>
      <c r="C154" s="147" t="s">
        <v>6</v>
      </c>
      <c r="D154" s="147">
        <v>7</v>
      </c>
      <c r="E154" s="148" t="s">
        <v>319</v>
      </c>
    </row>
    <row r="155" spans="1:5">
      <c r="A155" s="145">
        <f t="shared" si="2"/>
        <v>155</v>
      </c>
      <c r="B155" s="146" t="str">
        <f ca="1">IFERROR(__xludf.DUMMYFUNCTION("GOOGLETRANSLATE(B240:B255,""RU"",""UK"")"),"Набір ключів імбусових (6 гранних) удл. 1,5-10мм (10шт)")</f>
        <v>Набір ключів імбусових (6 гранних) удл. 1,5-10мм (10шт)</v>
      </c>
      <c r="C155" s="147" t="s">
        <v>378</v>
      </c>
      <c r="D155" s="147">
        <v>0</v>
      </c>
      <c r="E155" s="148" t="s">
        <v>327</v>
      </c>
    </row>
    <row r="156" spans="1:5">
      <c r="A156" s="145">
        <f t="shared" si="2"/>
        <v>156</v>
      </c>
      <c r="B156" s="146" t="str">
        <f ca="1">IFERROR(__xludf.DUMMYFUNCTION("GOOGLETRANSLATE(B241:B256,""RU"",""UK"")"),"Набір імбусових ключів (6-ти гранних) з кулею удл. 2-10мм (9шт)")</f>
        <v>Набір імбусових ключів (6-ти гранних) з кулею удл. 2-10мм (9шт)</v>
      </c>
      <c r="C156" s="147" t="s">
        <v>378</v>
      </c>
      <c r="D156" s="147">
        <v>3</v>
      </c>
      <c r="E156" s="148" t="s">
        <v>380</v>
      </c>
    </row>
    <row r="157" spans="1:5">
      <c r="A157" s="145">
        <f t="shared" si="2"/>
        <v>157</v>
      </c>
      <c r="B157" s="146" t="str">
        <f ca="1">IFERROR(__xludf.DUMMYFUNCTION("GOOGLETRANSLATE(B242:B257,""RU"",""UK"")"),"Набір ключів TORX, Cr-V, 9шт (T10-T24)")</f>
        <v>Набір ключів TORX, Cr-V, 9шт (T10-T24)</v>
      </c>
      <c r="C157" s="147" t="s">
        <v>378</v>
      </c>
      <c r="D157" s="147">
        <v>0</v>
      </c>
      <c r="E157" s="148" t="s">
        <v>382</v>
      </c>
    </row>
    <row r="158" spans="1:5">
      <c r="A158" s="145">
        <f t="shared" si="2"/>
        <v>158</v>
      </c>
      <c r="B158" s="146" t="str">
        <f ca="1">IFERROR(__xludf.DUMMYFUNCTION("GOOGLETRANSLATE(B243:B258,""RU"",""UK"")"),"Набір торцевих головок 10-30мм (19 попер.)")</f>
        <v>Набір торцевих головок 10-30мм (19 попер.)</v>
      </c>
      <c r="C158" s="147" t="s">
        <v>378</v>
      </c>
      <c r="D158" s="147">
        <v>1</v>
      </c>
      <c r="E158" s="148" t="s">
        <v>88</v>
      </c>
    </row>
    <row r="159" spans="1:5">
      <c r="A159" s="145">
        <f t="shared" si="2"/>
        <v>159</v>
      </c>
      <c r="B159" s="146" t="str">
        <f ca="1">IFERROR(__xludf.DUMMYFUNCTION("GOOGLETRANSLATE(B244:B259,""RU"",""UK"")"),"Набір головок з тріскачкою 1/2"" (10-24мм) Cr-V, 12 предм.")</f>
        <v>Набір головок з тріскачкою 1/2" (10-24мм) Cr-V, 12 предм.</v>
      </c>
      <c r="C159" s="147" t="s">
        <v>378</v>
      </c>
      <c r="D159" s="147">
        <v>0</v>
      </c>
      <c r="E159" s="148" t="s">
        <v>385</v>
      </c>
    </row>
    <row r="160" spans="1:5">
      <c r="A160" s="145">
        <f t="shared" si="2"/>
        <v>160</v>
      </c>
      <c r="B160" s="146" t="str">
        <f ca="1">IFERROR(__xludf.DUMMYFUNCTION("GOOGLETRANSLATE(B245:B260,""RU"",""UK"")"),"Набір головок з тріскач. 1/2 ""(8-32мм) Cr-V, 20 попер. Berg")</f>
        <v>Набір головок з тріскач. 1/2 "(8-32мм) Cr-V, 20 попер. Berg</v>
      </c>
      <c r="C160" s="147" t="s">
        <v>378</v>
      </c>
      <c r="D160" s="147">
        <v>0</v>
      </c>
      <c r="E160" s="148" t="s">
        <v>55</v>
      </c>
    </row>
    <row r="161" spans="1:5">
      <c r="A161" s="145">
        <f t="shared" si="2"/>
        <v>161</v>
      </c>
      <c r="B161" s="146" t="str">
        <f ca="1">IFERROR(__xludf.DUMMYFUNCTION("GOOGLETRANSLATE(B246:B261,""RU"",""UK"")"),"Набір ключів ""Мотор Січ НК-1"" (8-22мм -23 попер.)")</f>
        <v>Набір ключів "Мотор Січ НК-1" (8-22мм -23 попер.)</v>
      </c>
      <c r="C161" s="147" t="s">
        <v>378</v>
      </c>
      <c r="D161" s="147">
        <v>0</v>
      </c>
      <c r="E161" s="148" t="s">
        <v>33</v>
      </c>
    </row>
    <row r="162" spans="1:5">
      <c r="A162" s="145">
        <f t="shared" si="2"/>
        <v>162</v>
      </c>
      <c r="B162" s="146" t="str">
        <f ca="1">IFERROR(__xludf.DUMMYFUNCTION("GOOGLETRANSLATE(B247:B262,""RU"",""UK"")"),"НАБІР КЛЮЧІВ ріжкових Cr-V, 8шт (6-22мм)")</f>
        <v>НАБІР КЛЮЧІВ ріжкових Cr-V, 8шт (6-22мм)</v>
      </c>
      <c r="C162" s="147" t="s">
        <v>378</v>
      </c>
      <c r="D162" s="147">
        <v>0</v>
      </c>
      <c r="E162" s="148" t="s">
        <v>272</v>
      </c>
    </row>
    <row r="163" spans="1:5">
      <c r="A163" s="145">
        <f t="shared" si="2"/>
        <v>163</v>
      </c>
      <c r="B163" s="146" t="str">
        <f ca="1">IFERROR(__xludf.DUMMYFUNCTION("GOOGLETRANSLATE(B248:B263,""RU"",""UK"")"),"НАБІР КЛЮЧІВ ріжково-накидних Cr-V,8шт (6-19мм) Berg")</f>
        <v>НАБІР КЛЮЧІВ ріжково-накидних Cr-V,8шт (6-19мм) Berg</v>
      </c>
      <c r="C163" s="147" t="s">
        <v>378</v>
      </c>
      <c r="D163" s="147">
        <v>0</v>
      </c>
      <c r="E163" s="148" t="s">
        <v>162</v>
      </c>
    </row>
    <row r="164" spans="1:5">
      <c r="A164" s="145">
        <f t="shared" si="2"/>
        <v>164</v>
      </c>
      <c r="B164" s="146" t="str">
        <f ca="1">IFERROR(__xludf.DUMMYFUNCTION("GOOGLETRANSLATE(B249:B264,""RU"",""UK"")"),"НАБІР КЛЮЧІВ ріжково-накидних 10шт (6-22мм)")</f>
        <v>НАБІР КЛЮЧІВ ріжково-накидних 10шт (6-22мм)</v>
      </c>
      <c r="C164" s="147" t="s">
        <v>378</v>
      </c>
      <c r="D164" s="147">
        <v>0</v>
      </c>
      <c r="E164" s="148" t="s">
        <v>391</v>
      </c>
    </row>
    <row r="165" spans="1:5">
      <c r="A165" s="145">
        <f t="shared" si="2"/>
        <v>165</v>
      </c>
      <c r="B165" s="146" t="str">
        <f ca="1">IFERROR(__xludf.DUMMYFUNCTION("GOOGLETRANSLATE(B250:B265,""RU"",""UK"")"),"НАБІР КЛЮЧІВ ріжково-накидних Cr-V,14шт (8-24мм)")</f>
        <v>НАБІР КЛЮЧІВ ріжково-накидних Cr-V,14шт (8-24мм)</v>
      </c>
      <c r="C165" s="147" t="s">
        <v>378</v>
      </c>
      <c r="D165" s="147">
        <v>0</v>
      </c>
      <c r="E165" s="148" t="s">
        <v>393</v>
      </c>
    </row>
    <row r="166" spans="1:5">
      <c r="A166" s="145">
        <f t="shared" si="2"/>
        <v>166</v>
      </c>
      <c r="B166" s="146" t="str">
        <f ca="1">IFERROR(__xludf.DUMMYFUNCTION("GOOGLETRANSLATE(B251:B266,""RU"",""UK"")"),"Набір для карбування")</f>
        <v>Набір для карбування</v>
      </c>
      <c r="C166" s="147" t="s">
        <v>378</v>
      </c>
      <c r="D166" s="147">
        <v>1</v>
      </c>
      <c r="E166" s="148" t="s">
        <v>319</v>
      </c>
    </row>
    <row r="167" spans="1:5">
      <c r="A167" s="145">
        <f t="shared" si="2"/>
        <v>167</v>
      </c>
      <c r="B167" s="146" t="str">
        <f ca="1">IFERROR(__xludf.DUMMYFUNCTION("GOOGLETRANSLATE(B252:B267,""RU"",""UK"")"),"Головка торцева 13мм")</f>
        <v>Головка торцева 13мм</v>
      </c>
      <c r="C167" s="147" t="s">
        <v>6</v>
      </c>
      <c r="D167" s="147">
        <v>1</v>
      </c>
      <c r="E167" s="148" t="s">
        <v>292</v>
      </c>
    </row>
    <row r="168" spans="1:5">
      <c r="A168" s="145">
        <f t="shared" si="2"/>
        <v>168</v>
      </c>
      <c r="B168" s="146" t="str">
        <f ca="1">IFERROR(__xludf.DUMMYFUNCTION("GOOGLETRANSLATE(B253:B268,""RU"",""UK"")"),"Головка торцева 14мм")</f>
        <v>Головка торцева 14мм</v>
      </c>
      <c r="C168" s="147" t="s">
        <v>6</v>
      </c>
      <c r="D168" s="147">
        <v>32</v>
      </c>
      <c r="E168" s="148" t="s">
        <v>366</v>
      </c>
    </row>
    <row r="169" spans="1:5">
      <c r="A169" s="145">
        <f t="shared" si="2"/>
        <v>169</v>
      </c>
      <c r="B169" s="146" t="str">
        <f ca="1">IFERROR(__xludf.DUMMYFUNCTION("GOOGLETRANSLATE(B254:B269,""RU"",""UK"")"),"Головка торцева 15мм")</f>
        <v>Головка торцева 15мм</v>
      </c>
      <c r="C169" s="147" t="s">
        <v>6</v>
      </c>
      <c r="D169" s="147">
        <v>3</v>
      </c>
      <c r="E169" s="148" t="s">
        <v>366</v>
      </c>
    </row>
    <row r="170" spans="1:5">
      <c r="A170" s="145">
        <f t="shared" si="2"/>
        <v>170</v>
      </c>
      <c r="B170" s="146" t="str">
        <f ca="1">IFERROR(__xludf.DUMMYFUNCTION("GOOGLETRANSLATE(B255:B270,""RU"",""UK"")"),"Головка торцева Cr-V, 1/2"" 17мм")</f>
        <v>Головка торцева Cr-V, 1/2" 17мм</v>
      </c>
      <c r="C170" s="147" t="s">
        <v>6</v>
      </c>
      <c r="D170" s="147">
        <v>1</v>
      </c>
      <c r="E170" s="148" t="s">
        <v>177</v>
      </c>
    </row>
    <row r="171" spans="1:5">
      <c r="A171" s="145">
        <f t="shared" si="2"/>
        <v>171</v>
      </c>
      <c r="B171" s="146" t="str">
        <f ca="1">IFERROR(__xludf.DUMMYFUNCTION("GOOGLETRANSLATE(B256:B271,""RU"",""UK"")"),"Головка торцева 18мм")</f>
        <v>Головка торцева 18мм</v>
      </c>
      <c r="C171" s="147" t="s">
        <v>6</v>
      </c>
      <c r="D171" s="147">
        <v>6</v>
      </c>
      <c r="E171" s="148" t="s">
        <v>177</v>
      </c>
    </row>
    <row r="172" spans="1:5">
      <c r="A172" s="145">
        <f t="shared" si="2"/>
        <v>172</v>
      </c>
      <c r="B172" s="146" t="str">
        <f ca="1">IFERROR(__xludf.DUMMYFUNCTION("GOOGLETRANSLATE(B257:B272,""RU"",""UK"")"),"Головка торцева Cr-V, 1/2"" 22мм")</f>
        <v>Головка торцева Cr-V, 1/2" 22мм</v>
      </c>
      <c r="C172" s="147" t="s">
        <v>6</v>
      </c>
      <c r="D172" s="147">
        <v>2</v>
      </c>
      <c r="E172" s="148" t="s">
        <v>205</v>
      </c>
    </row>
    <row r="173" spans="1:5">
      <c r="A173" s="145">
        <f t="shared" si="2"/>
        <v>173</v>
      </c>
      <c r="B173" s="146" t="str">
        <f ca="1">IFERROR(__xludf.DUMMYFUNCTION("GOOGLETRANSLATE(B258:B273,""RU"",""UK"")"),"Головка торцева 23мм")</f>
        <v>Головка торцева 23мм</v>
      </c>
      <c r="C173" s="147" t="s">
        <v>6</v>
      </c>
      <c r="D173" s="147">
        <v>4</v>
      </c>
      <c r="E173" s="148" t="s">
        <v>205</v>
      </c>
    </row>
    <row r="174" spans="1:5">
      <c r="A174" s="145">
        <f t="shared" si="2"/>
        <v>174</v>
      </c>
      <c r="B174" s="146" t="str">
        <f ca="1">IFERROR(__xludf.DUMMYFUNCTION("GOOGLETRANSLATE(B259:B274,""RU"",""UK"")"),"Головка торцева 24мм")</f>
        <v>Головка торцева 24мм</v>
      </c>
      <c r="C174" s="147" t="s">
        <v>6</v>
      </c>
      <c r="D174" s="147">
        <v>0</v>
      </c>
      <c r="E174" s="148" t="s">
        <v>255</v>
      </c>
    </row>
    <row r="175" spans="1:5">
      <c r="A175" s="145">
        <f t="shared" si="2"/>
        <v>175</v>
      </c>
      <c r="B175" s="146" t="str">
        <f ca="1">IFERROR(__xludf.DUMMYFUNCTION("GOOGLETRANSLATE(B260:B275,""RU"",""UK"")"),"Головка торцева 26мм")</f>
        <v>Головка торцева 26мм</v>
      </c>
      <c r="C175" s="147" t="s">
        <v>6</v>
      </c>
      <c r="D175" s="147">
        <v>2</v>
      </c>
      <c r="E175" s="148" t="s">
        <v>255</v>
      </c>
    </row>
    <row r="176" spans="1:5">
      <c r="A176" s="145">
        <f t="shared" si="2"/>
        <v>176</v>
      </c>
      <c r="B176" s="146" t="str">
        <f ca="1">IFERROR(__xludf.DUMMYFUNCTION("GOOGLETRANSLATE(B261:B276,""RU"",""UK"")"),"Головка торцева 27мм")</f>
        <v>Головка торцева 27мм</v>
      </c>
      <c r="C176" s="147" t="s">
        <v>6</v>
      </c>
      <c r="D176" s="147">
        <v>7</v>
      </c>
      <c r="E176" s="148" t="s">
        <v>371</v>
      </c>
    </row>
    <row r="177" spans="1:5">
      <c r="A177" s="145">
        <f t="shared" si="2"/>
        <v>177</v>
      </c>
      <c r="B177" s="146" t="str">
        <f ca="1">IFERROR(__xludf.DUMMYFUNCTION("GOOGLETRANSLATE(B262:B277,""RU"",""UK"")"),"Головка торцева 28мм")</f>
        <v>Головка торцева 28мм</v>
      </c>
      <c r="C177" s="147" t="s">
        <v>6</v>
      </c>
      <c r="D177" s="147">
        <v>1</v>
      </c>
      <c r="E177" s="148" t="s">
        <v>136</v>
      </c>
    </row>
    <row r="178" spans="1:5">
      <c r="A178" s="145">
        <f t="shared" si="2"/>
        <v>178</v>
      </c>
      <c r="B178" s="146" t="str">
        <f ca="1">IFERROR(__xludf.DUMMYFUNCTION("GOOGLETRANSLATE(B263:B278,""RU"",""UK"")"),"Головка торцева 32мм")</f>
        <v>Головка торцева 32мм</v>
      </c>
      <c r="C178" s="147" t="s">
        <v>6</v>
      </c>
      <c r="D178" s="147">
        <v>2</v>
      </c>
      <c r="E178" s="148" t="s">
        <v>327</v>
      </c>
    </row>
    <row r="179" spans="1:5">
      <c r="A179" s="145">
        <f t="shared" si="2"/>
        <v>179</v>
      </c>
      <c r="B179" s="146" t="str">
        <f ca="1">IFERROR(__xludf.DUMMYFUNCTION("GOOGLETRANSLATE(B264:B279,""RU"",""UK"")"),"Головка торцева ударна 41мм під квадрат 32мм")</f>
        <v>Головка торцева ударна 41мм під квадрат 32мм</v>
      </c>
      <c r="C179" s="147" t="s">
        <v>6</v>
      </c>
      <c r="D179" s="147">
        <v>24</v>
      </c>
      <c r="E179" s="148">
        <v>300</v>
      </c>
    </row>
    <row r="180" spans="1:5">
      <c r="A180" s="145">
        <f t="shared" si="2"/>
        <v>180</v>
      </c>
      <c r="B180" s="146" t="str">
        <f ca="1">IFERROR(__xludf.DUMMYFUNCTION("GOOGLETRANSLATE(B265:B280,""RU"",""UK"")"),"Головка торцева ударна 46мм")</f>
        <v>Головка торцева ударна 46мм</v>
      </c>
      <c r="C180" s="147" t="s">
        <v>6</v>
      </c>
      <c r="D180" s="147">
        <v>35</v>
      </c>
      <c r="E180" s="148">
        <v>330</v>
      </c>
    </row>
    <row r="181" spans="1:5">
      <c r="A181" s="145">
        <f t="shared" si="2"/>
        <v>181</v>
      </c>
      <c r="B181" s="146" t="str">
        <f ca="1">IFERROR(__xludf.DUMMYFUNCTION("GOOGLETRANSLATE(B266:B281,""RU"",""UK"")"),"Головка торцева 55мм")</f>
        <v>Головка торцева 55мм</v>
      </c>
      <c r="C181" s="147" t="s">
        <v>6</v>
      </c>
      <c r="D181" s="147">
        <v>1</v>
      </c>
      <c r="E181" s="148" t="s">
        <v>106</v>
      </c>
    </row>
    <row r="182" spans="1:5">
      <c r="A182" s="145">
        <f t="shared" si="2"/>
        <v>182</v>
      </c>
      <c r="B182" s="146" t="str">
        <f ca="1">IFERROR(__xludf.DUMMYFUNCTION("GOOGLETRANSLATE(B267:B282,""RU"",""UK"")"),"Головка торцева 60мм")</f>
        <v>Головка торцева 60мм</v>
      </c>
      <c r="C182" s="147" t="s">
        <v>6</v>
      </c>
      <c r="D182" s="147">
        <v>1</v>
      </c>
      <c r="E182" s="148" t="s">
        <v>16</v>
      </c>
    </row>
    <row r="183" spans="1:5">
      <c r="A183" s="145">
        <f t="shared" si="2"/>
        <v>183</v>
      </c>
      <c r="B183" s="146" t="str">
        <f ca="1">IFERROR(__xludf.DUMMYFUNCTION("GOOGLETRANSLATE(B268:B283,""RU"",""UK"")"),"Головка торцева 95мм")</f>
        <v>Головка торцева 95мм</v>
      </c>
      <c r="C183" s="147" t="s">
        <v>6</v>
      </c>
      <c r="D183" s="147">
        <v>1</v>
      </c>
      <c r="E183" s="148" t="s">
        <v>272</v>
      </c>
    </row>
    <row r="184" spans="1:5">
      <c r="A184" s="145">
        <f t="shared" si="2"/>
        <v>184</v>
      </c>
      <c r="B184" s="146" t="str">
        <f ca="1">IFERROR(__xludf.DUMMYFUNCTION("GOOGLETRANSLATE(B269:B284,""RU"",""UK"")"),"Головка торцева 118мм")</f>
        <v>Головка торцева 118мм</v>
      </c>
      <c r="C184" s="147" t="s">
        <v>6</v>
      </c>
      <c r="D184" s="147">
        <v>1</v>
      </c>
      <c r="E184" s="148" t="s">
        <v>413</v>
      </c>
    </row>
    <row r="185" spans="1:5">
      <c r="A185" s="145">
        <f t="shared" si="2"/>
        <v>185</v>
      </c>
      <c r="B185" s="146" t="str">
        <f ca="1">IFERROR(__xludf.DUMMYFUNCTION("GOOGLETRANSLATE(B270:B285,""RU"",""UK"")"),"Вороток для торцевих головок 1/2""")</f>
        <v>Вороток для торцевих головок 1/2"</v>
      </c>
      <c r="C185" s="149" t="s">
        <v>6</v>
      </c>
      <c r="D185" s="149">
        <v>2</v>
      </c>
      <c r="E185" s="150" t="s">
        <v>194</v>
      </c>
    </row>
    <row r="186" spans="1:5">
      <c r="A186" s="145">
        <f t="shared" si="2"/>
        <v>186</v>
      </c>
      <c r="B186" s="146" t="str">
        <f ca="1">IFERROR(__xludf.DUMMYFUNCTION("GOOGLETRANSLATE(B270:B285,""RU"",""UK"")"),"Коловорот для торцевих головок 14х14мм")</f>
        <v>Коловорот для торцевих головок 14х14мм</v>
      </c>
      <c r="C186" s="149" t="s">
        <v>6</v>
      </c>
      <c r="D186" s="149">
        <v>1</v>
      </c>
      <c r="E186" s="150">
        <v>240</v>
      </c>
    </row>
    <row r="187" spans="1:5">
      <c r="A187" s="145">
        <f>A186+1</f>
        <v>187</v>
      </c>
      <c r="B187" s="146" t="str">
        <f ca="1">IFERROR(__xludf.DUMMYFUNCTION("GOOGLETRANSLATE(B271:B286,""RU"",""UK"")"),"Набір викруток годинникових")</f>
        <v>Набір викруток годинникових</v>
      </c>
      <c r="C187" s="147" t="s">
        <v>6</v>
      </c>
      <c r="D187" s="147">
        <v>25</v>
      </c>
      <c r="E187" s="148">
        <v>45</v>
      </c>
    </row>
    <row r="188" spans="1:5">
      <c r="A188" s="145">
        <f t="shared" si="2"/>
        <v>188</v>
      </c>
      <c r="B188" s="146" t="str">
        <f ca="1">IFERROR(__xludf.DUMMYFUNCTION("GOOGLETRANSLATE(B272:B287,""RU"",""UK"")"),"Викрутка шліцева 95х0,3")</f>
        <v>Викрутка шліцева 95х0,3</v>
      </c>
      <c r="C188" s="147" t="s">
        <v>6</v>
      </c>
      <c r="D188" s="147">
        <v>14</v>
      </c>
      <c r="E188" s="148">
        <v>25</v>
      </c>
    </row>
    <row r="189" spans="1:5">
      <c r="A189" s="145">
        <f t="shared" si="2"/>
        <v>189</v>
      </c>
      <c r="B189" s="146" t="str">
        <f ca="1">IFERROR(__xludf.DUMMYFUNCTION("GOOGLETRANSLATE(B273:B288,""RU"",""UK"")"),"Викрутка шліцева 160х4х0,6")</f>
        <v>Викрутка шліцева 160х4х0,6</v>
      </c>
      <c r="C189" s="147" t="s">
        <v>6</v>
      </c>
      <c r="D189" s="147">
        <v>518</v>
      </c>
      <c r="E189" s="148" t="s">
        <v>124</v>
      </c>
    </row>
    <row r="190" spans="1:5">
      <c r="A190" s="145">
        <f t="shared" si="2"/>
        <v>190</v>
      </c>
      <c r="B190" s="146" t="s">
        <v>6406</v>
      </c>
      <c r="C190" s="147" t="s">
        <v>6</v>
      </c>
      <c r="D190" s="147">
        <v>121</v>
      </c>
      <c r="E190" s="148">
        <v>30</v>
      </c>
    </row>
    <row r="191" spans="1:5">
      <c r="A191" s="145">
        <f t="shared" si="2"/>
        <v>191</v>
      </c>
      <c r="B191" s="146" t="str">
        <f ca="1">IFERROR(__xludf.DUMMYFUNCTION("GOOGLETRANSLATE(B274:B289,""RU"",""UK"")"),"Викрутка шліцева 190х6х1.0")</f>
        <v>Викрутка шліцева 190х6х1.0</v>
      </c>
      <c r="C191" s="147" t="s">
        <v>6</v>
      </c>
      <c r="D191" s="147">
        <v>585</v>
      </c>
      <c r="E191" s="148" t="s">
        <v>167</v>
      </c>
    </row>
    <row r="192" spans="1:5">
      <c r="A192" s="145">
        <f t="shared" si="2"/>
        <v>192</v>
      </c>
      <c r="B192" s="146" t="str">
        <f ca="1">IFERROR(__xludf.DUMMYFUNCTION("GOOGLETRANSLATE(B275:B290,""RU"",""UK"")"),"Викрутка шліцева 200х8х1,2")</f>
        <v>Викрутка шліцева 200х8х1,2</v>
      </c>
      <c r="C192" s="147" t="s">
        <v>6</v>
      </c>
      <c r="D192" s="147">
        <v>128</v>
      </c>
      <c r="E192" s="148" t="s">
        <v>248</v>
      </c>
    </row>
    <row r="193" spans="1:5">
      <c r="A193" s="145">
        <f t="shared" si="2"/>
        <v>193</v>
      </c>
      <c r="B193" s="146" t="str">
        <f ca="1">IFERROR(__xludf.DUMMYFUNCTION("GOOGLETRANSLATE(B276:B291,""RU"",""UK"")"),"Викрутка шліцева 250х10х1,6")</f>
        <v>Викрутка шліцева 250х10х1,6</v>
      </c>
      <c r="C193" s="147" t="s">
        <v>6</v>
      </c>
      <c r="D193" s="147">
        <v>452</v>
      </c>
      <c r="E193" s="148" t="s">
        <v>169</v>
      </c>
    </row>
    <row r="194" spans="1:5">
      <c r="A194" s="145">
        <f t="shared" si="2"/>
        <v>194</v>
      </c>
      <c r="B194" s="146" t="str">
        <f ca="1">IFERROR(__xludf.DUMMYFUNCTION("GOOGLETRANSLATE(B277:B292,""RU"",""UK"")"),"Викрутка шліцева 260х10х1,6")</f>
        <v>Викрутка шліцева 260х10х1,6</v>
      </c>
      <c r="C194" s="147" t="s">
        <v>6</v>
      </c>
      <c r="D194" s="147">
        <v>185</v>
      </c>
      <c r="E194" s="148" t="s">
        <v>304</v>
      </c>
    </row>
    <row r="195" spans="1:5">
      <c r="A195" s="145">
        <f t="shared" si="2"/>
        <v>195</v>
      </c>
      <c r="B195" s="146" t="str">
        <f ca="1">IFERROR(__xludf.DUMMYFUNCTION("GOOGLETRANSLATE(B278:B293,""RU"",""UK"")"),"Викрутка шліцева 300х12х1, 6")</f>
        <v>Викрутка шліцева 300х12х1, 6</v>
      </c>
      <c r="C195" s="147" t="s">
        <v>6</v>
      </c>
      <c r="D195" s="147">
        <v>3</v>
      </c>
      <c r="E195" s="148" t="s">
        <v>255</v>
      </c>
    </row>
    <row r="196" spans="1:5">
      <c r="A196" s="145">
        <f t="shared" si="2"/>
        <v>196</v>
      </c>
      <c r="B196" s="146" t="str">
        <f ca="1">IFERROR(__xludf.DUMMYFUNCTION("GOOGLETRANSLATE(B279:B294,""RU"",""UK"")"),"Викрутка шліцева 350х8")</f>
        <v>Викрутка шліцева 350х8</v>
      </c>
      <c r="C196" s="147" t="s">
        <v>6</v>
      </c>
      <c r="D196" s="147">
        <v>71</v>
      </c>
      <c r="E196" s="148" t="s">
        <v>209</v>
      </c>
    </row>
    <row r="197" spans="1:5">
      <c r="A197" s="145">
        <f t="shared" si="2"/>
        <v>197</v>
      </c>
      <c r="B197" s="146" t="str">
        <f ca="1">IFERROR(__xludf.DUMMYFUNCTION("GOOGLETRANSLATE(B280:B295,""RU"",""UK"")"),"Викрутка Turn, ""-"" Cr-V, SL5,5х125 мм Berg")</f>
        <v>Викрутка Turn, "-" Cr-V, SL5,5х125 мм Berg</v>
      </c>
      <c r="C197" s="147" t="s">
        <v>6</v>
      </c>
      <c r="D197" s="147">
        <v>0</v>
      </c>
      <c r="E197" s="148">
        <v>0</v>
      </c>
    </row>
    <row r="198" spans="1:5">
      <c r="A198" s="145">
        <f t="shared" si="2"/>
        <v>198</v>
      </c>
      <c r="B198" s="146" t="str">
        <f ca="1">IFERROR(__xludf.DUMMYFUNCTION("GOOGLETRANSLATE(B281:B296,""RU"",""UK"")"),"Викрутка Turn, ""-"" Cr-V, SL6,5х150 мм Berg")</f>
        <v>Викрутка Turn, "-" Cr-V, SL6,5х150 мм Berg</v>
      </c>
      <c r="C198" s="147" t="s">
        <v>6</v>
      </c>
      <c r="D198" s="147">
        <v>0</v>
      </c>
      <c r="E198" s="148">
        <v>0</v>
      </c>
    </row>
    <row r="199" spans="1:5">
      <c r="A199" s="145">
        <f t="shared" ref="A199:A260" si="3">A198+1</f>
        <v>199</v>
      </c>
      <c r="B199" s="146" t="str">
        <f ca="1">IFERROR(__xludf.DUMMYFUNCTION("GOOGLETRANSLATE(B282:B297,""RU"",""UK"")"),"Викрутка Turn, ""+"" Cr-V, РН № 1х100 мм Berg")</f>
        <v>Викрутка Turn, "+" Cr-V, РН № 1х100 мм Berg</v>
      </c>
      <c r="C199" s="147" t="s">
        <v>6</v>
      </c>
      <c r="D199" s="147">
        <v>1</v>
      </c>
      <c r="E199" s="148" t="s">
        <v>428</v>
      </c>
    </row>
    <row r="200" spans="1:5">
      <c r="A200" s="145">
        <f t="shared" si="3"/>
        <v>200</v>
      </c>
      <c r="B200" s="146" t="str">
        <f ca="1">IFERROR(__xludf.DUMMYFUNCTION("GOOGLETRANSLATE(B283:B298,""RU"",""UK"")"),"Викрутка Turn, ""+"" Cr-V, РН №3х150 мм Berg")</f>
        <v>Викрутка Turn, "+" Cr-V, РН №3х150 мм Berg</v>
      </c>
      <c r="C200" s="147" t="s">
        <v>6</v>
      </c>
      <c r="D200" s="147">
        <v>0</v>
      </c>
      <c r="E200" s="148">
        <v>0</v>
      </c>
    </row>
    <row r="201" spans="1:5">
      <c r="A201" s="145">
        <f t="shared" si="3"/>
        <v>201</v>
      </c>
      <c r="B201" s="146" t="str">
        <f ca="1">IFERROR(__xludf.DUMMYFUNCTION("GOOGLETRANSLATE(B284:B299,""RU"",""UK"")"),"Викрутка ударна + насадок, мет. футляр Cr-V")</f>
        <v>Викрутка ударна + насадок, мет. футляр Cr-V</v>
      </c>
      <c r="C201" s="147" t="s">
        <v>6</v>
      </c>
      <c r="D201" s="147">
        <v>0</v>
      </c>
      <c r="E201" s="148" t="s">
        <v>431</v>
      </c>
    </row>
    <row r="202" spans="1:5">
      <c r="A202" s="145">
        <f t="shared" si="3"/>
        <v>202</v>
      </c>
      <c r="B202" s="146" t="str">
        <f ca="1">IFERROR(__xludf.DUMMYFUNCTION("GOOGLETRANSLATE(B285:B300,""RU"",""UK"")"),"Викрутка хрестова 160 №1")</f>
        <v>Викрутка хрестова 160 №1</v>
      </c>
      <c r="C202" s="147" t="s">
        <v>6</v>
      </c>
      <c r="D202" s="147">
        <v>701</v>
      </c>
      <c r="E202" s="148" t="s">
        <v>167</v>
      </c>
    </row>
    <row r="203" spans="1:5">
      <c r="A203" s="145">
        <f t="shared" si="3"/>
        <v>203</v>
      </c>
      <c r="B203" s="146" t="str">
        <f ca="1">IFERROR(__xludf.DUMMYFUNCTION("GOOGLETRANSLATE(B286:B301,""RU"",""UK"")"),"Викрутка хрестова 200 №2")</f>
        <v>Викрутка хрестова 200 №2</v>
      </c>
      <c r="C203" s="147" t="s">
        <v>6</v>
      </c>
      <c r="D203" s="147">
        <v>68</v>
      </c>
      <c r="E203" s="148" t="s">
        <v>169</v>
      </c>
    </row>
    <row r="204" spans="1:5">
      <c r="A204" s="145">
        <f t="shared" si="3"/>
        <v>204</v>
      </c>
      <c r="B204" s="146" t="str">
        <f ca="1">IFERROR(__xludf.DUMMYFUNCTION("GOOGLETRANSLATE(B287:B302,""RU"",""UK"")"),"Викрутка хрестова 250 №3")</f>
        <v>Викрутка хрестова 250 №3</v>
      </c>
      <c r="C204" s="147" t="s">
        <v>6</v>
      </c>
      <c r="D204" s="147">
        <v>200</v>
      </c>
      <c r="E204" s="148" t="s">
        <v>304</v>
      </c>
    </row>
    <row r="205" spans="1:5">
      <c r="A205" s="145">
        <f t="shared" si="3"/>
        <v>205</v>
      </c>
      <c r="B205" s="146" t="str">
        <f ca="1">IFERROR(__xludf.DUMMYFUNCTION("GOOGLETRANSLATE(B288:B303,""RU"",""UK"")"),"НАБІР ВИКРУТОК Cr-V, 5шт Berg")</f>
        <v>НАБІР ВИКРУТОК Cr-V, 5шт Berg</v>
      </c>
      <c r="C205" s="147" t="s">
        <v>6</v>
      </c>
      <c r="D205" s="147">
        <v>0</v>
      </c>
      <c r="E205" s="148" t="s">
        <v>431</v>
      </c>
    </row>
    <row r="206" spans="1:5">
      <c r="A206" s="145">
        <f t="shared" si="3"/>
        <v>206</v>
      </c>
      <c r="B206" s="146" t="s">
        <v>6286</v>
      </c>
      <c r="C206" s="147" t="s">
        <v>6</v>
      </c>
      <c r="D206" s="147">
        <v>5</v>
      </c>
      <c r="E206" s="148">
        <v>150</v>
      </c>
    </row>
    <row r="207" spans="1:5">
      <c r="A207" s="145">
        <f t="shared" si="3"/>
        <v>207</v>
      </c>
      <c r="B207" s="146" t="str">
        <f ca="1">IFERROR(__xludf.DUMMYFUNCTION("GOOGLETRANSLATE(B289:B304,""RU"",""UK"")"),"Набір викруток Cr-V, 5шт")</f>
        <v>Набір викруток Cr-V, 5шт</v>
      </c>
      <c r="C207" s="149" t="s">
        <v>6</v>
      </c>
      <c r="D207" s="149">
        <v>0</v>
      </c>
      <c r="E207" s="150">
        <v>318</v>
      </c>
    </row>
    <row r="208" spans="1:5">
      <c r="A208" s="145">
        <f t="shared" si="3"/>
        <v>208</v>
      </c>
      <c r="B208" s="146" t="str">
        <f ca="1">IFERROR(__xludf.DUMMYFUNCTION("GOOGLETRANSLATE(B290:B305,""RU"",""UK"")"),"Насадка (Біта) S=10мм магнітна / S=12мм магнітна")</f>
        <v>Насадка (Біта) S=10мм магнітна / S=12мм магнітна</v>
      </c>
      <c r="C208" s="147" t="s">
        <v>6</v>
      </c>
      <c r="D208" s="147" t="s">
        <v>438</v>
      </c>
      <c r="E208" s="148" t="s">
        <v>290</v>
      </c>
    </row>
    <row r="209" spans="1:5">
      <c r="A209" s="145">
        <f t="shared" si="3"/>
        <v>209</v>
      </c>
      <c r="B209" s="146" t="str">
        <f ca="1">IFERROR(__xludf.DUMMYFUNCTION("GOOGLETRANSLATE(B291:B306,""RU"",""UK"")"),"Напильник ромбічний 150мм")</f>
        <v>Напильник ромбічний 150мм</v>
      </c>
      <c r="C209" s="147" t="s">
        <v>6</v>
      </c>
      <c r="D209" s="147">
        <v>254</v>
      </c>
      <c r="E209" s="148" t="s">
        <v>371</v>
      </c>
    </row>
    <row r="210" spans="1:5">
      <c r="A210" s="145">
        <f t="shared" si="3"/>
        <v>210</v>
      </c>
      <c r="B210" s="146" t="str">
        <f ca="1">IFERROR(__xludf.DUMMYFUNCTION("GOOGLETRANSLATE(B292:B307,""RU"",""UK"")"),"Напилок тригранний 150мм")</f>
        <v>Напилок тригранний 150мм</v>
      </c>
      <c r="C210" s="147" t="s">
        <v>6</v>
      </c>
      <c r="D210" s="147">
        <v>302</v>
      </c>
      <c r="E210" s="148" t="s">
        <v>371</v>
      </c>
    </row>
    <row r="211" spans="1:5">
      <c r="A211" s="145">
        <f t="shared" si="3"/>
        <v>211</v>
      </c>
      <c r="B211" s="146" t="str">
        <f ca="1">IFERROR(__xludf.DUMMYFUNCTION("GOOGLETRANSLATE(B293:B308,""RU"",""UK"")"),"Напилок тригранний 200мм")</f>
        <v>Напилок тригранний 200мм</v>
      </c>
      <c r="C211" s="147" t="s">
        <v>6</v>
      </c>
      <c r="D211" s="147">
        <v>84</v>
      </c>
      <c r="E211" s="148" t="s">
        <v>348</v>
      </c>
    </row>
    <row r="212" spans="1:5">
      <c r="A212" s="145">
        <f t="shared" si="3"/>
        <v>212</v>
      </c>
      <c r="B212" s="146" t="str">
        <f ca="1">IFERROR(__xludf.DUMMYFUNCTION("GOOGLETRANSLATE(B294:B309,""RU"",""UK"")"),"Напилок тригранний 250мм")</f>
        <v>Напилок тригранний 250мм</v>
      </c>
      <c r="C212" s="147" t="s">
        <v>6</v>
      </c>
      <c r="D212" s="147">
        <v>334</v>
      </c>
      <c r="E212" s="148" t="s">
        <v>218</v>
      </c>
    </row>
    <row r="213" spans="1:5">
      <c r="A213" s="145">
        <f t="shared" si="3"/>
        <v>213</v>
      </c>
      <c r="B213" s="146" t="str">
        <f ca="1">IFERROR(__xludf.DUMMYFUNCTION("GOOGLETRANSLATE(B295:B310,""RU"",""UK"")"),"Напилок тригранний 300мм")</f>
        <v>Напилок тригранний 300мм</v>
      </c>
      <c r="C213" s="147" t="s">
        <v>6</v>
      </c>
      <c r="D213" s="147">
        <v>372</v>
      </c>
      <c r="E213" s="148">
        <v>178</v>
      </c>
    </row>
    <row r="214" spans="1:5">
      <c r="A214" s="145">
        <f t="shared" si="3"/>
        <v>214</v>
      </c>
      <c r="B214" s="146" t="str">
        <f ca="1">IFERROR(__xludf.DUMMYFUNCTION("GOOGLETRANSLATE(B296:B311,""RU"",""UK"")"),"Напилок тригранний 400мм")</f>
        <v>Напилок тригранний 400мм</v>
      </c>
      <c r="C214" s="147" t="s">
        <v>6</v>
      </c>
      <c r="D214" s="147">
        <v>15</v>
      </c>
      <c r="E214" s="148" t="s">
        <v>445</v>
      </c>
    </row>
    <row r="215" spans="1:5">
      <c r="A215" s="145">
        <f t="shared" si="3"/>
        <v>215</v>
      </c>
      <c r="B215" s="146" t="str">
        <f ca="1">IFERROR(__xludf.DUMMYFUNCTION("GOOGLETRANSLATE(B297:B312,""RU"",""UK"")"),"Напильник напівкруглий 150мм")</f>
        <v>Напильник напівкруглий 150мм</v>
      </c>
      <c r="C215" s="147" t="s">
        <v>6</v>
      </c>
      <c r="D215" s="147">
        <v>19</v>
      </c>
      <c r="E215" s="148" t="s">
        <v>212</v>
      </c>
    </row>
    <row r="216" spans="1:5">
      <c r="A216" s="145">
        <f t="shared" si="3"/>
        <v>216</v>
      </c>
      <c r="B216" s="146" t="str">
        <f ca="1">IFERROR(__xludf.DUMMYFUNCTION("GOOGLETRANSLATE(B298:B313,""RU"",""UK"")"),"Напильник напівкруглий 200мм")</f>
        <v>Напильник напівкруглий 200мм</v>
      </c>
      <c r="C216" s="147" t="s">
        <v>6</v>
      </c>
      <c r="D216" s="147">
        <v>3</v>
      </c>
      <c r="E216" s="148" t="s">
        <v>348</v>
      </c>
    </row>
    <row r="217" spans="1:5">
      <c r="A217" s="145">
        <f t="shared" si="3"/>
        <v>217</v>
      </c>
      <c r="B217" s="146" t="str">
        <f ca="1">IFERROR(__xludf.DUMMYFUNCTION("GOOGLETRANSLATE(B299:B314,""RU"",""UK"")"),"Напилок круглий 150мм")</f>
        <v>Напилок круглий 150мм</v>
      </c>
      <c r="C217" s="147" t="s">
        <v>6</v>
      </c>
      <c r="D217" s="147">
        <v>0</v>
      </c>
      <c r="E217" s="148" t="s">
        <v>371</v>
      </c>
    </row>
    <row r="218" spans="1:5">
      <c r="A218" s="145">
        <f t="shared" si="3"/>
        <v>218</v>
      </c>
      <c r="B218" s="146" t="str">
        <f ca="1">IFERROR(__xludf.DUMMYFUNCTION("GOOGLETRANSLATE(B300:B315,""RU"",""UK"")"),"Напилок круглий 200мм")</f>
        <v>Напилок круглий 200мм</v>
      </c>
      <c r="C218" s="147" t="s">
        <v>6</v>
      </c>
      <c r="D218" s="147">
        <v>30</v>
      </c>
      <c r="E218" s="148" t="s">
        <v>348</v>
      </c>
    </row>
    <row r="219" spans="1:5">
      <c r="A219" s="145">
        <f t="shared" si="3"/>
        <v>219</v>
      </c>
      <c r="B219" s="194" t="str">
        <f ca="1">IFERROR(__xludf.DUMMYFUNCTION("GOOGLETRANSLATE(B301:B316,""RU"",""UK"")"),"Напилок круглий 250мм")</f>
        <v>Напилок круглий 250мм</v>
      </c>
      <c r="C219" s="147" t="s">
        <v>6</v>
      </c>
      <c r="D219" s="147">
        <v>23</v>
      </c>
      <c r="E219" s="148" t="s">
        <v>218</v>
      </c>
    </row>
    <row r="220" spans="1:5">
      <c r="A220" s="145">
        <f t="shared" si="3"/>
        <v>220</v>
      </c>
      <c r="B220" s="194" t="str">
        <f ca="1">IFERROR(__xludf.DUMMYFUNCTION("GOOGLETRANSLATE(B302:B317,""RU"",""UK"")"),"Напилок круглий 300мм№2")</f>
        <v>Напилок круглий 300мм№2</v>
      </c>
      <c r="C220" s="147" t="s">
        <v>6</v>
      </c>
      <c r="D220" s="147">
        <v>23</v>
      </c>
      <c r="E220" s="148" t="s">
        <v>353</v>
      </c>
    </row>
    <row r="221" spans="1:5">
      <c r="A221" s="145">
        <f t="shared" si="3"/>
        <v>221</v>
      </c>
      <c r="B221" s="146" t="str">
        <f ca="1">IFERROR(__xludf.DUMMYFUNCTION("GOOGLETRANSLATE(B303:B318,""RU"",""UK"")"),"Напилок круглий 400мм")</f>
        <v>Напилок круглий 400мм</v>
      </c>
      <c r="C221" s="147" t="s">
        <v>6</v>
      </c>
      <c r="D221" s="147">
        <v>448</v>
      </c>
      <c r="E221" s="148">
        <v>210</v>
      </c>
    </row>
    <row r="222" spans="1:5">
      <c r="A222" s="145">
        <f t="shared" si="3"/>
        <v>222</v>
      </c>
      <c r="B222" s="146" t="str">
        <f ca="1">IFERROR(__xludf.DUMMYFUNCTION("GOOGLETRANSLATE(B304:B319,""RU"",""UK"")"),"Напильник плоский 150мм")</f>
        <v>Напильник плоский 150мм</v>
      </c>
      <c r="C222" s="147" t="s">
        <v>6</v>
      </c>
      <c r="D222" s="147">
        <v>629</v>
      </c>
      <c r="E222" s="148" t="s">
        <v>371</v>
      </c>
    </row>
    <row r="223" spans="1:5">
      <c r="A223" s="145">
        <f t="shared" si="3"/>
        <v>223</v>
      </c>
      <c r="B223" s="146" t="str">
        <f ca="1">IFERROR(__xludf.DUMMYFUNCTION("GOOGLETRANSLATE(B305:B320,""RU"",""UK"")"),"Напильник плоский 200мм №2 / №3")</f>
        <v>Напильник плоский 200мм №2 / №3</v>
      </c>
      <c r="C223" s="147" t="s">
        <v>6</v>
      </c>
      <c r="D223" s="147" t="s">
        <v>6357</v>
      </c>
      <c r="E223" s="148" t="s">
        <v>348</v>
      </c>
    </row>
    <row r="224" spans="1:5">
      <c r="A224" s="145">
        <f t="shared" si="3"/>
        <v>224</v>
      </c>
      <c r="B224" s="172" t="str">
        <f ca="1">IFERROR(__xludf.DUMMYFUNCTION("GOOGLETRANSLATE(B306:B321,""RU"",""UK"")"),"Напильник плоский 250мм №2 / №3")</f>
        <v>Напильник плоский 250мм №2 / №3</v>
      </c>
      <c r="C224" s="147" t="s">
        <v>6</v>
      </c>
      <c r="D224" s="147">
        <v>0</v>
      </c>
      <c r="E224" s="148" t="s">
        <v>218</v>
      </c>
    </row>
    <row r="225" spans="1:5">
      <c r="A225" s="145">
        <f t="shared" si="3"/>
        <v>225</v>
      </c>
      <c r="B225" s="146" t="str">
        <f ca="1">IFERROR(__xludf.DUMMYFUNCTION("GOOGLETRANSLATE(B307:B322,""RU"",""UK"")"),"Напильник плоский 250мм №3 з ручкою")</f>
        <v>Напильник плоский 250мм №3 з ручкою</v>
      </c>
      <c r="C225" s="147" t="s">
        <v>6</v>
      </c>
      <c r="D225" s="147">
        <v>4</v>
      </c>
      <c r="E225" s="148" t="s">
        <v>263</v>
      </c>
    </row>
    <row r="226" spans="1:5">
      <c r="A226" s="145">
        <f t="shared" si="3"/>
        <v>226</v>
      </c>
      <c r="B226" s="172" t="str">
        <f ca="1">IFERROR(__xludf.DUMMYFUNCTION("GOOGLETRANSLATE(B308:B323,""RU"",""UK"")"),"Напильник плоский 300мм №3")</f>
        <v>Напильник плоский 300мм №3</v>
      </c>
      <c r="C226" s="147" t="s">
        <v>6</v>
      </c>
      <c r="D226" s="192">
        <v>0</v>
      </c>
      <c r="E226" s="148">
        <v>178</v>
      </c>
    </row>
    <row r="227" spans="1:5">
      <c r="A227" s="145">
        <f t="shared" si="3"/>
        <v>227</v>
      </c>
      <c r="B227" s="172" t="str">
        <f ca="1">IFERROR(__xludf.DUMMYFUNCTION("GOOGLETRANSLATE(B309:B324,""RU"",""UK"")"),"Напильник плоский 350мм №2")</f>
        <v>Напильник плоский 350мм №2</v>
      </c>
      <c r="C227" s="147" t="s">
        <v>6</v>
      </c>
      <c r="D227" s="147">
        <v>0</v>
      </c>
      <c r="E227" s="148" t="s">
        <v>461</v>
      </c>
    </row>
    <row r="228" spans="1:5">
      <c r="A228" s="145">
        <f t="shared" si="3"/>
        <v>228</v>
      </c>
      <c r="B228" s="146" t="str">
        <f ca="1">IFERROR(__xludf.DUMMYFUNCTION("GOOGLETRANSLATE(B310:B325,""RU"",""UK"")"),"Напильник плоский 400мм №2 / №3")</f>
        <v>Напильник плоский 400мм №2 / №3</v>
      </c>
      <c r="C228" s="147" t="s">
        <v>6</v>
      </c>
      <c r="D228" s="147">
        <v>20</v>
      </c>
      <c r="E228" s="148">
        <v>210</v>
      </c>
    </row>
    <row r="229" spans="1:5">
      <c r="A229" s="145">
        <f t="shared" si="3"/>
        <v>229</v>
      </c>
      <c r="B229" s="146" t="str">
        <f ca="1">IFERROR(__xludf.DUMMYFUNCTION("GOOGLETRANSLATE(B311:B326,""RU"",""UK"")"),"Напилок квадратний 150мм")</f>
        <v>Напилок квадратний 150мм</v>
      </c>
      <c r="C229" s="147" t="s">
        <v>6</v>
      </c>
      <c r="D229" s="147">
        <v>14</v>
      </c>
      <c r="E229" s="148" t="s">
        <v>371</v>
      </c>
    </row>
    <row r="230" spans="1:5">
      <c r="A230" s="145">
        <f t="shared" si="3"/>
        <v>230</v>
      </c>
      <c r="B230" s="146" t="str">
        <f ca="1">IFERROR(__xludf.DUMMYFUNCTION("GOOGLETRANSLATE(B312:B327,""RU"",""UK"")"),"Напильник квадратний 200мм")</f>
        <v>Напильник квадратний 200мм</v>
      </c>
      <c r="C230" s="147" t="s">
        <v>6</v>
      </c>
      <c r="D230" s="147">
        <v>50</v>
      </c>
      <c r="E230" s="148" t="s">
        <v>348</v>
      </c>
    </row>
    <row r="231" spans="1:5">
      <c r="A231" s="145">
        <f t="shared" si="3"/>
        <v>231</v>
      </c>
      <c r="B231" s="146" t="str">
        <f ca="1">IFERROR(__xludf.DUMMYFUNCTION("GOOGLETRANSLATE(B313:B328,""RU"",""UK"")"),"Напилок квадратний 250мм")</f>
        <v>Напилок квадратний 250мм</v>
      </c>
      <c r="C231" s="147" t="s">
        <v>6</v>
      </c>
      <c r="D231" s="147">
        <v>187</v>
      </c>
      <c r="E231" s="148" t="s">
        <v>218</v>
      </c>
    </row>
    <row r="232" spans="1:5">
      <c r="A232" s="145">
        <f t="shared" si="3"/>
        <v>232</v>
      </c>
      <c r="B232" s="146" t="str">
        <f ca="1">IFERROR(__xludf.DUMMYFUNCTION("GOOGLETRANSLATE(B314:B329,""RU"",""UK"")"),"Напильник квадратний 300мм")</f>
        <v>Напильник квадратний 300мм</v>
      </c>
      <c r="C232" s="147" t="s">
        <v>6</v>
      </c>
      <c r="D232" s="147">
        <v>141</v>
      </c>
      <c r="E232" s="148" t="s">
        <v>263</v>
      </c>
    </row>
    <row r="233" spans="1:5">
      <c r="A233" s="145">
        <f t="shared" si="3"/>
        <v>233</v>
      </c>
      <c r="B233" s="146" t="str">
        <f ca="1">IFERROR(__xludf.DUMMYFUNCTION("GOOGLETRANSLATE(B315:B330,""RU"",""UK"")"),"Напилок квадратний 350мм")</f>
        <v>Напилок квадратний 350мм</v>
      </c>
      <c r="C233" s="147" t="s">
        <v>6</v>
      </c>
      <c r="D233" s="147">
        <v>846</v>
      </c>
      <c r="E233" s="148" t="s">
        <v>119</v>
      </c>
    </row>
    <row r="234" spans="1:5">
      <c r="A234" s="145">
        <f t="shared" si="3"/>
        <v>234</v>
      </c>
      <c r="B234" s="146" t="str">
        <f ca="1">IFERROR(__xludf.DUMMYFUNCTION("GOOGLETRANSLATE(B316:B331,""RU"",""UK"")"),"Напильник квадратний 400мм")</f>
        <v>Напильник квадратний 400мм</v>
      </c>
      <c r="C234" s="147" t="s">
        <v>6</v>
      </c>
      <c r="D234" s="147">
        <v>174</v>
      </c>
      <c r="E234" s="148" t="s">
        <v>445</v>
      </c>
    </row>
    <row r="235" spans="1:5">
      <c r="A235" s="145">
        <f t="shared" si="3"/>
        <v>235</v>
      </c>
      <c r="B235" s="146" t="str">
        <f ca="1">IFERROR(__xludf.DUMMYFUNCTION("GOOGLETRANSLATE(B317:B332,""RU"",""UK"")"),"Надфіль плоский 150мм")</f>
        <v>Надфіль плоский 150мм</v>
      </c>
      <c r="C235" s="147" t="s">
        <v>6</v>
      </c>
      <c r="D235" s="147">
        <v>712</v>
      </c>
      <c r="E235" s="148">
        <v>24</v>
      </c>
    </row>
    <row r="236" spans="1:5">
      <c r="A236" s="145">
        <f t="shared" si="3"/>
        <v>236</v>
      </c>
      <c r="B236" s="172" t="str">
        <f ca="1">IFERROR(__xludf.DUMMYFUNCTION("GOOGLETRANSLATE(B319:B334,""RU"",""UK"")"),"Надфіль тригранний 150мм")</f>
        <v>Надфіль тригранний 150мм</v>
      </c>
      <c r="C236" s="147" t="s">
        <v>6</v>
      </c>
      <c r="D236" s="147">
        <v>0</v>
      </c>
      <c r="E236" s="148">
        <v>24</v>
      </c>
    </row>
    <row r="237" spans="1:5">
      <c r="A237" s="145">
        <f t="shared" si="3"/>
        <v>237</v>
      </c>
      <c r="B237" s="146" t="str">
        <f ca="1">IFERROR(__xludf.DUMMYFUNCTION("GOOGLETRANSLATE(B320:B335,""RU"",""UK"")"),"Надфіль круглий 150мм")</f>
        <v>Надфіль круглий 150мм</v>
      </c>
      <c r="C237" s="147" t="s">
        <v>6</v>
      </c>
      <c r="D237" s="147">
        <v>313</v>
      </c>
      <c r="E237" s="148">
        <v>24</v>
      </c>
    </row>
    <row r="238" spans="1:5">
      <c r="A238" s="145">
        <f t="shared" si="3"/>
        <v>238</v>
      </c>
      <c r="B238" s="146" t="str">
        <f ca="1">IFERROR(__xludf.DUMMYFUNCTION("GOOGLETRANSLATE(B322:B337,""RU"",""UK"")"),"Надфіль овальний 150мм")</f>
        <v>Надфіль овальний 150мм</v>
      </c>
      <c r="C238" s="147" t="s">
        <v>6</v>
      </c>
      <c r="D238" s="147">
        <v>106</v>
      </c>
      <c r="E238" s="148">
        <v>24</v>
      </c>
    </row>
    <row r="239" spans="1:5">
      <c r="A239" s="145">
        <f t="shared" si="3"/>
        <v>239</v>
      </c>
      <c r="B239" s="146" t="str">
        <f ca="1">IFERROR(__xludf.DUMMYFUNCTION("GOOGLETRANSLATE(B323:B338,""RU"",""UK"")"),"Надфіль овальний 120мм")</f>
        <v>Надфіль овальний 120мм</v>
      </c>
      <c r="C239" s="147" t="s">
        <v>6</v>
      </c>
      <c r="D239" s="147">
        <v>0</v>
      </c>
      <c r="E239" s="148">
        <v>21</v>
      </c>
    </row>
    <row r="240" spans="1:5">
      <c r="A240" s="145">
        <f t="shared" si="3"/>
        <v>240</v>
      </c>
      <c r="B240" s="146" t="str">
        <f ca="1">IFERROR(__xludf.DUMMYFUNCTION("GOOGLETRANSLATE(B324:B339,""RU"",""UK"")"),"Надфіль квадратний 150мм")</f>
        <v>Надфіль квадратний 150мм</v>
      </c>
      <c r="C240" s="147" t="s">
        <v>6</v>
      </c>
      <c r="D240" s="147">
        <v>104</v>
      </c>
      <c r="E240" s="148">
        <v>24</v>
      </c>
    </row>
    <row r="241" spans="1:5">
      <c r="A241" s="145">
        <f t="shared" si="3"/>
        <v>241</v>
      </c>
      <c r="B241" s="146" t="str">
        <f ca="1">IFERROR(__xludf.DUMMYFUNCTION("GOOGLETRANSLATE(B326:B341,""RU"",""UK"")"),"Надфіль напівкруглий 150мм")</f>
        <v>Надфіль напівкруглий 150мм</v>
      </c>
      <c r="C241" s="147" t="s">
        <v>6</v>
      </c>
      <c r="D241" s="147">
        <v>66</v>
      </c>
      <c r="E241" s="148">
        <v>24</v>
      </c>
    </row>
    <row r="242" spans="1:5">
      <c r="A242" s="145">
        <f t="shared" si="3"/>
        <v>242</v>
      </c>
      <c r="B242" s="146" t="str">
        <f ca="1">IFERROR(__xludf.DUMMYFUNCTION("GOOGLETRANSLATE(B327:B342,""RU"",""UK"")"),"Ручка для напилка 135мм")</f>
        <v>Ручка для напилка 135мм</v>
      </c>
      <c r="C242" s="147" t="s">
        <v>6</v>
      </c>
      <c r="D242" s="147">
        <v>36</v>
      </c>
      <c r="E242" s="148">
        <v>24</v>
      </c>
    </row>
    <row r="243" spans="1:5">
      <c r="A243" s="145">
        <f t="shared" si="3"/>
        <v>243</v>
      </c>
      <c r="B243" s="146" t="str">
        <f ca="1">IFERROR(__xludf.DUMMYFUNCTION("GOOGLETRANSLATE(B328:B343,""RU"",""UK"")"),"Набір для розвальцювання трубок 6-16мм")</f>
        <v>Набір для розвальцювання трубок 6-16мм</v>
      </c>
      <c r="C243" s="147" t="s">
        <v>378</v>
      </c>
      <c r="D243" s="147">
        <v>2</v>
      </c>
      <c r="E243" s="148">
        <v>480</v>
      </c>
    </row>
    <row r="244" spans="1:5">
      <c r="A244" s="145">
        <f t="shared" si="3"/>
        <v>244</v>
      </c>
      <c r="B244" s="146" t="str">
        <f ca="1">IFERROR(__xludf.DUMMYFUNCTION("GOOGLETRANSLATE(B329:B344,""RU"",""UK"")"),"Набір пробійників 2-22мм(15шт)")</f>
        <v>Набір пробійників 2-22мм(15шт)</v>
      </c>
      <c r="C244" s="147" t="s">
        <v>378</v>
      </c>
      <c r="D244" s="147">
        <v>0</v>
      </c>
      <c r="E244" s="148" t="s">
        <v>482</v>
      </c>
    </row>
    <row r="245" spans="1:5">
      <c r="A245" s="145">
        <f t="shared" si="3"/>
        <v>245</v>
      </c>
      <c r="B245" s="146" t="str">
        <f ca="1">IFERROR(__xludf.DUMMYFUNCTION("GOOGLETRANSLATE(B330:B345,""RU"",""UK"")"),"Просікання 13мм")</f>
        <v>Просікання 13мм</v>
      </c>
      <c r="C245" s="147" t="s">
        <v>6</v>
      </c>
      <c r="D245" s="147">
        <v>2</v>
      </c>
      <c r="E245" s="148" t="s">
        <v>209</v>
      </c>
    </row>
    <row r="246" spans="1:5">
      <c r="A246" s="145">
        <f t="shared" si="3"/>
        <v>246</v>
      </c>
      <c r="B246" s="146" t="str">
        <f ca="1">IFERROR(__xludf.DUMMYFUNCTION("GOOGLETRANSLATE(B331:B346,""RU"",""UK"")"),"Просікання 20мм")</f>
        <v>Просікання 20мм</v>
      </c>
      <c r="C246" s="147" t="s">
        <v>6</v>
      </c>
      <c r="D246" s="147">
        <v>1</v>
      </c>
      <c r="E246" s="148" t="s">
        <v>209</v>
      </c>
    </row>
    <row r="247" spans="1:5">
      <c r="A247" s="145">
        <f t="shared" si="3"/>
        <v>247</v>
      </c>
      <c r="B247" s="146" t="str">
        <f ca="1">IFERROR(__xludf.DUMMYFUNCTION("GOOGLETRANSLATE(B332:B347,""RU"",""UK"")"),"Просікання 27мм")</f>
        <v>Просікання 27мм</v>
      </c>
      <c r="C247" s="147" t="s">
        <v>6</v>
      </c>
      <c r="D247" s="147">
        <v>1</v>
      </c>
      <c r="E247" s="148" t="s">
        <v>209</v>
      </c>
    </row>
    <row r="248" spans="1:5">
      <c r="A248" s="145">
        <f t="shared" si="3"/>
        <v>248</v>
      </c>
      <c r="B248" s="146" t="str">
        <f ca="1">IFERROR(__xludf.DUMMYFUNCTION("GOOGLETRANSLATE(B333:B348,""RU"",""UK"")"),"Просікання 28мм")</f>
        <v>Просікання 28мм</v>
      </c>
      <c r="C248" s="147" t="s">
        <v>6</v>
      </c>
      <c r="D248" s="147">
        <v>1</v>
      </c>
      <c r="E248" s="148" t="s">
        <v>209</v>
      </c>
    </row>
    <row r="249" spans="1:5">
      <c r="A249" s="145">
        <f t="shared" si="3"/>
        <v>249</v>
      </c>
      <c r="B249" s="146" t="str">
        <f ca="1">IFERROR(__xludf.DUMMYFUNCTION("GOOGLETRANSLATE(B334:B349,""RU"",""UK"")"),"Просікання 32мм")</f>
        <v>Просікання 32мм</v>
      </c>
      <c r="C249" s="147" t="s">
        <v>6</v>
      </c>
      <c r="D249" s="147">
        <v>1</v>
      </c>
      <c r="E249" s="148" t="s">
        <v>209</v>
      </c>
    </row>
    <row r="250" spans="1:5">
      <c r="A250" s="145">
        <f t="shared" si="3"/>
        <v>250</v>
      </c>
      <c r="B250" s="146" t="str">
        <f ca="1">IFERROR(__xludf.DUMMYFUNCTION("GOOGLETRANSLATE(B335:B350,""RU"",""UK"")"),"Просікання 39мм")</f>
        <v>Просікання 39мм</v>
      </c>
      <c r="C250" s="147" t="s">
        <v>6</v>
      </c>
      <c r="D250" s="147">
        <v>2</v>
      </c>
      <c r="E250" s="148" t="s">
        <v>226</v>
      </c>
    </row>
    <row r="251" spans="1:5">
      <c r="A251" s="145">
        <f t="shared" si="3"/>
        <v>251</v>
      </c>
      <c r="B251" s="146" t="str">
        <f ca="1">IFERROR(__xludf.DUMMYFUNCTION("GOOGLETRANSLATE(B336:B351,""RU"",""UK"")"),"Просікання 42мм")</f>
        <v>Просікання 42мм</v>
      </c>
      <c r="C251" s="147" t="s">
        <v>6</v>
      </c>
      <c r="D251" s="147">
        <v>4</v>
      </c>
      <c r="E251" s="148" t="s">
        <v>226</v>
      </c>
    </row>
    <row r="252" spans="1:5">
      <c r="A252" s="145">
        <f t="shared" si="3"/>
        <v>252</v>
      </c>
      <c r="B252" s="146" t="str">
        <f ca="1">IFERROR(__xludf.DUMMYFUNCTION("GOOGLETRANSLATE(B337:B352,""RU"",""UK"")"),"Просікання 45мм")</f>
        <v>Просікання 45мм</v>
      </c>
      <c r="C252" s="147" t="s">
        <v>6</v>
      </c>
      <c r="D252" s="147">
        <v>2</v>
      </c>
      <c r="E252" s="148" t="s">
        <v>226</v>
      </c>
    </row>
    <row r="253" spans="1:5">
      <c r="A253" s="145">
        <f t="shared" si="3"/>
        <v>253</v>
      </c>
      <c r="B253" s="146" t="str">
        <f ca="1">IFERROR(__xludf.DUMMYFUNCTION("GOOGLETRANSLATE(B338:B353,""RU"",""UK"")"),"Просікання 48мм")</f>
        <v>Просікання 48мм</v>
      </c>
      <c r="C253" s="147" t="s">
        <v>6</v>
      </c>
      <c r="D253" s="147">
        <v>1</v>
      </c>
      <c r="E253" s="148" t="s">
        <v>371</v>
      </c>
    </row>
    <row r="254" spans="1:5">
      <c r="A254" s="145">
        <f t="shared" si="3"/>
        <v>254</v>
      </c>
      <c r="B254" s="146" t="str">
        <f ca="1">IFERROR(__xludf.DUMMYFUNCTION("GOOGLETRANSLATE(B339:B354,""RU"",""UK"")"),"Просікання 53мм")</f>
        <v>Просікання 53мм</v>
      </c>
      <c r="C254" s="147" t="s">
        <v>6</v>
      </c>
      <c r="D254" s="147">
        <v>2</v>
      </c>
      <c r="E254" s="148" t="s">
        <v>371</v>
      </c>
    </row>
    <row r="255" spans="1:5">
      <c r="A255" s="145">
        <f t="shared" si="3"/>
        <v>255</v>
      </c>
      <c r="B255" s="146" t="str">
        <f ca="1">IFERROR(__xludf.DUMMYFUNCTION("GOOGLETRANSLATE(B340:B355,""RU"",""UK"")"),"Просікання 60мм")</f>
        <v>Просікання 60мм</v>
      </c>
      <c r="C255" s="147" t="s">
        <v>6</v>
      </c>
      <c r="D255" s="147">
        <v>1</v>
      </c>
      <c r="E255" s="148" t="s">
        <v>371</v>
      </c>
    </row>
    <row r="256" spans="1:5">
      <c r="A256" s="145">
        <f t="shared" si="3"/>
        <v>256</v>
      </c>
      <c r="B256" s="146" t="str">
        <f ca="1">IFERROR(__xludf.DUMMYFUNCTION("GOOGLETRANSLATE(B341:B356,""RU"",""UK"")"),"Просікання 72мм")</f>
        <v>Просікання 72мм</v>
      </c>
      <c r="C256" s="147" t="s">
        <v>6</v>
      </c>
      <c r="D256" s="147">
        <v>2</v>
      </c>
      <c r="E256" s="148" t="s">
        <v>495</v>
      </c>
    </row>
    <row r="257" spans="1:5">
      <c r="A257" s="145">
        <f t="shared" si="3"/>
        <v>257</v>
      </c>
      <c r="B257" s="146" t="str">
        <f ca="1">IFERROR(__xludf.DUMMYFUNCTION("GOOGLETRANSLATE(B342:B357,""RU"",""UK"")"),"Просікання 80мм")</f>
        <v>Просікання 80мм</v>
      </c>
      <c r="C257" s="147" t="s">
        <v>6</v>
      </c>
      <c r="D257" s="147">
        <v>4</v>
      </c>
      <c r="E257" s="148" t="s">
        <v>495</v>
      </c>
    </row>
    <row r="258" spans="1:5">
      <c r="A258" s="145">
        <f t="shared" si="3"/>
        <v>258</v>
      </c>
      <c r="B258" s="146" t="str">
        <f ca="1">IFERROR(__xludf.DUMMYFUNCTION("GOOGLETRANSLATE(B343:B358,""RU"",""UK"")"),"Просікання 86мм")</f>
        <v>Просікання 86мм</v>
      </c>
      <c r="C258" s="147" t="s">
        <v>6</v>
      </c>
      <c r="D258" s="147">
        <v>1</v>
      </c>
      <c r="E258" s="148" t="s">
        <v>495</v>
      </c>
    </row>
    <row r="259" spans="1:5">
      <c r="A259" s="145">
        <f t="shared" si="3"/>
        <v>259</v>
      </c>
      <c r="B259" s="146" t="str">
        <f ca="1">IFERROR(__xludf.DUMMYFUNCTION("GOOGLETRANSLATE(B344:B359,""RU"",""UK"")"),"Просікання 98мм")</f>
        <v>Просікання 98мм</v>
      </c>
      <c r="C259" s="147" t="s">
        <v>6</v>
      </c>
      <c r="D259" s="147">
        <v>1</v>
      </c>
      <c r="E259" s="148" t="s">
        <v>495</v>
      </c>
    </row>
    <row r="260" spans="1:5">
      <c r="A260" s="145">
        <f t="shared" si="3"/>
        <v>260</v>
      </c>
      <c r="B260" s="146" t="str">
        <f ca="1">IFERROR(__xludf.DUMMYFUNCTION("GOOGLETRANSLATE(B345:B360,""RU"",""UK"")"),"Склоріз 3х роликовий")</f>
        <v>Склоріз 3х роликовий</v>
      </c>
      <c r="C260" s="147" t="s">
        <v>6</v>
      </c>
      <c r="D260" s="147">
        <v>16</v>
      </c>
      <c r="E260" s="148" t="s">
        <v>255</v>
      </c>
    </row>
    <row r="261" spans="1:5">
      <c r="A261" s="145">
        <f t="shared" ref="A261:A322" si="4">A260+1</f>
        <v>261</v>
      </c>
      <c r="B261" s="146" t="str">
        <f ca="1">IFERROR(__xludf.DUMMYFUNCTION("GOOGLETRANSLATE(B346:B361,""RU"",""UK"")"),"ПАСАТІЖІ СЛІСАРНІ 160мм")</f>
        <v>ПАСАТІЖІ СЛІСАРНІ 160мм</v>
      </c>
      <c r="C261" s="147" t="s">
        <v>6</v>
      </c>
      <c r="D261" s="147">
        <v>5</v>
      </c>
      <c r="E261" s="148" t="s">
        <v>226</v>
      </c>
    </row>
    <row r="262" spans="1:5">
      <c r="A262" s="145">
        <f t="shared" si="4"/>
        <v>262</v>
      </c>
      <c r="B262" s="146" t="str">
        <f ca="1">IFERROR(__xludf.DUMMYFUNCTION("GOOGLETRANSLATE(B347:B362,""RU"",""UK"")"),"ПАСАТІЖІ СЛІСАРНІ 180мм")</f>
        <v>ПАСАТІЖІ СЛІСАРНІ 180мм</v>
      </c>
      <c r="C262" s="147" t="s">
        <v>6</v>
      </c>
      <c r="D262" s="147">
        <v>11</v>
      </c>
      <c r="E262" s="148" t="s">
        <v>338</v>
      </c>
    </row>
    <row r="263" spans="1:5">
      <c r="A263" s="145">
        <f t="shared" si="4"/>
        <v>263</v>
      </c>
      <c r="B263" s="172" t="str">
        <f ca="1">IFERROR(__xludf.DUMMYFUNCTION("GOOGLETRANSLATE(B348:B363,""RU"",""UK"")"),"Пасатіжі (плоскогубці) 160мм Master")</f>
        <v>Пасатіжі (плоскогубці) 160мм Master</v>
      </c>
      <c r="C263" s="147" t="s">
        <v>6</v>
      </c>
      <c r="D263" s="147">
        <v>0</v>
      </c>
      <c r="E263" s="148">
        <v>185</v>
      </c>
    </row>
    <row r="264" spans="1:5">
      <c r="A264" s="145">
        <f t="shared" si="4"/>
        <v>264</v>
      </c>
      <c r="B264" s="146" t="str">
        <f ca="1">IFERROR(__xludf.DUMMYFUNCTION("GOOGLETRANSLATE(B348:B363,""RU"",""UK"")"),"Пасатіжі (плоскогубці) Cr-V, нікель, 160мм Berg")</f>
        <v>Пасатіжі (плоскогубці) Cr-V, нікель, 160мм Berg</v>
      </c>
      <c r="C264" s="147" t="s">
        <v>6</v>
      </c>
      <c r="D264" s="147">
        <v>5</v>
      </c>
      <c r="E264" s="148" t="s">
        <v>327</v>
      </c>
    </row>
    <row r="265" spans="1:5">
      <c r="A265" s="145">
        <f t="shared" si="4"/>
        <v>265</v>
      </c>
      <c r="B265" s="146" t="str">
        <f ca="1">IFERROR(__xludf.DUMMYFUNCTION("GOOGLETRANSLATE(B349:B364,""RU"",""UK"")"),"Пасатіжі (плоскогубці) Cr-V, чорніння, 160мм Berg")</f>
        <v>Пасатіжі (плоскогубці) Cr-V, чорніння, 160мм Berg</v>
      </c>
      <c r="C265" s="147" t="s">
        <v>6</v>
      </c>
      <c r="D265" s="147">
        <v>0</v>
      </c>
      <c r="E265" s="148" t="s">
        <v>504</v>
      </c>
    </row>
    <row r="266" spans="1:5">
      <c r="A266" s="145">
        <f t="shared" si="4"/>
        <v>266</v>
      </c>
      <c r="B266" s="146" t="str">
        <f ca="1">IFERROR(__xludf.DUMMYFUNCTION("GOOGLETRANSLATE(B350:B365,""RU"",""UK"")"),"Пасатіжі (плоскогубці) Cr-V, нікель, 180мм Berg")</f>
        <v>Пасатіжі (плоскогубці) Cr-V, нікель, 180мм Berg</v>
      </c>
      <c r="C266" s="147" t="s">
        <v>6</v>
      </c>
      <c r="D266" s="147">
        <v>2</v>
      </c>
      <c r="E266" s="148" t="s">
        <v>506</v>
      </c>
    </row>
    <row r="267" spans="1:5">
      <c r="A267" s="145">
        <f t="shared" si="4"/>
        <v>267</v>
      </c>
      <c r="B267" s="146" t="str">
        <f ca="1">IFERROR(__xludf.DUMMYFUNCTION("GOOGLETRANSLATE(B351:B366,""RU"",""UK"")"),"Пасатіжі (плоскогубці) Cr-V, чорніння, 180мм Berg")</f>
        <v>Пасатіжі (плоскогубці) Cr-V, чорніння, 180мм Berg</v>
      </c>
      <c r="C267" s="147" t="s">
        <v>6</v>
      </c>
      <c r="D267" s="147">
        <v>0</v>
      </c>
      <c r="E267" s="148" t="s">
        <v>508</v>
      </c>
    </row>
    <row r="268" spans="1:5">
      <c r="A268" s="145">
        <f t="shared" si="4"/>
        <v>268</v>
      </c>
      <c r="B268" s="146" t="str">
        <f ca="1">IFERROR(__xludf.DUMMYFUNCTION("GOOGLETRANSLATE(B352:B367,""RU"",""UK"")"),"Пасатіжі (плоскогубці) Cr-V, нікель, 200мм Berg")</f>
        <v>Пасатіжі (плоскогубці) Cr-V, нікель, 200мм Berg</v>
      </c>
      <c r="C268" s="147" t="s">
        <v>6</v>
      </c>
      <c r="D268" s="147">
        <v>0</v>
      </c>
      <c r="E268" s="148" t="s">
        <v>510</v>
      </c>
    </row>
    <row r="269" spans="1:5">
      <c r="A269" s="145">
        <f t="shared" si="4"/>
        <v>269</v>
      </c>
      <c r="B269" s="146" t="str">
        <f ca="1">IFERROR(__xludf.DUMMYFUNCTION("GOOGLETRANSLATE(B353:B368,""RU"",""UK"")"),"Пасатіжі (плоскогубці) Cr-V, чорніння, 200мм Berg")</f>
        <v>Пасатіжі (плоскогубці) Cr-V, чорніння, 200мм Berg</v>
      </c>
      <c r="C269" s="147" t="s">
        <v>6</v>
      </c>
      <c r="D269" s="147">
        <v>3</v>
      </c>
      <c r="E269" s="148" t="s">
        <v>128</v>
      </c>
    </row>
    <row r="270" spans="1:5">
      <c r="A270" s="145">
        <f t="shared" si="4"/>
        <v>270</v>
      </c>
      <c r="B270" s="146" t="str">
        <f ca="1">IFERROR(__xludf.DUMMYFUNCTION("GOOGLETRANSLATE(B354:B369,""RU"",""UK"")"),"Плоскогубці Cr-V, 120мм")</f>
        <v>Плоскогубці Cr-V, 120мм</v>
      </c>
      <c r="C270" s="147" t="s">
        <v>6</v>
      </c>
      <c r="D270" s="147">
        <v>1</v>
      </c>
      <c r="E270" s="148" t="s">
        <v>513</v>
      </c>
    </row>
    <row r="271" spans="1:5">
      <c r="A271" s="145">
        <f t="shared" si="4"/>
        <v>271</v>
      </c>
      <c r="B271" s="146" t="str">
        <f ca="1">IFERROR(__xludf.DUMMYFUNCTION("GOOGLETRANSLATE(B355:B370,""RU"",""UK"")"),"Бокорізи Cr-V чорніння 160мм Berg")</f>
        <v>Бокорізи Cr-V чорніння 160мм Berg</v>
      </c>
      <c r="C271" s="147" t="s">
        <v>6</v>
      </c>
      <c r="D271" s="147">
        <v>0</v>
      </c>
      <c r="E271" s="148" t="s">
        <v>515</v>
      </c>
    </row>
    <row r="272" spans="1:5">
      <c r="A272" s="145">
        <f t="shared" si="4"/>
        <v>272</v>
      </c>
      <c r="B272" s="146" t="str">
        <f ca="1">IFERROR(__xludf.DUMMYFUNCTION("GOOGLETRANSLATE(B356:B371,""RU"",""UK"")"),"Бокорізи Cr-V нікель 160мм Berg")</f>
        <v>Бокорізи Cr-V нікель 160мм Berg</v>
      </c>
      <c r="C272" s="147" t="s">
        <v>6</v>
      </c>
      <c r="D272" s="147">
        <v>2</v>
      </c>
      <c r="E272" s="148" t="s">
        <v>222</v>
      </c>
    </row>
    <row r="273" spans="1:5">
      <c r="A273" s="145">
        <f t="shared" si="4"/>
        <v>273</v>
      </c>
      <c r="B273" s="146" t="str">
        <f ca="1">IFERROR(__xludf.DUMMYFUNCTION("GOOGLETRANSLATE(B357:B372,""RU"",""UK"")"),"Бокорізи Cr-V чорніння 180мм Berg")</f>
        <v>Бокорізи Cr-V чорніння 180мм Berg</v>
      </c>
      <c r="C273" s="147" t="s">
        <v>6</v>
      </c>
      <c r="D273" s="147">
        <v>1</v>
      </c>
      <c r="E273" s="148" t="s">
        <v>327</v>
      </c>
    </row>
    <row r="274" spans="1:5">
      <c r="A274" s="145">
        <f t="shared" si="4"/>
        <v>274</v>
      </c>
      <c r="B274" s="146" t="str">
        <f ca="1">IFERROR(__xludf.DUMMYFUNCTION("GOOGLETRANSLATE(B358:B373,""RU"",""UK"")"),"Бокорізи Cr-V нікель 180мм Berg")</f>
        <v>Бокорізи Cr-V нікель 180мм Berg</v>
      </c>
      <c r="C274" s="147" t="s">
        <v>6</v>
      </c>
      <c r="D274" s="147">
        <v>1</v>
      </c>
      <c r="E274" s="148" t="s">
        <v>519</v>
      </c>
    </row>
    <row r="275" spans="1:5">
      <c r="A275" s="145">
        <f t="shared" si="4"/>
        <v>275</v>
      </c>
      <c r="B275" s="146" t="str">
        <f ca="1">IFERROR(__xludf.DUMMYFUNCTION("GOOGLETRANSLATE(B359:B374,""RU"",""UK"")"),"Бокорізи Cr-V чорніння 200мм Berg")</f>
        <v>Бокорізи Cr-V чорніння 200мм Berg</v>
      </c>
      <c r="C275" s="147" t="s">
        <v>6</v>
      </c>
      <c r="D275" s="147">
        <v>1</v>
      </c>
      <c r="E275" s="148" t="s">
        <v>521</v>
      </c>
    </row>
    <row r="276" spans="1:5">
      <c r="A276" s="145">
        <f t="shared" si="4"/>
        <v>276</v>
      </c>
      <c r="B276" s="146" t="str">
        <f ca="1">IFERROR(__xludf.DUMMYFUNCTION("GOOGLETRANSLATE(B360:B375,""RU"",""UK"")"),"Кусачки торцеві 160мм/200мм")</f>
        <v>Кусачки торцеві 160мм/200мм</v>
      </c>
      <c r="C276" s="147" t="s">
        <v>6</v>
      </c>
      <c r="D276" s="147">
        <v>19</v>
      </c>
      <c r="E276" s="148" t="s">
        <v>255</v>
      </c>
    </row>
    <row r="277" spans="1:5">
      <c r="A277" s="145">
        <f t="shared" si="4"/>
        <v>277</v>
      </c>
      <c r="B277" s="146" t="str">
        <f ca="1">IFERROR(__xludf.DUMMYFUNCTION("GOOGLETRANSLATE(B361:B376,""RU"",""UK"")"),"Круглогубці 160мм")</f>
        <v>Круглогубці 160мм</v>
      </c>
      <c r="C277" s="147" t="s">
        <v>6</v>
      </c>
      <c r="D277" s="147">
        <v>67</v>
      </c>
      <c r="E277" s="148" t="s">
        <v>255</v>
      </c>
    </row>
    <row r="278" spans="1:5">
      <c r="A278" s="145">
        <f t="shared" si="4"/>
        <v>278</v>
      </c>
      <c r="B278" s="146" t="str">
        <f ca="1">IFERROR(__xludf.DUMMYFUNCTION("GOOGLETRANSLATE(B362:B377,""RU"",""UK"")"),"Кліщі ""Сегера"" вигнуті (зовн. увігнуті) 200мм")</f>
        <v>Кліщі "Сегера" вигнуті (зовн. увігнуті) 200мм</v>
      </c>
      <c r="C278" s="147" t="s">
        <v>6</v>
      </c>
      <c r="D278" s="147">
        <v>0</v>
      </c>
      <c r="E278" s="148" t="s">
        <v>525</v>
      </c>
    </row>
    <row r="279" spans="1:5">
      <c r="A279" s="145">
        <f t="shared" si="4"/>
        <v>279</v>
      </c>
      <c r="B279" s="146" t="str">
        <f ca="1">IFERROR(__xludf.DUMMYFUNCTION("GOOGLETRANSLATE(B363:B378,""RU"",""UK"")"),"Кліщі ""Сегера"" вигнуті (внутр. увігнуті) 200мм")</f>
        <v>Кліщі "Сегера" вигнуті (внутр. увігнуті) 200мм</v>
      </c>
      <c r="C279" s="147" t="s">
        <v>6</v>
      </c>
      <c r="D279" s="147">
        <v>0</v>
      </c>
      <c r="E279" s="148" t="s">
        <v>525</v>
      </c>
    </row>
    <row r="280" spans="1:5">
      <c r="A280" s="145">
        <f t="shared" si="4"/>
        <v>280</v>
      </c>
      <c r="B280" s="146" t="str">
        <f ca="1">IFERROR(__xludf.DUMMYFUNCTION("GOOGLETRANSLATE(B364:B379,""RU"",""UK"")"),"Кліщі для зятя стопорних кілець, прямі 140мм")</f>
        <v>Кліщі для зятя стопорних кілець, прямі 140мм</v>
      </c>
      <c r="C280" s="147" t="s">
        <v>6</v>
      </c>
      <c r="D280" s="147">
        <v>3</v>
      </c>
      <c r="E280" s="148" t="s">
        <v>257</v>
      </c>
    </row>
    <row r="281" spans="1:5">
      <c r="A281" s="145">
        <f t="shared" si="4"/>
        <v>281</v>
      </c>
      <c r="B281" s="146" t="str">
        <f ca="1">IFERROR(__xludf.DUMMYFUNCTION("GOOGLETRANSLATE(B365:B380,""RU"",""UK"")"),"Кусачки для зняття ізоляції")</f>
        <v>Кусачки для зняття ізоляції</v>
      </c>
      <c r="C281" s="147" t="s">
        <v>6</v>
      </c>
      <c r="D281" s="147">
        <v>11</v>
      </c>
      <c r="E281" s="148" t="s">
        <v>104</v>
      </c>
    </row>
    <row r="282" spans="1:5">
      <c r="A282" s="145">
        <f t="shared" si="4"/>
        <v>282</v>
      </c>
      <c r="B282" s="146" t="str">
        <f ca="1">IFERROR(__xludf.DUMMYFUNCTION("GOOGLETRANSLATE(B366:B381,""RU"",""UK"")"),"Кліщі ковальські 700мм")</f>
        <v>Кліщі ковальські 700мм</v>
      </c>
      <c r="C282" s="147" t="s">
        <v>6</v>
      </c>
      <c r="D282" s="147">
        <v>1</v>
      </c>
      <c r="E282" s="148" t="s">
        <v>119</v>
      </c>
    </row>
    <row r="283" spans="1:5">
      <c r="A283" s="145">
        <f t="shared" si="4"/>
        <v>283</v>
      </c>
      <c r="B283" s="146" t="str">
        <f ca="1">IFERROR(__xludf.DUMMYFUNCTION("GOOGLETRANSLATE(B367:B382,""RU"",""UK"")"),"Пінцет 120мм")</f>
        <v>Пінцет 120мм</v>
      </c>
      <c r="C283" s="147" t="s">
        <v>6</v>
      </c>
      <c r="D283" s="147">
        <v>2</v>
      </c>
      <c r="E283" s="148" t="s">
        <v>248</v>
      </c>
    </row>
    <row r="284" spans="1:5">
      <c r="A284" s="145">
        <f t="shared" si="4"/>
        <v>284</v>
      </c>
      <c r="B284" s="146" t="str">
        <f ca="1">IFERROR(__xludf.DUMMYFUNCTION("GOOGLETRANSLATE(B368:B383,""RU"",""UK"")"),"Пінцет 160мм")</f>
        <v>Пінцет 160мм</v>
      </c>
      <c r="C284" s="147" t="s">
        <v>6</v>
      </c>
      <c r="D284" s="147">
        <v>3</v>
      </c>
      <c r="E284" s="148" t="s">
        <v>169</v>
      </c>
    </row>
    <row r="285" spans="1:5">
      <c r="A285" s="145">
        <f t="shared" si="4"/>
        <v>285</v>
      </c>
      <c r="B285" s="146" t="str">
        <f ca="1">IFERROR(__xludf.DUMMYFUNCTION("GOOGLETRANSLATE(B369:B384,""RU"",""UK"")"),"Скальпель")</f>
        <v>Скальпель</v>
      </c>
      <c r="C285" s="147" t="s">
        <v>6</v>
      </c>
      <c r="D285" s="147">
        <v>11</v>
      </c>
      <c r="E285" s="148">
        <v>96</v>
      </c>
    </row>
    <row r="286" spans="1:5">
      <c r="A286" s="145">
        <f t="shared" si="4"/>
        <v>286</v>
      </c>
      <c r="B286" s="146" t="str">
        <f ca="1">IFERROR(__xludf.DUMMYFUNCTION("GOOGLETRANSLATE(B370:B385,""RU"",""UK"")"),"Молоток без ручки 100гр.")</f>
        <v>Молоток без ручки 100гр.</v>
      </c>
      <c r="C286" s="147" t="s">
        <v>6</v>
      </c>
      <c r="D286" s="147">
        <v>1</v>
      </c>
      <c r="E286" s="148" t="s">
        <v>201</v>
      </c>
    </row>
    <row r="287" spans="1:5">
      <c r="A287" s="145">
        <f t="shared" si="4"/>
        <v>287</v>
      </c>
      <c r="B287" s="146" t="str">
        <f ca="1">IFERROR(__xludf.DUMMYFUNCTION("GOOGLETRANSLATE(B371:B386,""RU"",""UK"")"),"Молоток із ручкою 200гр.")</f>
        <v>Молоток із ручкою 200гр.</v>
      </c>
      <c r="C287" s="147" t="s">
        <v>6</v>
      </c>
      <c r="D287" s="147">
        <v>9</v>
      </c>
      <c r="E287" s="148">
        <v>115</v>
      </c>
    </row>
    <row r="288" spans="1:5">
      <c r="A288" s="145">
        <f t="shared" si="4"/>
        <v>288</v>
      </c>
      <c r="B288" s="146" t="str">
        <f ca="1">IFERROR(__xludf.DUMMYFUNCTION("GOOGLETRANSLATE(B372:B387,""RU"",""UK"")"),"Молоток із ручкою 400гр.")</f>
        <v>Молоток із ручкою 400гр.</v>
      </c>
      <c r="C288" s="147" t="s">
        <v>6</v>
      </c>
      <c r="D288" s="147">
        <v>5</v>
      </c>
      <c r="E288" s="148">
        <v>156</v>
      </c>
    </row>
    <row r="289" spans="1:5">
      <c r="A289" s="145">
        <f t="shared" si="4"/>
        <v>289</v>
      </c>
      <c r="B289" s="194" t="str">
        <f ca="1">IFERROR(__xludf.DUMMYFUNCTION("GOOGLETRANSLATE(B373:B388,""RU"",""UK"")"),"Молоток із ручкою 500гр.")</f>
        <v>Молоток із ручкою 500гр.</v>
      </c>
      <c r="C289" s="147" t="s">
        <v>6</v>
      </c>
      <c r="D289" s="147">
        <v>44</v>
      </c>
      <c r="E289" s="148">
        <v>175</v>
      </c>
    </row>
    <row r="290" spans="1:5">
      <c r="A290" s="145">
        <f t="shared" si="4"/>
        <v>290</v>
      </c>
      <c r="B290" s="194" t="str">
        <f ca="1">IFERROR(__xludf.DUMMYFUNCTION("GOOGLETRANSLATE(B374:B389,""RU"",""UK"")"),"Молоток із ручкою 800гр.")</f>
        <v>Молоток із ручкою 800гр.</v>
      </c>
      <c r="C290" s="147" t="s">
        <v>6</v>
      </c>
      <c r="D290" s="147">
        <v>4</v>
      </c>
      <c r="E290" s="148">
        <v>198</v>
      </c>
    </row>
    <row r="291" spans="1:5">
      <c r="A291" s="145">
        <f t="shared" si="4"/>
        <v>291</v>
      </c>
      <c r="B291" s="146" t="str">
        <f ca="1">IFERROR(__xludf.DUMMYFUNCTION("GOOGLETRANSLATE(B375:B390,""RU"",""UK"")"),"Молоток рихтувальний з ручкою (гума/пластик).")</f>
        <v>Молоток рихтувальний з ручкою (гума/пластик).</v>
      </c>
      <c r="C291" s="147" t="s">
        <v>6</v>
      </c>
      <c r="D291" s="147">
        <v>5</v>
      </c>
      <c r="E291" s="148">
        <v>180</v>
      </c>
    </row>
    <row r="292" spans="1:5">
      <c r="A292" s="145">
        <f t="shared" si="4"/>
        <v>292</v>
      </c>
      <c r="B292" s="146" t="str">
        <f ca="1">IFERROR(__xludf.DUMMYFUNCTION("GOOGLETRANSLATE(B376:B391,""RU"",""UK"")"),"Киянка дерев'яна")</f>
        <v>Киянка дерев'яна</v>
      </c>
      <c r="C292" s="147" t="s">
        <v>6</v>
      </c>
      <c r="D292" s="147">
        <v>3</v>
      </c>
      <c r="E292" s="148">
        <v>195</v>
      </c>
    </row>
    <row r="293" spans="1:5">
      <c r="A293" s="145">
        <f t="shared" si="4"/>
        <v>293</v>
      </c>
      <c r="B293" s="146" t="str">
        <f ca="1">IFERROR(__xludf.DUMMYFUNCTION("GOOGLETRANSLATE(B377:B392,""RU"",""UK"")"),"Ручка для молотка")</f>
        <v>Ручка для молотка</v>
      </c>
      <c r="C293" s="147" t="s">
        <v>6</v>
      </c>
      <c r="D293" s="147">
        <v>50</v>
      </c>
      <c r="E293" s="148">
        <v>33</v>
      </c>
    </row>
    <row r="294" spans="1:5">
      <c r="A294" s="145">
        <f t="shared" si="4"/>
        <v>294</v>
      </c>
      <c r="B294" s="146" t="str">
        <f ca="1">IFERROR(__xludf.DUMMYFUNCTION("GOOGLETRANSLATE(B378:B393,""RU"",""UK"")"),"Ручка для кувалди 2кг")</f>
        <v>Ручка для кувалди 2кг</v>
      </c>
      <c r="C294" s="147" t="s">
        <v>6</v>
      </c>
      <c r="D294" s="147">
        <v>7</v>
      </c>
      <c r="E294" s="148" t="s">
        <v>248</v>
      </c>
    </row>
    <row r="295" spans="1:5">
      <c r="A295" s="145">
        <f t="shared" si="4"/>
        <v>295</v>
      </c>
      <c r="B295" s="146" t="str">
        <f ca="1">IFERROR(__xludf.DUMMYFUNCTION("GOOGLETRANSLATE(B379:B394,""RU"",""UK"")"),"Ручка для кувалди 4кг")</f>
        <v>Ручка для кувалди 4кг</v>
      </c>
      <c r="C295" s="147" t="s">
        <v>6</v>
      </c>
      <c r="D295" s="147">
        <v>2</v>
      </c>
      <c r="E295" s="148" t="s">
        <v>201</v>
      </c>
    </row>
    <row r="296" spans="1:5">
      <c r="A296" s="145">
        <f t="shared" si="4"/>
        <v>296</v>
      </c>
      <c r="B296" s="146" t="str">
        <f ca="1">IFERROR(__xludf.DUMMYFUNCTION("GOOGLETRANSLATE(B380:B395,""RU"",""UK"")"),"Ручка для кувалди 6кг")</f>
        <v>Ручка для кувалди 6кг</v>
      </c>
      <c r="C296" s="147" t="s">
        <v>6</v>
      </c>
      <c r="D296" s="147">
        <v>1</v>
      </c>
      <c r="E296" s="148" t="s">
        <v>304</v>
      </c>
    </row>
    <row r="297" spans="1:5">
      <c r="A297" s="145">
        <f t="shared" si="4"/>
        <v>297</v>
      </c>
      <c r="B297" s="146" t="str">
        <f ca="1">IFERROR(__xludf.DUMMYFUNCTION("GOOGLETRANSLATE(B381:B396,""RU"",""UK"")"),"Ручка для кувалди 8кг")</f>
        <v>Ручка для кувалди 8кг</v>
      </c>
      <c r="C297" s="147" t="s">
        <v>6</v>
      </c>
      <c r="D297" s="147">
        <v>2</v>
      </c>
      <c r="E297" s="148">
        <v>60</v>
      </c>
    </row>
    <row r="298" spans="1:5">
      <c r="A298" s="145">
        <f t="shared" si="4"/>
        <v>298</v>
      </c>
      <c r="B298" s="146" t="str">
        <f ca="1">IFERROR(__xludf.DUMMYFUNCTION("GOOGLETRANSLATE(B382:B397,""RU"",""UK"")"),"Ручка для сокири")</f>
        <v>Ручка для сокири</v>
      </c>
      <c r="C298" s="147" t="s">
        <v>6</v>
      </c>
      <c r="D298" s="147">
        <v>6</v>
      </c>
      <c r="E298" s="148" t="s">
        <v>167</v>
      </c>
    </row>
    <row r="299" spans="1:5">
      <c r="A299" s="145">
        <f t="shared" si="4"/>
        <v>299</v>
      </c>
      <c r="B299" s="172" t="str">
        <f ca="1">IFERROR(__xludf.DUMMYFUNCTION("GOOGLETRANSLATE(B384:B399,""RU"",""UK"")"),"Кувалда із ручкою 4кг")</f>
        <v>Кувалда із ручкою 4кг</v>
      </c>
      <c r="C299" s="149" t="s">
        <v>6</v>
      </c>
      <c r="D299" s="149">
        <v>0</v>
      </c>
      <c r="E299" s="148">
        <v>570</v>
      </c>
    </row>
    <row r="300" spans="1:5">
      <c r="A300" s="145">
        <f t="shared" si="4"/>
        <v>300</v>
      </c>
      <c r="B300" s="234" t="str">
        <f ca="1">IFERROR(__xludf.DUMMYFUNCTION("GOOGLETRANSLATE(B385:B400,""RU"",""UK"")"),"Кувалда із ручкою 6кг")</f>
        <v>Кувалда із ручкою 6кг</v>
      </c>
      <c r="C300" s="149" t="s">
        <v>6</v>
      </c>
      <c r="D300" s="149">
        <v>1</v>
      </c>
      <c r="E300" s="148">
        <v>670</v>
      </c>
    </row>
    <row r="301" spans="1:5">
      <c r="A301" s="145">
        <f t="shared" si="4"/>
        <v>301</v>
      </c>
      <c r="B301" s="146" t="str">
        <f ca="1">IFERROR(__xludf.DUMMYFUNCTION("GOOGLETRANSLATE(B386:B401,""RU"",""UK"")"),"Кувалда 8кг (з ручкою)")</f>
        <v>Кувалда 8кг (з ручкою)</v>
      </c>
      <c r="C301" s="147" t="s">
        <v>6</v>
      </c>
      <c r="D301" s="147">
        <v>1</v>
      </c>
      <c r="E301" s="148">
        <v>810</v>
      </c>
    </row>
    <row r="302" spans="1:5">
      <c r="A302" s="145">
        <f t="shared" si="4"/>
        <v>302</v>
      </c>
      <c r="B302" s="146" t="str">
        <f ca="1">IFERROR(__xludf.DUMMYFUNCTION("GOOGLETRANSLATE(B387:B402,""RU"",""UK"")"),"Сокира з ручкою 1850 гр. Україна")</f>
        <v>Сокира з ручкою 1850 гр. Україна</v>
      </c>
      <c r="C302" s="147" t="s">
        <v>6</v>
      </c>
      <c r="D302" s="147">
        <v>0</v>
      </c>
      <c r="E302" s="148" t="s">
        <v>36</v>
      </c>
    </row>
    <row r="303" spans="1:5">
      <c r="A303" s="145">
        <f t="shared" si="4"/>
        <v>303</v>
      </c>
      <c r="B303" s="146" t="str">
        <f ca="1">IFERROR(__xludf.DUMMYFUNCTION("GOOGLETRANSLATE(B388:B403,""RU"",""UK"")"),"Кірочка-молоток")</f>
        <v>Кірочка-молоток</v>
      </c>
      <c r="C303" s="147" t="s">
        <v>6</v>
      </c>
      <c r="D303" s="147">
        <v>12</v>
      </c>
      <c r="E303" s="148" t="s">
        <v>557</v>
      </c>
    </row>
    <row r="304" spans="1:5">
      <c r="A304" s="145">
        <f t="shared" si="4"/>
        <v>304</v>
      </c>
      <c r="B304" s="146" t="str">
        <f ca="1">IFERROR(__xludf.DUMMYFUNCTION("GOOGLETRANSLATE(B389:B404,""RU"",""UK"")"),"Кельма КШ")</f>
        <v>Кельма КШ</v>
      </c>
      <c r="C304" s="147" t="s">
        <v>6</v>
      </c>
      <c r="D304" s="147">
        <v>51</v>
      </c>
      <c r="E304" s="148" t="s">
        <v>248</v>
      </c>
    </row>
    <row r="305" spans="1:5">
      <c r="A305" s="145">
        <f t="shared" si="4"/>
        <v>305</v>
      </c>
      <c r="B305" s="146" t="str">
        <f ca="1">IFERROR(__xludf.DUMMYFUNCTION("GOOGLETRANSLATE(B390:B405,""RU"",""UK"")"),"Ківш штукатурний")</f>
        <v>Ківш штукатурний</v>
      </c>
      <c r="C305" s="147" t="s">
        <v>6</v>
      </c>
      <c r="D305" s="147">
        <v>5</v>
      </c>
      <c r="E305" s="148" t="s">
        <v>248</v>
      </c>
    </row>
    <row r="306" spans="1:5">
      <c r="A306" s="145">
        <f t="shared" si="4"/>
        <v>306</v>
      </c>
      <c r="B306" s="146" t="str">
        <f ca="1">IFERROR(__xludf.DUMMYFUNCTION("GOOGLETRANSLATE(B392:B407,""RU"",""UK"")"),"Зубило слюсарне 180мм")</f>
        <v>Зубило слюсарне 180мм</v>
      </c>
      <c r="C306" s="147" t="s">
        <v>6</v>
      </c>
      <c r="D306" s="147">
        <v>115</v>
      </c>
      <c r="E306" s="148">
        <v>65</v>
      </c>
    </row>
    <row r="307" spans="1:5">
      <c r="A307" s="145">
        <f t="shared" si="4"/>
        <v>307</v>
      </c>
      <c r="B307" s="146" t="str">
        <f ca="1">IFERROR(__xludf.DUMMYFUNCTION("GOOGLETRANSLATE(B394:B409,""RU"",""UK"")"),"Зубило слюсарне 220мм")</f>
        <v>Зубило слюсарне 220мм</v>
      </c>
      <c r="C307" s="147" t="s">
        <v>6</v>
      </c>
      <c r="D307" s="147">
        <v>8</v>
      </c>
      <c r="E307" s="148">
        <v>132</v>
      </c>
    </row>
    <row r="308" spans="1:5">
      <c r="A308" s="145">
        <f t="shared" si="4"/>
        <v>308</v>
      </c>
      <c r="B308" s="146" t="str">
        <f ca="1">IFERROR(__xludf.DUMMYFUNCTION("GOOGLETRANSLATE(B395:B410,""RU"",""UK"")"),"Зубило слюсарне 270мм")</f>
        <v>Зубило слюсарне 270мм</v>
      </c>
      <c r="C308" s="147" t="s">
        <v>6</v>
      </c>
      <c r="D308" s="147">
        <v>122</v>
      </c>
      <c r="E308" s="148" t="s">
        <v>567</v>
      </c>
    </row>
    <row r="309" spans="1:5">
      <c r="A309" s="145">
        <f t="shared" si="4"/>
        <v>309</v>
      </c>
      <c r="B309" s="146" t="str">
        <f ca="1">IFERROR(__xludf.DUMMYFUNCTION("GOOGLETRANSLATE(B396:B411,""RU"",""UK"")"),"Зубило слюсарне 400мм")</f>
        <v>Зубило слюсарне 400мм</v>
      </c>
      <c r="C309" s="147" t="s">
        <v>6</v>
      </c>
      <c r="D309" s="147">
        <v>5</v>
      </c>
      <c r="E309" s="148" t="s">
        <v>569</v>
      </c>
    </row>
    <row r="310" spans="1:5">
      <c r="A310" s="145">
        <f t="shared" si="4"/>
        <v>310</v>
      </c>
      <c r="B310" s="146" t="str">
        <f ca="1">IFERROR(__xludf.DUMMYFUNCTION("GOOGLETRANSLATE(B397:B412,""RU"",""UK"")"),"Зубило слюсарне 500мм")</f>
        <v>Зубило слюсарне 500мм</v>
      </c>
      <c r="C310" s="147" t="s">
        <v>6</v>
      </c>
      <c r="D310" s="147">
        <v>22</v>
      </c>
      <c r="E310" s="148" t="s">
        <v>571</v>
      </c>
    </row>
    <row r="311" spans="1:5">
      <c r="A311" s="145">
        <f t="shared" si="4"/>
        <v>311</v>
      </c>
      <c r="B311" s="146" t="str">
        <f ca="1">IFERROR(__xludf.DUMMYFUNCTION("GOOGLETRANSLATE(B398:B413,""RU"",""UK"")"),"Кренцмейсель зліс. 160")</f>
        <v>Кренцмейсель зліс. 160</v>
      </c>
      <c r="C311" s="147" t="s">
        <v>6</v>
      </c>
      <c r="D311" s="147">
        <v>4</v>
      </c>
      <c r="E311" s="148" t="s">
        <v>248</v>
      </c>
    </row>
    <row r="312" spans="1:5">
      <c r="A312" s="145">
        <f t="shared" si="4"/>
        <v>312</v>
      </c>
      <c r="B312" s="146" t="str">
        <f ca="1">IFERROR(__xludf.DUMMYFUNCTION("GOOGLETRANSLATE(B399:B414,""RU"",""UK"")"),"Бородок (Пробійник)")</f>
        <v>Бородок (Пробійник)</v>
      </c>
      <c r="C312" s="147" t="s">
        <v>6</v>
      </c>
      <c r="D312" s="147">
        <v>23</v>
      </c>
      <c r="E312" s="148">
        <v>25</v>
      </c>
    </row>
    <row r="313" spans="1:5">
      <c r="A313" s="145">
        <f t="shared" si="4"/>
        <v>313</v>
      </c>
      <c r="B313" s="216" t="str">
        <f ca="1">IFERROR(__xludf.DUMMYFUNCTION("GOOGLETRANSLATE(B400:B415,""RU"",""UK"")"),"Керн без накатки")</f>
        <v>Керн без накатки</v>
      </c>
      <c r="C313" s="147" t="s">
        <v>6</v>
      </c>
      <c r="D313" s="147">
        <v>0</v>
      </c>
      <c r="E313" s="148" t="s">
        <v>575</v>
      </c>
    </row>
    <row r="314" spans="1:5">
      <c r="A314" s="145">
        <f t="shared" si="4"/>
        <v>314</v>
      </c>
      <c r="B314" s="146" t="str">
        <f ca="1">IFERROR(__xludf.DUMMYFUNCTION("GOOGLETRANSLATE(B401:B416,""RU"",""UK"")"),"Креслелка за мет.")</f>
        <v>Креслелка за мет.</v>
      </c>
      <c r="C314" s="147" t="s">
        <v>6</v>
      </c>
      <c r="D314" s="147">
        <v>25</v>
      </c>
      <c r="E314" s="148">
        <v>25</v>
      </c>
    </row>
    <row r="315" spans="1:5">
      <c r="A315" s="145">
        <f t="shared" si="4"/>
        <v>315</v>
      </c>
      <c r="B315" s="146" t="str">
        <f ca="1">IFERROR(__xludf.DUMMYFUNCTION("GOOGLETRANSLATE(B402:B417,""RU"",""UK"")"),"Креслелка за мет. т/с")</f>
        <v>Креслелка за мет. т/с</v>
      </c>
      <c r="C315" s="147" t="s">
        <v>6</v>
      </c>
      <c r="D315" s="147">
        <v>6</v>
      </c>
      <c r="E315" s="148" t="s">
        <v>167</v>
      </c>
    </row>
    <row r="316" spans="1:5">
      <c r="A316" s="145">
        <f t="shared" si="4"/>
        <v>316</v>
      </c>
      <c r="B316" s="146" t="str">
        <f ca="1">IFERROR(__xludf.DUMMYFUNCTION("GOOGLETRANSLATE(B403:B418,""RU"",""UK"")"),"Лопата штикова чорна з ручкою")</f>
        <v>Лопата штикова чорна з ручкою</v>
      </c>
      <c r="C316" s="147" t="s">
        <v>6</v>
      </c>
      <c r="D316" s="147">
        <v>5</v>
      </c>
      <c r="E316" s="148">
        <v>180</v>
      </c>
    </row>
    <row r="317" spans="1:5">
      <c r="A317" s="145">
        <f t="shared" si="4"/>
        <v>317</v>
      </c>
      <c r="B317" s="146" t="str">
        <f ca="1">IFERROR(__xludf.DUMMYFUNCTION("GOOGLETRANSLATE(B404:B419,""RU"",""UK"")"),"Лопата совкова ЛСП чорна")</f>
        <v>Лопата совкова ЛСП чорна</v>
      </c>
      <c r="C317" s="147" t="s">
        <v>6</v>
      </c>
      <c r="D317" s="147">
        <v>5</v>
      </c>
      <c r="E317" s="148" t="s">
        <v>346</v>
      </c>
    </row>
    <row r="318" spans="1:5">
      <c r="A318" s="145">
        <f t="shared" si="4"/>
        <v>318</v>
      </c>
      <c r="B318" s="146" t="str">
        <f ca="1">IFERROR(__xludf.DUMMYFUNCTION("GOOGLETRANSLATE(B405:B420,""RU"",""UK"")"),"Лопата широка металева")</f>
        <v>Лопата широка металева</v>
      </c>
      <c r="C318" s="147" t="s">
        <v>6</v>
      </c>
      <c r="D318" s="147">
        <v>0</v>
      </c>
      <c r="E318" s="148" t="s">
        <v>327</v>
      </c>
    </row>
    <row r="319" spans="1:5">
      <c r="A319" s="145">
        <f t="shared" si="4"/>
        <v>319</v>
      </c>
      <c r="B319" s="146" t="str">
        <f ca="1">IFERROR(__xludf.DUMMYFUNCTION("GOOGLETRANSLATE(B406:B421,""RU"",""UK"")"),"Льодоруб 300 (без ручки)")</f>
        <v>Льодоруб 300 (без ручки)</v>
      </c>
      <c r="C319" s="147" t="s">
        <v>6</v>
      </c>
      <c r="D319" s="147">
        <v>2</v>
      </c>
      <c r="E319" s="148" t="s">
        <v>209</v>
      </c>
    </row>
    <row r="320" spans="1:5">
      <c r="A320" s="145">
        <f t="shared" si="4"/>
        <v>320</v>
      </c>
      <c r="B320" s="146" t="str">
        <f ca="1">IFERROR(__xludf.DUMMYFUNCTION("GOOGLETRANSLATE(B407:B422,""RU"",""UK"")"),"Граблі штирьові 10 зубів")</f>
        <v>Граблі штирьові 10 зубів</v>
      </c>
      <c r="C320" s="147" t="s">
        <v>6</v>
      </c>
      <c r="D320" s="147">
        <v>8</v>
      </c>
      <c r="E320" s="148" t="s">
        <v>495</v>
      </c>
    </row>
    <row r="321" spans="1:5">
      <c r="A321" s="145">
        <f t="shared" si="4"/>
        <v>321</v>
      </c>
      <c r="B321" s="146" t="str">
        <f ca="1">IFERROR(__xludf.DUMMYFUNCTION("GOOGLETRANSLATE(B408:B423,""RU"",""UK"")"),"Держак для лопат і вил 1200мм (бук)")</f>
        <v>Держак для лопат і вил 1200мм (бук)</v>
      </c>
      <c r="C321" s="147" t="s">
        <v>6</v>
      </c>
      <c r="D321" s="147">
        <v>5</v>
      </c>
      <c r="E321" s="148">
        <v>55</v>
      </c>
    </row>
    <row r="322" spans="1:5">
      <c r="A322" s="145">
        <f t="shared" si="4"/>
        <v>322</v>
      </c>
      <c r="B322" s="146" t="str">
        <f ca="1">IFERROR(__xludf.DUMMYFUNCTION("GOOGLETRANSLATE(B409:B424,""RU"",""UK"")"),"Держак для граблів 1400мм (бук)")</f>
        <v>Держак для граблів 1400мм (бук)</v>
      </c>
      <c r="C322" s="147" t="s">
        <v>6</v>
      </c>
      <c r="D322" s="147">
        <v>2</v>
      </c>
      <c r="E322" s="148" t="s">
        <v>586</v>
      </c>
    </row>
    <row r="323" spans="1:5">
      <c r="A323" s="145">
        <f t="shared" ref="A323:A343" si="5">A322+1</f>
        <v>323</v>
      </c>
      <c r="B323" s="146" t="str">
        <f ca="1">IFERROR(__xludf.DUMMYFUNCTION("GOOGLETRANSLATE(B410:B425,""RU"",""UK"")"),"Держак для мітли 1000мм (бук)")</f>
        <v>Держак для мітли 1000мм (бук)</v>
      </c>
      <c r="C323" s="147" t="s">
        <v>6</v>
      </c>
      <c r="D323" s="147">
        <v>2</v>
      </c>
      <c r="E323" s="148" t="s">
        <v>588</v>
      </c>
    </row>
    <row r="324" spans="1:5">
      <c r="A324" s="145">
        <f t="shared" si="5"/>
        <v>324</v>
      </c>
      <c r="B324" s="146" t="str">
        <f ca="1">IFERROR(__xludf.DUMMYFUNCTION("GOOGLETRANSLATE(B411:B426,""RU"",""UK"")"),"Монтування 350мм")</f>
        <v>Монтування 350мм</v>
      </c>
      <c r="C324" s="147" t="s">
        <v>6</v>
      </c>
      <c r="D324" s="147">
        <v>3</v>
      </c>
      <c r="E324" s="148" t="s">
        <v>567</v>
      </c>
    </row>
    <row r="325" spans="1:5">
      <c r="A325" s="145">
        <f t="shared" si="5"/>
        <v>325</v>
      </c>
      <c r="B325" s="172" t="s">
        <v>6133</v>
      </c>
      <c r="C325" s="147" t="s">
        <v>6</v>
      </c>
      <c r="D325" s="147">
        <v>0</v>
      </c>
      <c r="E325" s="148" t="s">
        <v>167</v>
      </c>
    </row>
    <row r="326" spans="1:5">
      <c r="A326" s="145">
        <f t="shared" si="5"/>
        <v>326</v>
      </c>
      <c r="B326" s="172" t="str">
        <f ca="1">IFERROR(__xludf.DUMMYFUNCTION("GOOGLETRANSLATE(B414:B429,""RU"",""UK"")"),"Щітка (по металу) дерев'яна, латунь дріт 6 ряд.")</f>
        <v>Щітка (по металу) дерев'яна, латунь дріт 6 ряд.</v>
      </c>
      <c r="C326" s="147" t="s">
        <v>6</v>
      </c>
      <c r="D326" s="147">
        <v>0</v>
      </c>
      <c r="E326" s="148" t="s">
        <v>594</v>
      </c>
    </row>
    <row r="327" spans="1:5">
      <c r="A327" s="145">
        <f t="shared" si="5"/>
        <v>327</v>
      </c>
      <c r="B327" s="146" t="str">
        <f ca="1">IFERROR(__xludf.DUMMYFUNCTION("GOOGLETRANSLATE(B415:B430,""RU"",""UK"")"),"Щітка сталева, по металу 5 ряд. (з дер. ручкою)")</f>
        <v>Щітка сталева, по металу 5 ряд. (з дер. ручкою)</v>
      </c>
      <c r="C327" s="147" t="s">
        <v>6</v>
      </c>
      <c r="D327" s="147">
        <v>0</v>
      </c>
      <c r="E327" s="148" t="s">
        <v>596</v>
      </c>
    </row>
    <row r="328" spans="1:5">
      <c r="A328" s="145">
        <f t="shared" si="5"/>
        <v>328</v>
      </c>
      <c r="B328" s="146" t="str">
        <f ca="1">IFERROR(__xludf.DUMMYFUNCTION("GOOGLETRANSLATE(B416:B431,""RU"",""UK"")"),"Щітка для змітання з ручкою 280мм")</f>
        <v>Щітка для змітання з ручкою 280мм</v>
      </c>
      <c r="C328" s="147" t="s">
        <v>6</v>
      </c>
      <c r="D328" s="147">
        <v>8</v>
      </c>
      <c r="E328" s="148" t="s">
        <v>598</v>
      </c>
    </row>
    <row r="329" spans="1:5">
      <c r="A329" s="145">
        <f t="shared" si="5"/>
        <v>329</v>
      </c>
      <c r="B329" s="172" t="str">
        <f ca="1">IFERROR(__xludf.DUMMYFUNCTION("GOOGLETRANSLATE(B417:B432,""RU"",""UK"")"),"Пензель флейцева, тип ""Стандарт"" 3""")</f>
        <v>Пензель флейцева, тип "Стандарт" 3"</v>
      </c>
      <c r="C329" s="147" t="s">
        <v>6</v>
      </c>
      <c r="D329" s="147">
        <v>0</v>
      </c>
      <c r="E329" s="148" t="s">
        <v>600</v>
      </c>
    </row>
    <row r="330" spans="1:5">
      <c r="A330" s="145">
        <f t="shared" si="5"/>
        <v>330</v>
      </c>
      <c r="B330" s="194" t="str">
        <f ca="1">IFERROR(__xludf.DUMMYFUNCTION("GOOGLETRANSLATE(B418:B433,""RU"",""UK"")"),"Пензель флейцева, тип ""Стандарт"" 2,5""")</f>
        <v>Пензель флейцева, тип "Стандарт" 2,5"</v>
      </c>
      <c r="C330" s="147" t="s">
        <v>6</v>
      </c>
      <c r="D330" s="147">
        <v>5</v>
      </c>
      <c r="E330" s="148" t="s">
        <v>602</v>
      </c>
    </row>
    <row r="331" spans="1:5">
      <c r="A331" s="145">
        <f t="shared" si="5"/>
        <v>331</v>
      </c>
      <c r="B331" s="194" t="str">
        <f ca="1">IFERROR(__xludf.DUMMYFUNCTION("GOOGLETRANSLATE(B419:B434,""RU"",""UK"")"),"Пензель флейцева, тип ""Стандарт"" 1""")</f>
        <v>Пензель флейцева, тип "Стандарт" 1"</v>
      </c>
      <c r="C331" s="147" t="s">
        <v>6</v>
      </c>
      <c r="D331" s="147">
        <v>12</v>
      </c>
      <c r="E331" s="148">
        <v>17.5</v>
      </c>
    </row>
    <row r="332" spans="1:5">
      <c r="A332" s="145">
        <f t="shared" si="5"/>
        <v>332</v>
      </c>
      <c r="B332" s="146" t="str">
        <f ca="1">IFERROR(__xludf.DUMMYFUNCTION("GOOGLETRANSLATE(B420:B435,""RU"",""UK"")"),"Пензель флейцева, тип ""Стандарт"" 3/4""")</f>
        <v>Пензель флейцева, тип "Стандарт" 3/4"</v>
      </c>
      <c r="C332" s="147" t="s">
        <v>6</v>
      </c>
      <c r="D332" s="147">
        <v>0</v>
      </c>
      <c r="E332" s="148">
        <v>12.9</v>
      </c>
    </row>
    <row r="333" spans="1:5">
      <c r="A333" s="145">
        <f t="shared" si="5"/>
        <v>333</v>
      </c>
      <c r="B333" s="146" t="str">
        <f ca="1">IFERROR(__xludf.DUMMYFUNCTION("GOOGLETRANSLATE(B421:B436,""RU"",""UK"")"),"Пензель плоский дер. ручка 30х14мм")</f>
        <v>Пензель плоский дер. ручка 30х14мм</v>
      </c>
      <c r="C333" s="147" t="s">
        <v>6</v>
      </c>
      <c r="D333" s="147">
        <v>1</v>
      </c>
      <c r="E333" s="148" t="s">
        <v>608</v>
      </c>
    </row>
    <row r="334" spans="1:5">
      <c r="A334" s="145">
        <f t="shared" si="5"/>
        <v>334</v>
      </c>
      <c r="B334" s="146" t="str">
        <f ca="1">IFERROR(__xludf.DUMMYFUNCTION("GOOGLETRANSLATE(B422:B437,""RU"",""UK"")"),"Пензлик кругла 50мм")</f>
        <v>Пензлик кругла 50мм</v>
      </c>
      <c r="C334" s="147" t="s">
        <v>6</v>
      </c>
      <c r="D334" s="147">
        <v>0</v>
      </c>
      <c r="E334" s="148" t="s">
        <v>610</v>
      </c>
    </row>
    <row r="335" spans="1:5">
      <c r="A335" s="145">
        <f t="shared" si="5"/>
        <v>335</v>
      </c>
      <c r="B335" s="146" t="str">
        <f ca="1">IFERROR(__xludf.DUMMYFUNCTION("GOOGLETRANSLATE(B423:B438,""RU"",""UK"")"),"Пензлик кругла 40мм")</f>
        <v>Пензлик кругла 40мм</v>
      </c>
      <c r="C335" s="147" t="s">
        <v>6</v>
      </c>
      <c r="D335" s="147">
        <v>0</v>
      </c>
      <c r="E335" s="148" t="s">
        <v>361</v>
      </c>
    </row>
    <row r="336" spans="1:5">
      <c r="A336" s="145">
        <f t="shared" si="5"/>
        <v>336</v>
      </c>
      <c r="B336" s="146" t="str">
        <f ca="1">IFERROR(__xludf.DUMMYFUNCTION("GOOGLETRANSLATE(B424:B439,""RU"",""UK"")"),"Пензлик кругла 30мм")</f>
        <v>Пензлик кругла 30мм</v>
      </c>
      <c r="C336" s="147" t="s">
        <v>6</v>
      </c>
      <c r="D336" s="147">
        <v>3</v>
      </c>
      <c r="E336" s="148" t="s">
        <v>361</v>
      </c>
    </row>
    <row r="337" spans="1:5">
      <c r="A337" s="145">
        <f t="shared" si="5"/>
        <v>337</v>
      </c>
      <c r="B337" s="146" t="str">
        <f ca="1">IFERROR(__xludf.DUMMYFUNCTION("GOOGLETRANSLATE(B425:B440,""RU"",""UK"")"),"Валік Преміум з ручкою d8мм, 48х180мм")</f>
        <v>Валік Преміум з ручкою d8мм, 48х180мм</v>
      </c>
      <c r="C337" s="147" t="s">
        <v>6</v>
      </c>
      <c r="D337" s="147">
        <v>5</v>
      </c>
      <c r="E337" s="148" t="s">
        <v>614</v>
      </c>
    </row>
    <row r="338" spans="1:5">
      <c r="A338" s="145">
        <f t="shared" si="5"/>
        <v>338</v>
      </c>
      <c r="B338" s="146" t="str">
        <f ca="1">IFERROR(__xludf.DUMMYFUNCTION("GOOGLETRANSLATE(B426:B441,""RU"",""UK"")"),"Валик хутряний 400мм")</f>
        <v>Валик хутряний 400мм</v>
      </c>
      <c r="C338" s="147" t="s">
        <v>6</v>
      </c>
      <c r="D338" s="147">
        <v>2</v>
      </c>
      <c r="E338" s="148" t="s">
        <v>209</v>
      </c>
    </row>
    <row r="339" spans="1:5">
      <c r="A339" s="145">
        <f t="shared" si="5"/>
        <v>339</v>
      </c>
      <c r="B339" s="146" t="str">
        <f ca="1">IFERROR(__xludf.DUMMYFUNCTION("GOOGLETRANSLATE(B427:B442,""RU"",""UK"")"),"Запаска 180мм")</f>
        <v>Запаска 180мм</v>
      </c>
      <c r="C339" s="147" t="s">
        <v>6</v>
      </c>
      <c r="D339" s="147">
        <v>2</v>
      </c>
      <c r="E339" s="148" t="s">
        <v>586</v>
      </c>
    </row>
    <row r="340" spans="1:5">
      <c r="A340" s="145">
        <f t="shared" si="5"/>
        <v>340</v>
      </c>
      <c r="B340" s="146" t="str">
        <f ca="1">IFERROR(__xludf.DUMMYFUNCTION("GOOGLETRANSLATE(B428:B443,""RU"",""UK"")"),"Запаска 250мм")</f>
        <v>Запаска 250мм</v>
      </c>
      <c r="C340" s="147" t="s">
        <v>6</v>
      </c>
      <c r="D340" s="147">
        <v>3</v>
      </c>
      <c r="E340" s="148" t="s">
        <v>618</v>
      </c>
    </row>
    <row r="341" spans="1:5">
      <c r="A341" s="145">
        <f t="shared" si="5"/>
        <v>341</v>
      </c>
      <c r="B341" s="146" t="str">
        <f ca="1">IFERROR(__xludf.DUMMYFUNCTION("GOOGLETRANSLATE(B429:B444,""RU"",""UK"")"),"Терка")</f>
        <v>Терка</v>
      </c>
      <c r="C341" s="147" t="s">
        <v>6</v>
      </c>
      <c r="D341" s="147">
        <v>2</v>
      </c>
      <c r="E341" s="148" t="s">
        <v>286</v>
      </c>
    </row>
    <row r="342" spans="1:5">
      <c r="A342" s="145">
        <f t="shared" si="5"/>
        <v>342</v>
      </c>
      <c r="B342" s="146" t="str">
        <f ca="1">IFERROR(__xludf.DUMMYFUNCTION("GOOGLETRANSLATE(B430:B445,""RU"",""UK"")"),"Півтерок")</f>
        <v>Півтерок</v>
      </c>
      <c r="C342" s="147" t="s">
        <v>6</v>
      </c>
      <c r="D342" s="147">
        <v>3</v>
      </c>
      <c r="E342" s="148" t="s">
        <v>134</v>
      </c>
    </row>
    <row r="343" spans="1:5">
      <c r="A343" s="145">
        <f t="shared" si="5"/>
        <v>343</v>
      </c>
      <c r="B343" s="146" t="str">
        <f ca="1">IFERROR(__xludf.DUMMYFUNCTION("GOOGLETRANSLATE(B431:B446,""RU"",""UK"")"),"Цикля з дер. ручкою із запасними ножами")</f>
        <v>Цикля з дер. ручкою із запасними ножами</v>
      </c>
      <c r="C343" s="147" t="s">
        <v>6</v>
      </c>
      <c r="D343" s="147">
        <v>5</v>
      </c>
      <c r="E343" s="148" t="s">
        <v>104</v>
      </c>
    </row>
  </sheetData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zoomScale="190" zoomScaleNormal="190" workbookViewId="0">
      <selection activeCell="D5" sqref="D5"/>
    </sheetView>
  </sheetViews>
  <sheetFormatPr defaultRowHeight="12.75"/>
  <cols>
    <col min="2" max="2" width="61.7109375" customWidth="1"/>
    <col min="5" max="5" width="13.7109375" customWidth="1"/>
  </cols>
  <sheetData>
    <row r="1" spans="1:5">
      <c r="A1" s="68"/>
      <c r="B1" s="119" t="s">
        <v>6056</v>
      </c>
      <c r="C1" s="69"/>
      <c r="D1" s="69"/>
      <c r="E1" s="106"/>
    </row>
    <row r="2" spans="1:5">
      <c r="A2" s="21">
        <v>1</v>
      </c>
      <c r="B2" s="47" t="str">
        <f ca="1">IFERROR(__xludf.DUMMYFUNCTION("GOOGLETRANSLATE(B4000:B4015,""RU"",""UK"")"),"Каска стор.-монт.")</f>
        <v>Каска стор.-монт.</v>
      </c>
      <c r="C2" s="59" t="s">
        <v>6</v>
      </c>
      <c r="D2" s="59">
        <v>1</v>
      </c>
      <c r="E2" s="91" t="s">
        <v>304</v>
      </c>
    </row>
    <row r="3" spans="1:5">
      <c r="A3" s="21">
        <v>2</v>
      </c>
      <c r="B3" s="85" t="str">
        <f ca="1">IFERROR(__xludf.DUMMYFUNCTION("GOOGLETRANSLATE(B4001:B4016,""RU"",""UK"")"),"Брезентові рукавиці")</f>
        <v>Брезентові рукавиці</v>
      </c>
      <c r="C3" s="59" t="s">
        <v>5356</v>
      </c>
      <c r="D3" s="59">
        <v>305</v>
      </c>
      <c r="E3" s="91">
        <v>30</v>
      </c>
    </row>
    <row r="4" spans="1:5">
      <c r="A4" s="21">
        <v>3</v>
      </c>
      <c r="B4" s="85" t="str">
        <f ca="1">IFERROR(__xludf.DUMMYFUNCTION("GOOGLETRANSLATE(B4002:B4017,""RU"",""UK"")"),"Брезентові рукавиці 2-й наладонник")</f>
        <v>Брезентові рукавиці 2-й наладонник</v>
      </c>
      <c r="C4" s="59" t="s">
        <v>5356</v>
      </c>
      <c r="D4" s="59">
        <v>10</v>
      </c>
      <c r="E4" s="91" t="s">
        <v>5358</v>
      </c>
    </row>
    <row r="5" spans="1:5">
      <c r="A5" s="21">
        <v>5</v>
      </c>
      <c r="B5" s="169" t="str">
        <f ca="1">IFERROR(__xludf.DUMMYFUNCTION("GOOGLETRANSLATE(B4003:B4018,""RU"",""UK"")"),"Рукавички робочі трикотаж із ПВХ-точкою (помаранчеві)(арт.132) 47гр.")</f>
        <v>Рукавички робочі трикотаж із ПВХ-точкою (помаранчеві)(арт.132) 47гр.</v>
      </c>
      <c r="C5" s="59" t="s">
        <v>5356</v>
      </c>
      <c r="D5" s="59">
        <v>135</v>
      </c>
      <c r="E5" s="91" t="s">
        <v>5360</v>
      </c>
    </row>
    <row r="6" spans="1:5">
      <c r="A6" s="21">
        <v>8</v>
      </c>
      <c r="B6" s="85" t="str">
        <f ca="1">IFERROR(__xludf.DUMMYFUNCTION("GOOGLETRANSLATE(B4004:B4019,""RU"",""UK"")"),"Рукавиці для зварювальника шкіра ""Краги""")</f>
        <v>Рукавиці для зварювальника шкіра "Краги"</v>
      </c>
      <c r="C6" s="59" t="s">
        <v>5356</v>
      </c>
      <c r="D6" s="59">
        <v>0</v>
      </c>
      <c r="E6" s="91" t="s">
        <v>760</v>
      </c>
    </row>
    <row r="7" spans="1:5">
      <c r="A7" s="21">
        <v>9</v>
      </c>
      <c r="B7" s="85" t="str">
        <f ca="1">IFERROR(__xludf.DUMMYFUNCTION("GOOGLETRANSLATE(B4005:B4020,""RU"",""UK"")"),"Рукавички гумові госп.")</f>
        <v>Рукавички гумові госп.</v>
      </c>
      <c r="C7" s="59" t="s">
        <v>5356</v>
      </c>
      <c r="D7" s="59">
        <v>10</v>
      </c>
      <c r="E7" s="91" t="s">
        <v>575</v>
      </c>
    </row>
    <row r="8" spans="1:5">
      <c r="A8" s="21">
        <v>10</v>
      </c>
      <c r="B8" s="85" t="str">
        <f ca="1">IFERROR(__xludf.DUMMYFUNCTION("GOOGLETRANSLATE(B4006:B4021,""RU"",""UK"")"),"Рукавички гумові сині")</f>
        <v>Рукавички гумові сині</v>
      </c>
      <c r="C8" s="59" t="s">
        <v>5356</v>
      </c>
      <c r="D8" s="59">
        <v>40</v>
      </c>
      <c r="E8" s="91" t="s">
        <v>1277</v>
      </c>
    </row>
    <row r="9" spans="1:5">
      <c r="A9" s="21">
        <v>11</v>
      </c>
      <c r="B9" s="85" t="str">
        <f ca="1">IFERROR(__xludf.DUMMYFUNCTION("GOOGLETRANSLATE(B4007:B4022,""RU"",""UK"")"),"Рукавички масло-бензостійкі МБС (червоні)")</f>
        <v>Рукавички масло-бензостійкі МБС (червоні)</v>
      </c>
      <c r="C9" s="59" t="s">
        <v>5356</v>
      </c>
      <c r="D9" s="59">
        <v>0</v>
      </c>
      <c r="E9" s="91" t="s">
        <v>201</v>
      </c>
    </row>
    <row r="10" spans="1:5">
      <c r="A10" s="21">
        <v>12</v>
      </c>
      <c r="B10" s="85" t="str">
        <f ca="1">IFERROR(__xludf.DUMMYFUNCTION("GOOGLETRANSLATE(B4008:B4023,""RU"",""UK"")"),"Рукавички гумові з внутр. напиленням, тип ""Латекс"" ХL (сині)")</f>
        <v>Рукавички гумові з внутр. напиленням, тип "Латекс" ХL (сині)</v>
      </c>
      <c r="C10" s="59" t="s">
        <v>5356</v>
      </c>
      <c r="D10" s="59">
        <v>4</v>
      </c>
      <c r="E10" s="91" t="s">
        <v>5246</v>
      </c>
    </row>
    <row r="11" spans="1:5">
      <c r="A11" s="21">
        <v>13</v>
      </c>
      <c r="B11" s="85" t="str">
        <f ca="1">IFERROR(__xludf.DUMMYFUNCTION("GOOGLETRANSLATE(B4009:B4024,""RU"",""UK"")"),"Рукавички спилка")</f>
        <v>Рукавички спилка</v>
      </c>
      <c r="C11" s="59" t="s">
        <v>5356</v>
      </c>
      <c r="D11" s="59">
        <v>1</v>
      </c>
      <c r="E11" s="91" t="s">
        <v>226</v>
      </c>
    </row>
    <row r="12" spans="1:5">
      <c r="A12" s="21">
        <v>14</v>
      </c>
      <c r="B12" s="85" t="str">
        <f ca="1">IFERROR(__xludf.DUMMYFUNCTION("GOOGLETRANSLATE(B4010:B4025,""RU"",""UK"")"),"Рукавички робочі шкіра жовті")</f>
        <v>Рукавички робочі шкіра жовті</v>
      </c>
      <c r="C12" s="59" t="s">
        <v>5356</v>
      </c>
      <c r="D12" s="59">
        <v>8</v>
      </c>
      <c r="E12" s="91">
        <v>111</v>
      </c>
    </row>
    <row r="13" spans="1:5">
      <c r="A13" s="21">
        <v>16</v>
      </c>
      <c r="B13" s="85" t="str">
        <f ca="1">IFERROR(__xludf.DUMMYFUNCTION("GOOGLETRANSLATE(B4011:B4026,""RU"",""UK"")"),"Респіратор з клапаном паралон У-2К (напівмаска-захист від пилу та аерозолів)")</f>
        <v>Респіратор з клапаном паралон У-2К (напівмаска-захист від пилу та аерозолів)</v>
      </c>
      <c r="C13" s="59" t="s">
        <v>6</v>
      </c>
      <c r="D13" s="59">
        <v>4</v>
      </c>
      <c r="E13" s="91" t="s">
        <v>134</v>
      </c>
    </row>
    <row r="14" spans="1:5">
      <c r="A14" s="21">
        <v>17</v>
      </c>
      <c r="B14" s="85" t="str">
        <f ca="1">IFERROR(__xludf.DUMMYFUNCTION("GOOGLETRANSLATE(B4012:B4027,""RU"",""UK"")"),"Респіратор пелюсток")</f>
        <v>Респіратор пелюсток</v>
      </c>
      <c r="C14" s="59" t="s">
        <v>6</v>
      </c>
      <c r="D14" s="59">
        <v>11</v>
      </c>
      <c r="E14" s="91" t="s">
        <v>361</v>
      </c>
    </row>
    <row r="15" spans="1:5">
      <c r="A15" s="21">
        <v>18</v>
      </c>
      <c r="B15" s="169" t="str">
        <f ca="1">IFERROR(__xludf.DUMMYFUNCTION("GOOGLETRANSLATE(B4013:B4028,""RU"",""UK"")"),"Респіратор вугільний РУ-60М")</f>
        <v>Респіратор вугільний РУ-60М</v>
      </c>
      <c r="C15" s="59" t="s">
        <v>6</v>
      </c>
      <c r="D15" s="59">
        <v>8</v>
      </c>
      <c r="E15" s="91">
        <v>155</v>
      </c>
    </row>
    <row r="16" spans="1:5">
      <c r="A16" s="21">
        <v>19</v>
      </c>
      <c r="B16" s="85" t="str">
        <f ca="1">IFERROR(__xludf.DUMMYFUNCTION("GOOGLETRANSLATE(B4014:B4029,""RU"",""UK"")"),"Окуляри захисні закритий силікон.")</f>
        <v>Окуляри захисні закритий силікон.</v>
      </c>
      <c r="C16" s="59" t="s">
        <v>6</v>
      </c>
      <c r="D16" s="59">
        <v>0</v>
      </c>
      <c r="E16" s="91" t="s">
        <v>5372</v>
      </c>
    </row>
    <row r="17" spans="1:5">
      <c r="A17" s="21">
        <v>21</v>
      </c>
      <c r="B17" s="85" t="str">
        <f ca="1">IFERROR(__xludf.DUMMYFUNCTION("GOOGLETRANSLATE(B4015:B4030,""RU"",""UK"")"),"Окуляри захисні відкрите скло")</f>
        <v>Окуляри захисні відкрите скло</v>
      </c>
      <c r="C17" s="59" t="s">
        <v>6</v>
      </c>
      <c r="D17" s="59">
        <v>0</v>
      </c>
      <c r="E17" s="91" t="s">
        <v>5374</v>
      </c>
    </row>
    <row r="18" spans="1:5">
      <c r="A18" s="21">
        <v>22</v>
      </c>
      <c r="B18" s="85" t="str">
        <f ca="1">IFERROR(__xludf.DUMMYFUNCTION("GOOGLETRANSLATE(B4016:B4031,""RU"",""UK"")"),"Протигаз Ф313, Ф528")</f>
        <v>Протигаз Ф313, Ф528</v>
      </c>
      <c r="C18" s="59" t="s">
        <v>6</v>
      </c>
      <c r="D18" s="59">
        <v>107</v>
      </c>
      <c r="E18" s="91" t="s">
        <v>214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8"/>
  <sheetViews>
    <sheetView topLeftCell="A82" zoomScale="230" zoomScaleNormal="230" workbookViewId="0">
      <selection activeCell="D95" sqref="D95"/>
    </sheetView>
  </sheetViews>
  <sheetFormatPr defaultRowHeight="12.75"/>
  <cols>
    <col min="2" max="2" width="57.42578125" customWidth="1"/>
  </cols>
  <sheetData>
    <row r="1" spans="1:5">
      <c r="A1" s="68"/>
      <c r="B1" s="119" t="s">
        <v>6053</v>
      </c>
      <c r="C1" s="69"/>
      <c r="D1" s="69"/>
      <c r="E1" s="106"/>
    </row>
    <row r="2" spans="1:5">
      <c r="A2" s="21">
        <v>1</v>
      </c>
      <c r="B2" s="47" t="str">
        <f ca="1">IFERROR(__xludf.DUMMYFUNCTION("GOOGLETRANSLATE(B3896:B3911,""RU"",""UK"")"),"Замок навісний 50мм")</f>
        <v>Замок навісний 50мм</v>
      </c>
      <c r="C2" s="59" t="s">
        <v>6</v>
      </c>
      <c r="D2" s="59">
        <v>1</v>
      </c>
      <c r="E2" s="91">
        <v>124</v>
      </c>
    </row>
    <row r="3" spans="1:5">
      <c r="A3" s="21">
        <f>A2+1</f>
        <v>2</v>
      </c>
      <c r="B3" s="85" t="str">
        <f ca="1">IFERROR(__xludf.DUMMYFUNCTION("GOOGLETRANSLATE(B3897:B3912,""RU"",""UK"")"),"Замок навісний 70мм")</f>
        <v>Замок навісний 70мм</v>
      </c>
      <c r="C3" s="59" t="s">
        <v>6</v>
      </c>
      <c r="D3" s="59">
        <v>4</v>
      </c>
      <c r="E3" s="91" t="s">
        <v>119</v>
      </c>
    </row>
    <row r="4" spans="1:5">
      <c r="A4" s="21">
        <f t="shared" ref="A4:A34" si="0">A3+1</f>
        <v>3</v>
      </c>
      <c r="B4" s="85" t="str">
        <f ca="1">IFERROR(__xludf.DUMMYFUNCTION("GOOGLETRANSLATE(B3898:B3913,""RU"",""UK"")"),"Гаражний замок")</f>
        <v>Гаражний замок</v>
      </c>
      <c r="C4" s="59" t="s">
        <v>6</v>
      </c>
      <c r="D4" s="59">
        <v>3</v>
      </c>
      <c r="E4" s="91" t="s">
        <v>272</v>
      </c>
    </row>
    <row r="5" spans="1:5">
      <c r="A5" s="21">
        <f t="shared" si="0"/>
        <v>4</v>
      </c>
      <c r="B5" s="85" t="str">
        <f ca="1">IFERROR(__xludf.DUMMYFUNCTION("GOOGLETRANSLATE(B3899:B3914,""RU"",""UK"")"),"Шпінгалет врізний дверний")</f>
        <v>Шпінгалет врізний дверний</v>
      </c>
      <c r="C5" s="59" t="s">
        <v>6</v>
      </c>
      <c r="D5" s="59">
        <v>26</v>
      </c>
      <c r="E5" s="91" t="s">
        <v>253</v>
      </c>
    </row>
    <row r="6" spans="1:5">
      <c r="A6" s="21">
        <f t="shared" si="0"/>
        <v>5</v>
      </c>
      <c r="B6" s="85" t="str">
        <f ca="1">IFERROR(__xludf.DUMMYFUNCTION("GOOGLETRANSLATE(B3900:B3915,""RU"",""UK"")"),"Петля вікон. 85мм лев./прав.")</f>
        <v>Петля вікон. 85мм лев./прав.</v>
      </c>
      <c r="C6" s="59" t="s">
        <v>6</v>
      </c>
      <c r="D6" s="59" t="s">
        <v>5206</v>
      </c>
      <c r="E6" s="91" t="s">
        <v>1294</v>
      </c>
    </row>
    <row r="7" spans="1:5">
      <c r="A7" s="21">
        <f t="shared" si="0"/>
        <v>6</v>
      </c>
      <c r="B7" s="85" t="str">
        <f ca="1">IFERROR(__xludf.DUMMYFUNCTION("GOOGLETRANSLATE(B3901:B3916,""RU"",""UK"")"),"Петля дверна 100мм прав/лев.")</f>
        <v>Петля дверна 100мм прав/лев.</v>
      </c>
      <c r="C7" s="59" t="s">
        <v>6</v>
      </c>
      <c r="D7" s="59" t="s">
        <v>937</v>
      </c>
      <c r="E7" s="91" t="s">
        <v>286</v>
      </c>
    </row>
    <row r="8" spans="1:5">
      <c r="A8" s="21">
        <f t="shared" si="0"/>
        <v>7</v>
      </c>
      <c r="B8" s="85" t="str">
        <f ca="1">IFERROR(__xludf.DUMMYFUNCTION("GOOGLETRANSLATE(B3902:B3917,""RU"",""UK"")"),"Петля дверна 110мм прав. / лів.оц.")</f>
        <v>Петля дверна 110мм прав. / лів.оц.</v>
      </c>
      <c r="C8" s="59" t="s">
        <v>6</v>
      </c>
      <c r="D8" s="59" t="s">
        <v>6354</v>
      </c>
      <c r="E8" s="91" t="s">
        <v>417</v>
      </c>
    </row>
    <row r="9" spans="1:5">
      <c r="A9" s="21">
        <f t="shared" si="0"/>
        <v>8</v>
      </c>
      <c r="B9" s="85" t="str">
        <f ca="1">IFERROR(__xludf.DUMMYFUNCTION("GOOGLETRANSLATE(B3903:B3918,""RU"",""UK"")"),"Петля дверна 110мм прав/лев.")</f>
        <v>Петля дверна 110мм прав/лев.</v>
      </c>
      <c r="C9" s="59" t="s">
        <v>6</v>
      </c>
      <c r="D9" s="59" t="s">
        <v>6351</v>
      </c>
      <c r="E9" s="91" t="s">
        <v>4377</v>
      </c>
    </row>
    <row r="10" spans="1:5">
      <c r="A10" s="21">
        <f t="shared" si="0"/>
        <v>9</v>
      </c>
      <c r="B10" s="85" t="str">
        <f ca="1">IFERROR(__xludf.DUMMYFUNCTION("GOOGLETRANSLATE(B3904:B3919,""RU"",""UK"")"),"Петля дверна 110мм обміднена прав.")</f>
        <v>Петля дверна 110мм обміднена прав.</v>
      </c>
      <c r="C10" s="59" t="s">
        <v>6</v>
      </c>
      <c r="D10" s="59">
        <v>8</v>
      </c>
      <c r="E10" s="91" t="s">
        <v>134</v>
      </c>
    </row>
    <row r="11" spans="1:5">
      <c r="A11" s="21">
        <f t="shared" si="0"/>
        <v>10</v>
      </c>
      <c r="B11" s="85" t="str">
        <f ca="1">IFERROR(__xludf.DUMMYFUNCTION("GOOGLETRANSLATE(B3905:B3920,""RU"",""UK"")"),"Петля дверна 110мм обміднена лев.")</f>
        <v>Петля дверна 110мм обміднена лев.</v>
      </c>
      <c r="C11" s="59" t="s">
        <v>6</v>
      </c>
      <c r="D11" s="59">
        <v>2</v>
      </c>
      <c r="E11" s="91" t="s">
        <v>134</v>
      </c>
    </row>
    <row r="12" spans="1:5">
      <c r="A12" s="21">
        <f t="shared" si="0"/>
        <v>11</v>
      </c>
      <c r="B12" s="85" t="str">
        <f ca="1">IFERROR(__xludf.DUMMYFUNCTION("GOOGLETRANSLATE(B3906:B3921,""RU"",""UK"")"),"Петля дверна 140мм прав. оцинк.")</f>
        <v>Петля дверна 140мм прав. оцинк.</v>
      </c>
      <c r="C12" s="59" t="s">
        <v>6</v>
      </c>
      <c r="D12" s="59">
        <v>57</v>
      </c>
      <c r="E12" s="91" t="s">
        <v>292</v>
      </c>
    </row>
    <row r="13" spans="1:5">
      <c r="A13" s="21">
        <f t="shared" si="0"/>
        <v>12</v>
      </c>
      <c r="B13" s="85" t="str">
        <f ca="1">IFERROR(__xludf.DUMMYFUNCTION("GOOGLETRANSLATE(B3907:B3922,""RU"",""UK"")"),"Петля дверна 140мм прав/лев.")</f>
        <v>Петля дверна 140мм прав/лев.</v>
      </c>
      <c r="C13" s="59" t="s">
        <v>6</v>
      </c>
      <c r="D13" s="59" t="s">
        <v>5216</v>
      </c>
      <c r="E13" s="91" t="s">
        <v>417</v>
      </c>
    </row>
    <row r="14" spans="1:5">
      <c r="A14" s="21">
        <f t="shared" si="0"/>
        <v>13</v>
      </c>
      <c r="B14" s="85" t="str">
        <f ca="1">IFERROR(__xludf.DUMMYFUNCTION("GOOGLETRANSLATE(B3908:B3923,""RU"",""UK"")"),"Ручка дверна велика (метал + ПХВ)")</f>
        <v>Ручка дверна велика (метал + ПХВ)</v>
      </c>
      <c r="C14" s="59" t="s">
        <v>6</v>
      </c>
      <c r="D14" s="59">
        <v>28</v>
      </c>
      <c r="E14" s="91" t="s">
        <v>304</v>
      </c>
    </row>
    <row r="15" spans="1:5">
      <c r="A15" s="21">
        <f t="shared" si="0"/>
        <v>14</v>
      </c>
      <c r="B15" s="85" t="str">
        <f ca="1">IFERROR(__xludf.DUMMYFUNCTION("GOOGLETRANSLATE(B3909:B3924,""RU"",""UK"")"),"Ручка дверна мала (метал)")</f>
        <v>Ручка дверна мала (метал)</v>
      </c>
      <c r="C15" s="59" t="s">
        <v>6</v>
      </c>
      <c r="D15" s="59">
        <v>79</v>
      </c>
      <c r="E15" s="91" t="s">
        <v>167</v>
      </c>
    </row>
    <row r="16" spans="1:5">
      <c r="A16" s="21">
        <f t="shared" si="0"/>
        <v>15</v>
      </c>
      <c r="B16" s="85" t="str">
        <f ca="1">IFERROR(__xludf.DUMMYFUNCTION("GOOGLETRANSLATE(B3910:B3925,""RU"",""UK"")"),"Ізолента ПХВ 20м")</f>
        <v>Ізолента ПХВ 20м</v>
      </c>
      <c r="C16" s="59" t="s">
        <v>6</v>
      </c>
      <c r="D16" s="59">
        <v>111</v>
      </c>
      <c r="E16" s="91">
        <v>27</v>
      </c>
    </row>
    <row r="17" spans="1:5">
      <c r="A17" s="21">
        <f t="shared" si="0"/>
        <v>16</v>
      </c>
      <c r="B17" s="85" t="str">
        <f ca="1">IFERROR(__xludf.DUMMYFUNCTION("GOOGLETRANSLATE(B3911:B3926,""RU"",""UK"")"),"Ізолента ПХВ імп")</f>
        <v>Ізолента ПХВ імп</v>
      </c>
      <c r="C17" s="59" t="s">
        <v>6</v>
      </c>
      <c r="D17" s="59">
        <v>5</v>
      </c>
      <c r="E17" s="91">
        <v>52</v>
      </c>
    </row>
    <row r="18" spans="1:5">
      <c r="A18" s="21">
        <f t="shared" si="0"/>
        <v>17</v>
      </c>
      <c r="B18" s="85" t="str">
        <f ca="1">IFERROR(__xludf.DUMMYFUNCTION("GOOGLETRANSLATE(B3912:B3927,""RU"",""UK"")"),"Знак аварійної зупинки у футлярі")</f>
        <v>Знак аварійної зупинки у футлярі</v>
      </c>
      <c r="C18" s="59" t="s">
        <v>6</v>
      </c>
      <c r="D18" s="59">
        <v>2</v>
      </c>
      <c r="E18" s="91">
        <v>290</v>
      </c>
    </row>
    <row r="19" spans="1:5">
      <c r="A19" s="21">
        <f t="shared" si="0"/>
        <v>18</v>
      </c>
      <c r="B19" s="85" t="str">
        <f ca="1">IFERROR(__xludf.DUMMYFUNCTION("GOOGLETRANSLATE(B3914:B3929,""RU"",""UK"")"),"Віник сорго широкий")</f>
        <v>Віник сорго широкий</v>
      </c>
      <c r="C19" s="59" t="s">
        <v>6</v>
      </c>
      <c r="D19" s="59">
        <v>37</v>
      </c>
      <c r="E19" s="91">
        <v>133</v>
      </c>
    </row>
    <row r="20" spans="1:5">
      <c r="A20" s="21">
        <f t="shared" si="0"/>
        <v>19</v>
      </c>
      <c r="B20" s="169" t="str">
        <f ca="1">IFERROR(__xludf.DUMMYFUNCTION("GOOGLETRANSLATE(B3915:B3930,""RU"",""UK"")"),"Ганчір'я трикотаж б/п / (Білизна бавовна)")</f>
        <v>Ганчір'я трикотаж б/п / (Білизна бавовна)</v>
      </c>
      <c r="C20" s="59" t="s">
        <v>130</v>
      </c>
      <c r="D20" s="59">
        <v>-20</v>
      </c>
      <c r="E20" s="91">
        <v>38</v>
      </c>
    </row>
    <row r="21" spans="1:5">
      <c r="A21" s="21">
        <f t="shared" si="0"/>
        <v>20</v>
      </c>
      <c r="B21" s="85" t="str">
        <f ca="1">IFERROR(__xludf.DUMMYFUNCTION("GOOGLETRANSLATE(B3916:B3931,""RU"",""UK"")"),"Скотч 45мм (300м) прозорий")</f>
        <v>Скотч 45мм (300м) прозорий</v>
      </c>
      <c r="C21" s="59" t="s">
        <v>6</v>
      </c>
      <c r="D21" s="59">
        <v>11</v>
      </c>
      <c r="E21" s="91" t="s">
        <v>5227</v>
      </c>
    </row>
    <row r="22" spans="1:5">
      <c r="A22" s="21">
        <f t="shared" si="0"/>
        <v>21</v>
      </c>
      <c r="B22" s="85" t="str">
        <f ca="1">IFERROR(__xludf.DUMMYFUNCTION("GOOGLETRANSLATE(B3917:B3932,""RU"",""UK"")"),"Стретч плівка 500мм (300м) чорний")</f>
        <v>Стретч плівка 500мм (300м) чорний</v>
      </c>
      <c r="C22" s="59" t="s">
        <v>6</v>
      </c>
      <c r="D22" s="59">
        <v>25</v>
      </c>
      <c r="E22" s="91" t="s">
        <v>1704</v>
      </c>
    </row>
    <row r="23" spans="1:5">
      <c r="A23" s="21">
        <f t="shared" si="0"/>
        <v>22</v>
      </c>
      <c r="B23" s="85" t="str">
        <f ca="1">IFERROR(__xludf.DUMMYFUNCTION("GOOGLETRANSLATE(B3918:B3933,""RU"",""UK"")"),"Шпагат капроновий (1,6 кг)")</f>
        <v>Шпагат капроновий (1,6 кг)</v>
      </c>
      <c r="C23" s="59" t="s">
        <v>6</v>
      </c>
      <c r="D23" s="59">
        <v>4</v>
      </c>
      <c r="E23" s="91" t="s">
        <v>515</v>
      </c>
    </row>
    <row r="24" spans="1:5">
      <c r="A24" s="21">
        <f t="shared" si="0"/>
        <v>23</v>
      </c>
      <c r="B24" s="85" t="str">
        <f ca="1">IFERROR(__xludf.DUMMYFUNCTION("GOOGLETRANSLATE(B3919:B3934,""RU"",""UK"")"),"Канат сизалевий 23мм")</f>
        <v>Канат сизалевий 23мм</v>
      </c>
      <c r="C24" s="59" t="s">
        <v>634</v>
      </c>
      <c r="D24" s="59">
        <v>25</v>
      </c>
      <c r="E24" s="91">
        <v>33</v>
      </c>
    </row>
    <row r="25" spans="1:5">
      <c r="A25" s="21">
        <f t="shared" si="0"/>
        <v>24</v>
      </c>
      <c r="B25" s="169" t="str">
        <f ca="1">IFERROR(__xludf.DUMMYFUNCTION("GOOGLETRANSLATE(B3920:B3935,""RU"",""UK"")"),"Клей момент ""88"" 30мл")</f>
        <v>Клей момент "88" 30мл</v>
      </c>
      <c r="C25" s="59" t="s">
        <v>6</v>
      </c>
      <c r="D25" s="59">
        <v>9</v>
      </c>
      <c r="E25" s="91">
        <v>66</v>
      </c>
    </row>
    <row r="26" spans="1:5">
      <c r="A26" s="21">
        <f t="shared" si="0"/>
        <v>25</v>
      </c>
      <c r="B26" s="85" t="str">
        <f ca="1">IFERROR(__xludf.DUMMYFUNCTION("GOOGLETRANSLATE(B3921:B3936,""RU"",""UK"")"),"Клей Момент 125мл")</f>
        <v>Клей Момент 125мл</v>
      </c>
      <c r="C26" s="59" t="s">
        <v>6</v>
      </c>
      <c r="D26" s="59">
        <v>0</v>
      </c>
      <c r="E26" s="91" t="s">
        <v>346</v>
      </c>
    </row>
    <row r="27" spans="1:5">
      <c r="A27" s="21">
        <f t="shared" si="0"/>
        <v>26</v>
      </c>
      <c r="B27" s="85" t="str">
        <f ca="1">IFERROR(__xludf.DUMMYFUNCTION("GOOGLETRANSLATE(B3922:B3937,""RU"",""UK"")"),"Клей Момент 30мл")</f>
        <v>Клей Момент 30мл</v>
      </c>
      <c r="C27" s="59" t="s">
        <v>6</v>
      </c>
      <c r="D27" s="59">
        <v>3</v>
      </c>
      <c r="E27" s="91">
        <v>66</v>
      </c>
    </row>
    <row r="28" spans="1:5">
      <c r="A28" s="21">
        <f t="shared" si="0"/>
        <v>27</v>
      </c>
      <c r="B28" s="85" t="str">
        <f ca="1">IFERROR(__xludf.DUMMYFUNCTION("GOOGLETRANSLATE(B3923:B3938,""RU"",""UK"")"),"Клей Супер момент 3мл")</f>
        <v>Клей Супер момент 3мл</v>
      </c>
      <c r="C28" s="59" t="s">
        <v>6</v>
      </c>
      <c r="D28" s="59">
        <v>7</v>
      </c>
      <c r="E28" s="91">
        <v>27</v>
      </c>
    </row>
    <row r="29" spans="1:5">
      <c r="A29" s="21">
        <f t="shared" si="0"/>
        <v>28</v>
      </c>
      <c r="B29" s="85" t="str">
        <f ca="1">IFERROR(__xludf.DUMMYFUNCTION("GOOGLETRANSLATE(B3924:B3939,""RU"",""UK"")"),"Герметик термостійкий (червоний) туб-125мл")</f>
        <v>Герметик термостійкий (червоний) туб-125мл</v>
      </c>
      <c r="C29" s="59" t="s">
        <v>6</v>
      </c>
      <c r="D29" s="59">
        <v>0</v>
      </c>
      <c r="E29" s="91" t="s">
        <v>5237</v>
      </c>
    </row>
    <row r="30" spans="1:5">
      <c r="A30" s="21">
        <f t="shared" si="0"/>
        <v>29</v>
      </c>
      <c r="B30" s="85" t="str">
        <f ca="1">IFERROR(__xludf.DUMMYFUNCTION("GOOGLETRANSLATE(B3926:B3941,""RU"",""UK"")"),"Стрічка ""ФУМ"" 19мм х 15м х 0,2мм")</f>
        <v>Стрічка "ФУМ" 19мм х 15м х 0,2мм</v>
      </c>
      <c r="C30" s="59" t="s">
        <v>5240</v>
      </c>
      <c r="D30" s="59">
        <v>5</v>
      </c>
      <c r="E30" s="91" t="s">
        <v>201</v>
      </c>
    </row>
    <row r="31" spans="1:5">
      <c r="A31" s="21">
        <f t="shared" si="0"/>
        <v>30</v>
      </c>
      <c r="B31" s="169" t="str">
        <f ca="1">IFERROR(__xludf.DUMMYFUNCTION("GOOGLETRANSLATE(B3929:B3944,""RU"",""UK"")"),"Мішок п/п")</f>
        <v>Мішок п/п</v>
      </c>
      <c r="C31" s="59" t="s">
        <v>6</v>
      </c>
      <c r="D31" s="59">
        <v>60</v>
      </c>
      <c r="E31" s="91">
        <v>10.5</v>
      </c>
    </row>
    <row r="32" spans="1:5">
      <c r="A32" s="21">
        <f t="shared" si="0"/>
        <v>31</v>
      </c>
      <c r="B32" s="169" t="s">
        <v>6150</v>
      </c>
      <c r="C32" s="59" t="s">
        <v>6</v>
      </c>
      <c r="D32" s="59">
        <v>18</v>
      </c>
      <c r="E32" s="91">
        <v>155</v>
      </c>
    </row>
    <row r="33" spans="1:5">
      <c r="A33" s="21">
        <f t="shared" si="0"/>
        <v>32</v>
      </c>
      <c r="B33" s="85" t="str">
        <f ca="1">IFERROR(__xludf.DUMMYFUNCTION("GOOGLETRANSLATE(B3930:B3945,""RU"",""UK"")"),"Вантус")</f>
        <v>Вантус</v>
      </c>
      <c r="C33" s="59" t="s">
        <v>6</v>
      </c>
      <c r="D33" s="59">
        <v>2</v>
      </c>
      <c r="E33" s="91" t="s">
        <v>5246</v>
      </c>
    </row>
    <row r="34" spans="1:5">
      <c r="A34" s="21">
        <f t="shared" si="0"/>
        <v>33</v>
      </c>
      <c r="B34" s="115" t="str">
        <f ca="1">IFERROR(__xludf.DUMMYFUNCTION("GOOGLETRANSLATE(B3931:B3946,""RU"",""UK"")"),"Сітка-фільтр латунна")</f>
        <v>Сітка-фільтр латунна</v>
      </c>
      <c r="C34" s="59" t="s">
        <v>5248</v>
      </c>
      <c r="D34" s="59" t="s">
        <v>5249</v>
      </c>
      <c r="E34" s="91" t="s">
        <v>119</v>
      </c>
    </row>
    <row r="35" spans="1:5">
      <c r="A35" s="68"/>
      <c r="B35" s="119" t="s">
        <v>6054</v>
      </c>
      <c r="C35" s="69"/>
      <c r="D35" s="69"/>
      <c r="E35" s="106"/>
    </row>
    <row r="36" spans="1:5">
      <c r="A36" s="21">
        <v>1</v>
      </c>
      <c r="B36" s="47" t="str">
        <f ca="1">IFERROR(__xludf.DUMMYFUNCTION("GOOGLETRANSLATE(B3933:B3948,""RU"",""UK"")"),"Рукав напірний гум. металокорд МБС d=6х16мм(2,2х2шт+3,7х3шт)")</f>
        <v>Рукав напірний гум. металокорд МБС d=6х16мм(2,2х2шт+3,7х3шт)</v>
      </c>
      <c r="C36" s="59" t="s">
        <v>634</v>
      </c>
      <c r="D36" s="59" t="s">
        <v>5251</v>
      </c>
      <c r="E36" s="91" t="s">
        <v>134</v>
      </c>
    </row>
    <row r="37" spans="1:5">
      <c r="A37" s="21">
        <f>A36+1</f>
        <v>2</v>
      </c>
      <c r="B37" s="85" t="str">
        <f ca="1">IFERROR(__xludf.DUMMYFUNCTION("GOOGLETRANSLATE(B3934:B3949,""RU"",""UK"")"),"РУКАВ ПНЕВМАТИЧНИЙ ПН-18-1,5 (16А)")</f>
        <v>РУКАВ ПНЕВМАТИЧНИЙ ПН-18-1,5 (16А)</v>
      </c>
      <c r="C37" s="59" t="s">
        <v>634</v>
      </c>
      <c r="D37" s="59">
        <v>40</v>
      </c>
      <c r="E37" s="91" t="s">
        <v>1967</v>
      </c>
    </row>
    <row r="38" spans="1:5">
      <c r="A38" s="21">
        <f t="shared" ref="A38:A104" si="1">A37+1</f>
        <v>3</v>
      </c>
      <c r="B38" s="85" t="str">
        <f ca="1">IFERROR(__xludf.DUMMYFUNCTION("GOOGLETRANSLATE(B3935:B3950,""RU"",""UK"")"),"Рукав напірно-всмоктувач. гумовий МБС d=38мм (20м)")</f>
        <v>Рукав напірно-всмоктувач. гумовий МБС d=38мм (20м)</v>
      </c>
      <c r="C38" s="59" t="s">
        <v>634</v>
      </c>
      <c r="D38" s="59">
        <v>20</v>
      </c>
      <c r="E38" s="91" t="s">
        <v>136</v>
      </c>
    </row>
    <row r="39" spans="1:5">
      <c r="A39" s="21">
        <f t="shared" si="1"/>
        <v>4</v>
      </c>
      <c r="B39" s="85" t="str">
        <f ca="1">IFERROR(__xludf.DUMMYFUNCTION("GOOGLETRANSLATE(B3936:B3951,""RU"",""UK"")"),"Трубка полівінілхлоридна прозор. 6х1")</f>
        <v>Трубка полівінілхлоридна прозор. 6х1</v>
      </c>
      <c r="C39" s="59" t="s">
        <v>634</v>
      </c>
      <c r="D39" s="59">
        <v>43</v>
      </c>
      <c r="E39" s="91" t="s">
        <v>646</v>
      </c>
    </row>
    <row r="40" spans="1:5">
      <c r="A40" s="21">
        <f t="shared" si="1"/>
        <v>5</v>
      </c>
      <c r="B40" s="85" t="str">
        <f ca="1">IFERROR(__xludf.DUMMYFUNCTION("GOOGLETRANSLATE(B3937:B3952,""RU"",""UK"")"),"Пароніт ПОН - 0,8мм")</f>
        <v>Пароніт ПОН - 0,8мм</v>
      </c>
      <c r="C40" s="59" t="s">
        <v>130</v>
      </c>
      <c r="D40" s="59" t="s">
        <v>5256</v>
      </c>
      <c r="E40" s="91" t="s">
        <v>185</v>
      </c>
    </row>
    <row r="41" spans="1:5">
      <c r="A41" s="21">
        <f t="shared" si="1"/>
        <v>6</v>
      </c>
      <c r="B41" s="85" t="str">
        <f ca="1">IFERROR(__xludf.DUMMYFUNCTION("GOOGLETRANSLATE(B3938:B3953,""RU"",""UK"")"),"Пароніт ПОН - 5мм (1,77х2,2м)")</f>
        <v>Пароніт ПОН - 5мм (1,77х2,2м)</v>
      </c>
      <c r="C41" s="59" t="s">
        <v>130</v>
      </c>
      <c r="D41" s="59">
        <v>34</v>
      </c>
      <c r="E41" s="91" t="s">
        <v>557</v>
      </c>
    </row>
    <row r="42" spans="1:5">
      <c r="A42" s="21">
        <f t="shared" si="1"/>
        <v>7</v>
      </c>
      <c r="B42" s="85" t="str">
        <f ca="1">IFERROR(__xludf.DUMMYFUNCTION("GOOGLETRANSLATE(B3939:B3954,""RU"",""UK"")"),"Пароніт маслостійкий ПМБ – 0,5мм, розмір близько 1х1м")</f>
        <v>Пароніт маслостійкий ПМБ – 0,5мм, розмір близько 1х1м</v>
      </c>
      <c r="C42" s="59" t="s">
        <v>6</v>
      </c>
      <c r="D42" s="59">
        <v>3</v>
      </c>
      <c r="E42" s="91" t="s">
        <v>1585</v>
      </c>
    </row>
    <row r="43" spans="1:5">
      <c r="A43" s="21">
        <f t="shared" si="1"/>
        <v>8</v>
      </c>
      <c r="B43" s="85" t="str">
        <f ca="1">IFERROR(__xludf.DUMMYFUNCTION("GOOGLETRANSLATE(B3939:B3954,""RU"",""UK"")"),"Пароніт маслостійкий ПМБ – 0,6мм, розмір близько 1х1м")</f>
        <v>Пароніт маслостійкий ПМБ – 0,6мм, розмір близько 1х1м</v>
      </c>
      <c r="C43" s="59" t="s">
        <v>6</v>
      </c>
      <c r="D43" s="59">
        <v>10</v>
      </c>
      <c r="E43" s="91">
        <v>155</v>
      </c>
    </row>
    <row r="44" spans="1:5">
      <c r="A44" s="21">
        <f t="shared" si="1"/>
        <v>9</v>
      </c>
      <c r="B44" s="198" t="str">
        <f ca="1">IFERROR(__xludf.DUMMYFUNCTION("GOOGLETRANSLATE(B3942:B3957,""RU"",""UK"")"),"Гума (техпластина) МБС 8мм (490х490мм-1лист х2,2кг)")</f>
        <v>Гума (техпластина) МБС 8мм (490х490мм-1лист х2,2кг)</v>
      </c>
      <c r="C44" s="59" t="s">
        <v>130</v>
      </c>
      <c r="D44" s="59">
        <v>2.2000000000000002</v>
      </c>
      <c r="E44" s="91">
        <v>93</v>
      </c>
    </row>
    <row r="45" spans="1:5">
      <c r="A45" s="21">
        <f t="shared" si="1"/>
        <v>10</v>
      </c>
      <c r="B45" s="198" t="str">
        <f ca="1">IFERROR(__xludf.DUMMYFUNCTION("GOOGLETRANSLATE(B3942:B3957,""RU"",""UK"")"),"Гума (техпластина) МБС 10мм (490х490мм-3листа х3,5кг)")</f>
        <v>Гума (техпластина) МБС 10мм (490х490мм-3листа х3,5кг)</v>
      </c>
      <c r="C45" s="59" t="s">
        <v>130</v>
      </c>
      <c r="D45" s="59">
        <v>10.5</v>
      </c>
      <c r="E45" s="91">
        <v>93</v>
      </c>
    </row>
    <row r="46" spans="1:5">
      <c r="A46" s="21">
        <f t="shared" si="1"/>
        <v>11</v>
      </c>
      <c r="B46" s="85" t="str">
        <f ca="1">IFERROR(__xludf.DUMMYFUNCTION("GOOGLETRANSLATE(B3943:B3958,""RU"",""UK"")"),"Гума (техпластина) ІРП 1,5мм (300х300мм-9шт)")</f>
        <v>Гума (техпластина) ІРП 1,5мм (300х300мм-9шт)</v>
      </c>
      <c r="C46" s="59" t="s">
        <v>130</v>
      </c>
      <c r="D46" s="59" t="s">
        <v>5264</v>
      </c>
      <c r="E46" s="91">
        <v>66</v>
      </c>
    </row>
    <row r="47" spans="1:5">
      <c r="A47" s="21">
        <f t="shared" si="1"/>
        <v>12</v>
      </c>
      <c r="B47" s="85" t="str">
        <f ca="1">IFERROR(__xludf.DUMMYFUNCTION("GOOGLETRANSLATE(B3944:B3959,""RU"",""UK"")"),"Гума (техпластина) ТМКЩ ")</f>
        <v xml:space="preserve">Гума (техпластина) ТМКЩ </v>
      </c>
      <c r="C47" s="59" t="s">
        <v>130</v>
      </c>
      <c r="D47" s="59">
        <v>0</v>
      </c>
      <c r="E47" s="91">
        <v>66</v>
      </c>
    </row>
    <row r="48" spans="1:5">
      <c r="A48" s="21">
        <f t="shared" si="1"/>
        <v>13</v>
      </c>
      <c r="B48" s="85" t="str">
        <f ca="1">IFERROR(__xludf.DUMMYFUNCTION("GOOGLETRANSLATE(B3946:B3961,""RU"",""UK"")"),"Гума (техпластина) ТМКЩ 20мм (0,9х0,58м)")</f>
        <v>Гума (техпластина) ТМКЩ 20мм (0,9х0,58м)</v>
      </c>
      <c r="C48" s="59" t="s">
        <v>130</v>
      </c>
      <c r="D48" s="59" t="s">
        <v>5269</v>
      </c>
      <c r="E48" s="91">
        <v>66</v>
      </c>
    </row>
    <row r="49" spans="1:5">
      <c r="A49" s="21">
        <f t="shared" si="1"/>
        <v>14</v>
      </c>
      <c r="B49" s="85" t="str">
        <f ca="1">IFERROR(__xludf.DUMMYFUNCTION("GOOGLETRANSLATE(B3945:B3960,""RU"",""UK"")"),"Гума (техпластина) ІРП 20мм (250х250)")</f>
        <v>Гума (техпластина) ІРП 20мм (250х250)</v>
      </c>
      <c r="C49" s="59" t="s">
        <v>130</v>
      </c>
      <c r="D49" s="59" t="s">
        <v>5267</v>
      </c>
      <c r="E49" s="91">
        <v>66</v>
      </c>
    </row>
    <row r="50" spans="1:5">
      <c r="A50" s="21">
        <f t="shared" si="1"/>
        <v>15</v>
      </c>
      <c r="B50" s="85" t="str">
        <f ca="1">IFERROR(__xludf.DUMMYFUNCTION("GOOGLETRANSLATE(B3947:B3962,""RU"",""UK"")"),"Гума губчаста 5мм")</f>
        <v>Гума губчаста 5мм</v>
      </c>
      <c r="C50" s="59" t="s">
        <v>130</v>
      </c>
      <c r="D50" s="59" t="s">
        <v>5271</v>
      </c>
      <c r="E50" s="91" t="s">
        <v>338</v>
      </c>
    </row>
    <row r="51" spans="1:5">
      <c r="A51" s="21">
        <f t="shared" si="1"/>
        <v>16</v>
      </c>
      <c r="B51" s="169" t="str">
        <f ca="1">IFERROR(__xludf.DUMMYFUNCTION("GOOGLETRANSLATE(B3948:B3963,""RU"",""UK"")"),"Фторопласт кругляк d=10мм")</f>
        <v>Фторопласт кругляк d=10мм</v>
      </c>
      <c r="C51" s="59" t="s">
        <v>130</v>
      </c>
      <c r="D51" s="59">
        <v>0.1</v>
      </c>
      <c r="E51" s="91" t="s">
        <v>5274</v>
      </c>
    </row>
    <row r="52" spans="1:5">
      <c r="A52" s="21">
        <f t="shared" si="1"/>
        <v>17</v>
      </c>
      <c r="B52" s="169" t="str">
        <f ca="1">IFERROR(__xludf.DUMMYFUNCTION("GOOGLETRANSLATE(B3949:B3964,""RU"",""UK"")"),"Фторопласт кругляк d=13мм L=140мм")</f>
        <v>Фторопласт кругляк d=13мм L=140мм</v>
      </c>
      <c r="C52" s="59" t="s">
        <v>6</v>
      </c>
      <c r="D52" s="59">
        <v>2</v>
      </c>
      <c r="E52" s="91">
        <v>50</v>
      </c>
    </row>
    <row r="53" spans="1:5">
      <c r="A53" s="21">
        <f t="shared" si="1"/>
        <v>18</v>
      </c>
      <c r="B53" s="210" t="str">
        <f ca="1">IFERROR(__xludf.DUMMYFUNCTION("GOOGLETRANSLATE(B3949:B3964,""RU"",""UK"")"),"Фторопласт кругляк d=15мм L=400мм 0,16кг")</f>
        <v>Фторопласт кругляк d=15мм L=400мм 0,16кг</v>
      </c>
      <c r="C53" s="59" t="s">
        <v>6</v>
      </c>
      <c r="D53" s="59">
        <v>2</v>
      </c>
      <c r="E53" s="91">
        <v>100</v>
      </c>
    </row>
    <row r="54" spans="1:5">
      <c r="A54" s="21">
        <f t="shared" si="1"/>
        <v>19</v>
      </c>
      <c r="B54" s="210" t="str">
        <f ca="1">IFERROR(__xludf.DUMMYFUNCTION("GOOGLETRANSLATE(B3949:B3964,""RU"",""UK"")"),"Фторопласт кругляк d=20мм L=200мм 0,14кг")</f>
        <v>Фторопласт кругляк d=20мм L=200мм 0,14кг</v>
      </c>
      <c r="C54" s="59" t="s">
        <v>6</v>
      </c>
      <c r="D54" s="59">
        <v>1</v>
      </c>
      <c r="E54" s="91">
        <v>100</v>
      </c>
    </row>
    <row r="55" spans="1:5">
      <c r="A55" s="21">
        <f t="shared" si="1"/>
        <v>20</v>
      </c>
      <c r="B55" s="210" t="str">
        <f ca="1">IFERROR(__xludf.DUMMYFUNCTION("GOOGLETRANSLATE(B3949:B3964,""RU"",""UK"")"),"Фторопласт кругляк d=20мм L=330мм 0,235кг")</f>
        <v>Фторопласт кругляк d=20мм L=330мм 0,235кг</v>
      </c>
      <c r="C55" s="59" t="s">
        <v>6</v>
      </c>
      <c r="D55" s="59">
        <v>2</v>
      </c>
      <c r="E55" s="91">
        <v>130</v>
      </c>
    </row>
    <row r="56" spans="1:5">
      <c r="A56" s="21">
        <f t="shared" si="1"/>
        <v>21</v>
      </c>
      <c r="B56" s="210" t="str">
        <f ca="1">IFERROR(__xludf.DUMMYFUNCTION("GOOGLETRANSLATE(B3949:B3964,""RU"",""UK"")"),"Фторопласт кругляк d=20мм L=345мм 0,275кг")</f>
        <v>Фторопласт кругляк d=20мм L=345мм 0,275кг</v>
      </c>
      <c r="C56" s="59" t="s">
        <v>6</v>
      </c>
      <c r="D56" s="59">
        <v>1</v>
      </c>
      <c r="E56" s="91">
        <v>140</v>
      </c>
    </row>
    <row r="57" spans="1:5">
      <c r="A57" s="21">
        <f t="shared" si="1"/>
        <v>22</v>
      </c>
      <c r="B57" s="85" t="str">
        <f ca="1">IFERROR(__xludf.DUMMYFUNCTION("GOOGLETRANSLATE(B3950:B3965,""RU"",""UK"")"),"Фторопласт кругляк d=24мм")</f>
        <v>Фторопласт кругляк d=24мм</v>
      </c>
      <c r="C57" s="59" t="s">
        <v>130</v>
      </c>
      <c r="D57" s="81">
        <v>1.2</v>
      </c>
      <c r="E57" s="91" t="s">
        <v>5278</v>
      </c>
    </row>
    <row r="58" spans="1:5">
      <c r="A58" s="21">
        <f t="shared" si="1"/>
        <v>23</v>
      </c>
      <c r="B58" s="85" t="str">
        <f ca="1">IFERROR(__xludf.DUMMYFUNCTION("GOOGLETRANSLATE(B3951:B3966,""RU"",""UK"")"),"Фторопласт кругляк d=25мм")</f>
        <v>Фторопласт кругляк d=25мм</v>
      </c>
      <c r="C58" s="59" t="s">
        <v>130</v>
      </c>
      <c r="D58" s="59">
        <v>2.25</v>
      </c>
      <c r="E58" s="91" t="s">
        <v>5278</v>
      </c>
    </row>
    <row r="59" spans="1:5">
      <c r="A59" s="21">
        <f t="shared" si="1"/>
        <v>24</v>
      </c>
      <c r="B59" s="210" t="str">
        <f ca="1">IFERROR(__xludf.DUMMYFUNCTION("GOOGLETRANSLATE(B3954:B3969,""RU"",""UK"")"),"Фторопласт кругляк d=32мм L=90мм 0,2кг")</f>
        <v>Фторопласт кругляк d=32мм L=90мм 0,2кг</v>
      </c>
      <c r="C59" s="59" t="s">
        <v>6</v>
      </c>
      <c r="D59" s="59">
        <v>1</v>
      </c>
      <c r="E59" s="91">
        <v>100</v>
      </c>
    </row>
    <row r="60" spans="1:5">
      <c r="A60" s="21">
        <f t="shared" si="1"/>
        <v>25</v>
      </c>
      <c r="B60" s="210" t="str">
        <f ca="1">IFERROR(__xludf.DUMMYFUNCTION("GOOGLETRANSLATE(B3954:B3969,""RU"",""UK"")"),"Фторопласт кругляк d=37мм L=100мм 0,2кг")</f>
        <v>Фторопласт кругляк d=37мм L=100мм 0,2кг</v>
      </c>
      <c r="C60" s="59" t="s">
        <v>6</v>
      </c>
      <c r="D60" s="59">
        <v>1</v>
      </c>
      <c r="E60" s="91">
        <v>100</v>
      </c>
    </row>
    <row r="61" spans="1:5">
      <c r="A61" s="21">
        <f t="shared" si="1"/>
        <v>26</v>
      </c>
      <c r="B61" s="210" t="str">
        <f ca="1">IFERROR(__xludf.DUMMYFUNCTION("GOOGLETRANSLATE(B3955:B3970,""RU"",""UK"")"),"Фторопласт кругляк d=41мм L=330мм 0,9кг")</f>
        <v>Фторопласт кругляк d=41мм L=330мм 0,9кг</v>
      </c>
      <c r="C61" s="59" t="s">
        <v>6</v>
      </c>
      <c r="D61" s="59">
        <v>1</v>
      </c>
      <c r="E61" s="91">
        <v>440</v>
      </c>
    </row>
    <row r="62" spans="1:5">
      <c r="A62" s="21">
        <f t="shared" si="1"/>
        <v>27</v>
      </c>
      <c r="B62" s="210" t="str">
        <f ca="1">IFERROR(__xludf.DUMMYFUNCTION("GOOGLETRANSLATE(B3956:B3971,""RU"",""UK"")"),"Фторопласт кругляк d=70мм L=170мм (1,4кг)")</f>
        <v>Фторопласт кругляк d=70мм L=170мм (1,4кг)</v>
      </c>
      <c r="C62" s="59" t="s">
        <v>6</v>
      </c>
      <c r="D62" s="59">
        <v>1</v>
      </c>
      <c r="E62" s="91">
        <v>520</v>
      </c>
    </row>
    <row r="63" spans="1:5">
      <c r="A63" s="21">
        <f t="shared" si="1"/>
        <v>28</v>
      </c>
      <c r="B63" s="210" t="str">
        <f ca="1">IFERROR(__xludf.DUMMYFUNCTION("GOOGLETRANSLATE(B3957:B3972,""RU"",""UK"")"),"Фторопласт кругляк d=71мм L=30мм 0,25кг")</f>
        <v>Фторопласт кругляк d=71мм L=30мм 0,25кг</v>
      </c>
      <c r="C63" s="59" t="s">
        <v>6</v>
      </c>
      <c r="D63" s="59">
        <v>1</v>
      </c>
      <c r="E63" s="91">
        <v>120</v>
      </c>
    </row>
    <row r="64" spans="1:5">
      <c r="A64" s="21">
        <f t="shared" si="1"/>
        <v>29</v>
      </c>
      <c r="B64" s="210" t="str">
        <f ca="1">IFERROR(__xludf.DUMMYFUNCTION("GOOGLETRANSLATE(B3959:B3974,""RU"",""UK"")"),"Фторопластова втулка d=60х38мм L=30мм 0,1кг")</f>
        <v>Фторопластова втулка d=60х38мм L=30мм 0,1кг</v>
      </c>
      <c r="C64" s="59" t="s">
        <v>6</v>
      </c>
      <c r="D64" s="59">
        <v>1</v>
      </c>
      <c r="E64" s="91">
        <v>60</v>
      </c>
    </row>
    <row r="65" spans="1:5">
      <c r="A65" s="21">
        <f t="shared" si="1"/>
        <v>30</v>
      </c>
      <c r="B65" s="210" t="str">
        <f ca="1">IFERROR(__xludf.DUMMYFUNCTION("GOOGLETRANSLATE(B3960:B3975,""RU"",""UK"")"),"Втулка фторопластова d=73х37мм L=107мм 0,7кг")</f>
        <v>Втулка фторопластова d=73х37мм L=107мм 0,7кг</v>
      </c>
      <c r="C65" s="59" t="s">
        <v>6</v>
      </c>
      <c r="D65" s="59">
        <v>1</v>
      </c>
      <c r="E65" s="91">
        <v>340</v>
      </c>
    </row>
    <row r="66" spans="1:5">
      <c r="A66" s="21">
        <f t="shared" si="1"/>
        <v>31</v>
      </c>
      <c r="B66" s="210" t="str">
        <f ca="1">IFERROR(__xludf.DUMMYFUNCTION("GOOGLETRANSLATE(B3962:B3977,""RU"",""UK"")"),"Фторопластова втулка d=96х74мм L=53мм 0,32кг")</f>
        <v>Фторопластова втулка d=96х74мм L=53мм 0,32кг</v>
      </c>
      <c r="C66" s="59" t="s">
        <v>6</v>
      </c>
      <c r="D66" s="59">
        <v>1</v>
      </c>
      <c r="E66" s="91">
        <v>165</v>
      </c>
    </row>
    <row r="67" spans="1:5">
      <c r="A67" s="21">
        <f t="shared" si="1"/>
        <v>32</v>
      </c>
      <c r="B67" s="210" t="str">
        <f ca="1">IFERROR(__xludf.DUMMYFUNCTION("GOOGLETRANSLATE(B3962:B3977,""RU"",""UK"")"),"Фторопластова втулка d=94х75мм L=74мм 0,45кг")</f>
        <v>Фторопластова втулка d=94х75мм L=74мм 0,45кг</v>
      </c>
      <c r="C67" s="59" t="s">
        <v>6</v>
      </c>
      <c r="D67" s="59">
        <v>1</v>
      </c>
      <c r="E67" s="91">
        <v>220</v>
      </c>
    </row>
    <row r="68" spans="1:5">
      <c r="A68" s="21">
        <f t="shared" si="1"/>
        <v>33</v>
      </c>
      <c r="B68" s="210" t="str">
        <f ca="1">IFERROR(__xludf.DUMMYFUNCTION("GOOGLETRANSLATE(B3962:B3977,""RU"",""UK"")"),"Фторопластова втулка d=95х75мм L=74мм 0,45кг")</f>
        <v>Фторопластова втулка d=95х75мм L=74мм 0,45кг</v>
      </c>
      <c r="C68" s="59" t="s">
        <v>6</v>
      </c>
      <c r="D68" s="59">
        <v>1</v>
      </c>
      <c r="E68" s="91">
        <v>220</v>
      </c>
    </row>
    <row r="69" spans="1:5">
      <c r="A69" s="21">
        <f t="shared" si="1"/>
        <v>34</v>
      </c>
      <c r="B69" s="210" t="str">
        <f ca="1">IFERROR(__xludf.DUMMYFUNCTION("GOOGLETRANSLATE(B3963:B3978,""RU"",""UK"")"),"Фторопластовий квадрат 6х6мм")</f>
        <v>Фторопластовий квадрат 6х6мм</v>
      </c>
      <c r="C69" s="59" t="s">
        <v>130</v>
      </c>
      <c r="D69" s="59">
        <v>2.4</v>
      </c>
      <c r="E69" s="91" t="s">
        <v>16</v>
      </c>
    </row>
    <row r="70" spans="1:5">
      <c r="A70" s="21">
        <f t="shared" si="1"/>
        <v>35</v>
      </c>
      <c r="B70" s="198" t="str">
        <f ca="1">IFERROR(__xludf.DUMMYFUNCTION("GOOGLETRANSLATE(B3964:B3979,""RU"",""UK"")"),"Фторопласт листовой 2мм 450х400х375мм (1лх0,915кг)")</f>
        <v>Фторопласт листовой 2мм 450х400х375мм (1лх0,915кг)</v>
      </c>
      <c r="C70" s="59" t="s">
        <v>6</v>
      </c>
      <c r="D70" s="59">
        <v>1</v>
      </c>
      <c r="E70" s="91">
        <v>440</v>
      </c>
    </row>
    <row r="71" spans="1:5">
      <c r="A71" s="21">
        <f t="shared" si="1"/>
        <v>36</v>
      </c>
      <c r="B71" s="198" t="s">
        <v>6280</v>
      </c>
      <c r="C71" s="59" t="s">
        <v>6</v>
      </c>
      <c r="D71" s="59">
        <v>1</v>
      </c>
      <c r="E71" s="91">
        <v>200</v>
      </c>
    </row>
    <row r="72" spans="1:5">
      <c r="A72" s="21">
        <f t="shared" si="1"/>
        <v>37</v>
      </c>
      <c r="B72" s="198" t="s">
        <v>6262</v>
      </c>
      <c r="C72" s="59" t="s">
        <v>6</v>
      </c>
      <c r="D72" s="59">
        <v>1</v>
      </c>
      <c r="E72" s="91">
        <v>600</v>
      </c>
    </row>
    <row r="73" spans="1:5">
      <c r="A73" s="21">
        <f t="shared" si="1"/>
        <v>38</v>
      </c>
      <c r="B73" s="198" t="s">
        <v>6278</v>
      </c>
      <c r="C73" s="59" t="s">
        <v>6</v>
      </c>
      <c r="D73" s="59">
        <v>1</v>
      </c>
      <c r="E73" s="91">
        <v>550</v>
      </c>
    </row>
    <row r="74" spans="1:5">
      <c r="A74" s="21">
        <f t="shared" si="1"/>
        <v>39</v>
      </c>
      <c r="B74" s="198" t="s">
        <v>6279</v>
      </c>
      <c r="C74" s="59" t="s">
        <v>6</v>
      </c>
      <c r="D74" s="59">
        <v>1</v>
      </c>
      <c r="E74" s="91">
        <v>580</v>
      </c>
    </row>
    <row r="75" spans="1:5">
      <c r="A75" s="21">
        <f t="shared" si="1"/>
        <v>40</v>
      </c>
      <c r="B75" s="198" t="s">
        <v>6260</v>
      </c>
      <c r="C75" s="59" t="s">
        <v>6</v>
      </c>
      <c r="D75" s="59">
        <v>1</v>
      </c>
      <c r="E75" s="91">
        <v>530</v>
      </c>
    </row>
    <row r="76" spans="1:5">
      <c r="A76" s="21">
        <f t="shared" si="1"/>
        <v>41</v>
      </c>
      <c r="B76" s="198" t="s">
        <v>6261</v>
      </c>
      <c r="C76" s="59" t="s">
        <v>6</v>
      </c>
      <c r="D76" s="59">
        <v>1</v>
      </c>
      <c r="E76" s="91">
        <v>680</v>
      </c>
    </row>
    <row r="77" spans="1:5">
      <c r="A77" s="21">
        <f t="shared" si="1"/>
        <v>42</v>
      </c>
      <c r="B77" s="164" t="str">
        <f ca="1">IFERROR(__xludf.DUMMYFUNCTION("GOOGLETRANSLATE(B3969:B3984,""RU"",""UK"")"),"Фторопластова стрічка Ф4 марка ПН 0,4 х90мм (2 рул по 6,5 кг)")</f>
        <v>Фторопластова стрічка Ф4 марка ПН 0,4 х90мм (2 рул по 6,5 кг)</v>
      </c>
      <c r="C77" s="59" t="s">
        <v>130</v>
      </c>
      <c r="D77" s="59">
        <v>0</v>
      </c>
      <c r="E77" s="91" t="s">
        <v>16</v>
      </c>
    </row>
    <row r="78" spans="1:5">
      <c r="A78" s="21">
        <f t="shared" si="1"/>
        <v>43</v>
      </c>
      <c r="B78" s="198" t="str">
        <f ca="1">IFERROR(__xludf.DUMMYFUNCTION("GOOGLETRANSLATE(B3970:B3985,""RU"",""UK"")"),"Фторопласт з графітом (чорний) квадрат 52х52 L240мм 1,25кг")</f>
        <v>Фторопласт з графітом (чорний) квадрат 52х52 L240мм 1,25кг</v>
      </c>
      <c r="C78" s="59" t="s">
        <v>6</v>
      </c>
      <c r="D78" s="59">
        <v>1</v>
      </c>
      <c r="E78" s="91">
        <v>520</v>
      </c>
    </row>
    <row r="79" spans="1:5">
      <c r="A79" s="21">
        <f t="shared" si="1"/>
        <v>44</v>
      </c>
      <c r="B79" s="198" t="str">
        <f ca="1">IFERROR(__xludf.DUMMYFUNCTION("GOOGLETRANSLATE(B3971:B3986,""RU"",""UK"")"),"Фторопластові прокладки (кільця)")</f>
        <v>Фторопластові прокладки (кільця)</v>
      </c>
      <c r="C79" s="59" t="s">
        <v>130</v>
      </c>
      <c r="D79" s="59">
        <v>2</v>
      </c>
      <c r="E79" s="91" t="s">
        <v>27</v>
      </c>
    </row>
    <row r="80" spans="1:5">
      <c r="A80" s="21">
        <f t="shared" si="1"/>
        <v>45</v>
      </c>
      <c r="B80" s="198" t="str">
        <f ca="1">IFERROR(__xludf.DUMMYFUNCTION("GOOGLETRANSLATE(B3972:B3987,""RU"",""UK"")"),"Фторопластові круги різні 2мм (d100-140мм)")</f>
        <v>Фторопластові круги різні 2мм (d100-140мм)</v>
      </c>
      <c r="C80" s="59" t="s">
        <v>130</v>
      </c>
      <c r="D80" s="59">
        <v>5</v>
      </c>
      <c r="E80" s="91" t="s">
        <v>27</v>
      </c>
    </row>
    <row r="81" spans="1:5">
      <c r="A81" s="21">
        <f>A80+1</f>
        <v>46</v>
      </c>
      <c r="B81" s="85" t="str">
        <f ca="1">IFERROR(__xludf.DUMMYFUNCTION("GOOGLETRANSLATE(B3973:B3988,""RU"",""UK"")"),"Капролон кругляк d=32мм L=72мм (10штх0,07кг)")</f>
        <v>Капролон кругляк d=32мм L=72мм (10штх0,07кг)</v>
      </c>
      <c r="C81" s="59" t="s">
        <v>130</v>
      </c>
      <c r="D81" s="59" t="s">
        <v>5317</v>
      </c>
      <c r="E81" s="91">
        <v>300</v>
      </c>
    </row>
    <row r="82" spans="1:5">
      <c r="A82" s="21">
        <f t="shared" ref="A82:A93" si="2">A81+1</f>
        <v>47</v>
      </c>
      <c r="B82" s="224" t="str">
        <f ca="1">IFERROR(__xludf.DUMMYFUNCTION("GOOGLETRANSLATE(B3973:B3988,""RU"",""UK"")"),"Капролон кругляк d=38мм L=400мм (1штх0,45кг)")</f>
        <v>Капролон кругляк d=38мм L=400мм (1штх0,45кг)</v>
      </c>
      <c r="C82" s="59" t="s">
        <v>6</v>
      </c>
      <c r="D82" s="59">
        <v>1</v>
      </c>
      <c r="E82" s="91">
        <v>200</v>
      </c>
    </row>
    <row r="83" spans="1:5">
      <c r="A83" s="21">
        <f t="shared" si="2"/>
        <v>48</v>
      </c>
      <c r="B83" s="224" t="str">
        <f ca="1">IFERROR(__xludf.DUMMYFUNCTION("GOOGLETRANSLATE(B3973:B3988,""RU"",""UK"")"),"Капролон кругляк d=40мм L=120мм (3штх0,18кг)")</f>
        <v>Капролон кругляк d=40мм L=120мм (3штх0,18кг)</v>
      </c>
      <c r="C83" s="59" t="s">
        <v>6</v>
      </c>
      <c r="D83" s="59">
        <v>3</v>
      </c>
      <c r="E83" s="91">
        <v>70</v>
      </c>
    </row>
    <row r="84" spans="1:5">
      <c r="A84" s="21">
        <f t="shared" si="2"/>
        <v>49</v>
      </c>
      <c r="B84" s="224" t="str">
        <f ca="1">IFERROR(__xludf.DUMMYFUNCTION("GOOGLETRANSLATE(B3973:B3988,""RU"",""UK"")"),"Капролон кругляк d=45мм L=190мм (1штх0,37кг)")</f>
        <v>Капролон кругляк d=45мм L=190мм (1штх0,37кг)</v>
      </c>
      <c r="C84" s="59" t="s">
        <v>6</v>
      </c>
      <c r="D84" s="59">
        <v>1</v>
      </c>
      <c r="E84" s="91">
        <v>120</v>
      </c>
    </row>
    <row r="85" spans="1:5">
      <c r="A85" s="21">
        <f t="shared" si="2"/>
        <v>50</v>
      </c>
      <c r="B85" s="224" t="str">
        <f ca="1">IFERROR(__xludf.DUMMYFUNCTION("GOOGLETRANSLATE(B3973:B3988,""RU"",""UK"")"),"Капролон кругляк d=52мм L=310мм (1штх0,85кг)")</f>
        <v>Капролон кругляк d=52мм L=310мм (1штх0,85кг)</v>
      </c>
      <c r="C85" s="59" t="s">
        <v>6</v>
      </c>
      <c r="D85" s="59">
        <v>1</v>
      </c>
      <c r="E85" s="91">
        <v>300</v>
      </c>
    </row>
    <row r="86" spans="1:5">
      <c r="A86" s="21">
        <f t="shared" si="2"/>
        <v>51</v>
      </c>
      <c r="B86" s="224" t="str">
        <f ca="1">IFERROR(__xludf.DUMMYFUNCTION("GOOGLETRANSLATE(B3973:B3988,""RU"",""UK"")"),"Капролон кругляк d=60мм L=280мм (1штх0,98кг)")</f>
        <v>Капролон кругляк d=60мм L=280мм (1штх0,98кг)</v>
      </c>
      <c r="C86" s="59" t="s">
        <v>6</v>
      </c>
      <c r="D86" s="59">
        <v>1</v>
      </c>
      <c r="E86" s="91">
        <v>300</v>
      </c>
    </row>
    <row r="87" spans="1:5">
      <c r="A87" s="21">
        <f t="shared" si="2"/>
        <v>52</v>
      </c>
      <c r="B87" s="85" t="str">
        <f ca="1">IFERROR(__xludf.DUMMYFUNCTION("GOOGLETRANSLATE(B3973:B3988,""RU"",""UK"")"),"Капролон кругляк d=60мм L=300мм (1штх1,0кг)")</f>
        <v>Капролон кругляк d=60мм L=300мм (1штх1,0кг)</v>
      </c>
      <c r="C87" s="59" t="s">
        <v>6</v>
      </c>
      <c r="D87" s="59">
        <v>1</v>
      </c>
      <c r="E87" s="91">
        <v>300</v>
      </c>
    </row>
    <row r="88" spans="1:5">
      <c r="A88" s="21">
        <f t="shared" si="2"/>
        <v>53</v>
      </c>
      <c r="B88" s="224" t="str">
        <f ca="1">IFERROR(__xludf.DUMMYFUNCTION("GOOGLETRANSLATE(B3973:B3988,""RU"",""UK"")"),"Капролон кругляк d=60мм L=330мм (1штх1,13кг)")</f>
        <v>Капролон кругляк d=60мм L=330мм (1штх1,13кг)</v>
      </c>
      <c r="C88" s="59" t="s">
        <v>6</v>
      </c>
      <c r="D88" s="59">
        <v>1</v>
      </c>
      <c r="E88" s="91">
        <v>330</v>
      </c>
    </row>
    <row r="89" spans="1:5">
      <c r="A89" s="21">
        <f t="shared" si="2"/>
        <v>54</v>
      </c>
      <c r="B89" s="224" t="str">
        <f ca="1">IFERROR(__xludf.DUMMYFUNCTION("GOOGLETRANSLATE(B3973:B3988,""RU"",""UK"")"),"Капролон кругляк d=65мм L=160мм (1штх0,64кг)")</f>
        <v>Капролон кругляк d=65мм L=160мм (1штх0,64кг)</v>
      </c>
      <c r="C89" s="59" t="s">
        <v>6</v>
      </c>
      <c r="D89" s="59">
        <v>2</v>
      </c>
      <c r="E89" s="91">
        <v>200</v>
      </c>
    </row>
    <row r="90" spans="1:5">
      <c r="A90" s="21">
        <f t="shared" si="2"/>
        <v>55</v>
      </c>
      <c r="B90" s="224" t="str">
        <f ca="1">IFERROR(__xludf.DUMMYFUNCTION("GOOGLETRANSLATE(B3973:B3988,""RU"",""UK"")"),"Капролон кругляк d=65мм L=200мм (1штх0,95кг)")</f>
        <v>Капролон кругляк d=65мм L=200мм (1штх0,95кг)</v>
      </c>
      <c r="C90" s="59" t="s">
        <v>6</v>
      </c>
      <c r="D90" s="59">
        <v>1</v>
      </c>
      <c r="E90" s="91">
        <v>300</v>
      </c>
    </row>
    <row r="91" spans="1:5">
      <c r="A91" s="21">
        <f t="shared" si="2"/>
        <v>56</v>
      </c>
      <c r="B91" s="224" t="str">
        <f ca="1">IFERROR(__xludf.DUMMYFUNCTION("GOOGLETRANSLATE(B3973:B3988,""RU"",""UK"")"),"Капролон кругляк d=75мм L=150мм (1штх0,8кг)")</f>
        <v>Капролон кругляк d=75мм L=150мм (1штх0,8кг)</v>
      </c>
      <c r="C91" s="59" t="s">
        <v>6</v>
      </c>
      <c r="D91" s="59">
        <v>1</v>
      </c>
      <c r="E91" s="91">
        <v>270</v>
      </c>
    </row>
    <row r="92" spans="1:5">
      <c r="A92" s="21">
        <f t="shared" si="2"/>
        <v>57</v>
      </c>
      <c r="B92" s="224" t="str">
        <f ca="1">IFERROR(__xludf.DUMMYFUNCTION("GOOGLETRANSLATE(B3973:B3988,""RU"",""UK"")"),"Капролон кругляк d=80мм L=180мм (1штх1,0кг)")</f>
        <v>Капролон кругляк d=80мм L=180мм (1штх1,0кг)</v>
      </c>
      <c r="C92" s="59" t="s">
        <v>6</v>
      </c>
      <c r="D92" s="59">
        <v>1</v>
      </c>
      <c r="E92" s="91">
        <v>300</v>
      </c>
    </row>
    <row r="93" spans="1:5">
      <c r="A93" s="21">
        <f t="shared" si="2"/>
        <v>58</v>
      </c>
      <c r="B93" s="85" t="str">
        <f ca="1">IFERROR(__xludf.DUMMYFUNCTION("GOOGLETRANSLATE(B3974:B3989,""RU"",""UK"")"),"Текстоліт кругляк d=57мм L=270мм")</f>
        <v>Текстоліт кругляк d=57мм L=270мм</v>
      </c>
      <c r="C93" s="59" t="s">
        <v>130</v>
      </c>
      <c r="D93" s="59" t="s">
        <v>5319</v>
      </c>
      <c r="E93" s="91" t="s">
        <v>119</v>
      </c>
    </row>
    <row r="94" spans="1:5">
      <c r="A94" s="21">
        <f t="shared" si="1"/>
        <v>59</v>
      </c>
      <c r="B94" s="85" t="str">
        <f ca="1">IFERROR(__xludf.DUMMYFUNCTION("GOOGLETRANSLATE(B3975:B3990,""RU"",""UK"")"),"Текстоліт кругляк d=60мм L=80мм / d=60мм L=125мм")</f>
        <v>Текстоліт кругляк d=60мм L=80мм / d=60мм L=125мм</v>
      </c>
      <c r="C94" s="59" t="s">
        <v>130</v>
      </c>
      <c r="D94" s="59" t="s">
        <v>5321</v>
      </c>
      <c r="E94" s="91" t="s">
        <v>119</v>
      </c>
    </row>
    <row r="95" spans="1:5">
      <c r="A95" s="21">
        <f t="shared" si="1"/>
        <v>60</v>
      </c>
      <c r="B95" s="85" t="str">
        <f ca="1">IFERROR(__xludf.DUMMYFUNCTION("GOOGLETRANSLATE(B3976:B3991,""RU"",""UK"")"),"Склотканина тонка (ширина 0,9 м)")</f>
        <v>Склотканина тонка (ширина 0,9 м)</v>
      </c>
      <c r="C95" s="59" t="s">
        <v>634</v>
      </c>
      <c r="D95" s="59">
        <v>11</v>
      </c>
      <c r="E95" s="91">
        <v>135</v>
      </c>
    </row>
    <row r="96" spans="1:5">
      <c r="A96" s="21">
        <f t="shared" si="1"/>
        <v>61</v>
      </c>
      <c r="B96" s="85" t="str">
        <f ca="1">IFERROR(__xludf.DUMMYFUNCTION("GOOGLETRANSLATE(B3977:B3992,""RU"",""UK"")"),"Склотканина щільна (ширина 0,9 м)")</f>
        <v>Склотканина щільна (ширина 0,9 м)</v>
      </c>
      <c r="C96" s="59" t="s">
        <v>634</v>
      </c>
      <c r="D96" s="59">
        <v>15</v>
      </c>
      <c r="E96" s="91">
        <v>155</v>
      </c>
    </row>
    <row r="97" spans="1:5">
      <c r="A97" s="21">
        <f t="shared" si="1"/>
        <v>62</v>
      </c>
      <c r="B97" s="85" t="str">
        <f ca="1">IFERROR(__xludf.DUMMYFUNCTION("GOOGLETRANSLATE(B3978:B3993,""RU"",""UK"")"),"Окис хрому")</f>
        <v>Окис хрому</v>
      </c>
      <c r="C97" s="59" t="s">
        <v>130</v>
      </c>
      <c r="D97" s="59">
        <v>40</v>
      </c>
      <c r="E97" s="91" t="s">
        <v>327</v>
      </c>
    </row>
    <row r="98" spans="1:5">
      <c r="A98" s="21">
        <f t="shared" si="1"/>
        <v>63</v>
      </c>
      <c r="B98" s="85" t="str">
        <f ca="1">IFERROR(__xludf.DUMMYFUNCTION("GOOGLETRANSLATE(B3979:B3994,""RU"",""UK"")"),"Мастило графітове (банку 0,8кг)")</f>
        <v>Мастило графітове (банку 0,8кг)</v>
      </c>
      <c r="C98" s="59" t="s">
        <v>5326</v>
      </c>
      <c r="D98" s="59">
        <v>0</v>
      </c>
      <c r="E98" s="91">
        <v>0</v>
      </c>
    </row>
    <row r="99" spans="1:5">
      <c r="A99" s="21">
        <f t="shared" si="1"/>
        <v>64</v>
      </c>
      <c r="B99" s="85" t="str">
        <f ca="1">IFERROR(__xludf.DUMMYFUNCTION("GOOGLETRANSLATE(B3980:B3995,""RU"",""UK"")"),"Мастило ЛІТОЛ 24 (банку 0,8 кг)")</f>
        <v>Мастило ЛІТОЛ 24 (банку 0,8 кг)</v>
      </c>
      <c r="C99" s="59" t="s">
        <v>5326</v>
      </c>
      <c r="D99" s="59">
        <v>0</v>
      </c>
      <c r="E99" s="91" t="s">
        <v>1688</v>
      </c>
    </row>
    <row r="100" spans="1:5">
      <c r="A100" s="21">
        <f t="shared" si="1"/>
        <v>65</v>
      </c>
      <c r="B100" s="85" t="str">
        <f ca="1">IFERROR(__xludf.DUMMYFUNCTION("GOOGLETRANSLATE(B3981:B3996,""RU"",""UK"")"),"Мастило ЦИАТИМ 201/203 (банку 0,8кг)")</f>
        <v>Мастило ЦИАТИМ 201/203 (банку 0,8кг)</v>
      </c>
      <c r="C100" s="59" t="s">
        <v>5326</v>
      </c>
      <c r="D100" s="59" t="s">
        <v>3137</v>
      </c>
      <c r="E100" s="91" t="s">
        <v>185</v>
      </c>
    </row>
    <row r="101" spans="1:5">
      <c r="A101" s="21">
        <f t="shared" si="1"/>
        <v>66</v>
      </c>
      <c r="B101" s="85" t="str">
        <f ca="1">IFERROR(__xludf.DUMMYFUNCTION("GOOGLETRANSLATE(B3982:B3997,""RU"",""UK"")"),"Мастило ЦИАТИМ 221 (банку 0,8 кг)")</f>
        <v>Мастило ЦИАТИМ 221 (банку 0,8 кг)</v>
      </c>
      <c r="C101" s="37" t="s">
        <v>5326</v>
      </c>
      <c r="D101" s="37">
        <v>4</v>
      </c>
      <c r="E101" s="92" t="s">
        <v>102</v>
      </c>
    </row>
    <row r="102" spans="1:5">
      <c r="A102" s="21">
        <f t="shared" si="1"/>
        <v>67</v>
      </c>
      <c r="B102" s="85" t="str">
        <f ca="1">IFERROR(__xludf.DUMMYFUNCTION("GOOGLETRANSLATE(B3983:B3998,""RU"",""UK"")"),"Мастило СОЛІДОЛ-Ж (банку 0,8 кг)")</f>
        <v>Мастило СОЛІДОЛ-Ж (банку 0,8 кг)</v>
      </c>
      <c r="C102" s="59" t="s">
        <v>5326</v>
      </c>
      <c r="D102" s="59">
        <v>1</v>
      </c>
      <c r="E102" s="91">
        <v>155</v>
      </c>
    </row>
    <row r="103" spans="1:5">
      <c r="A103" s="21">
        <f t="shared" si="1"/>
        <v>68</v>
      </c>
      <c r="B103" s="85" t="str">
        <f ca="1">IFERROR(__xludf.DUMMYFUNCTION("GOOGLETRANSLATE(B3984:B3999,""RU"",""UK"")"),"ВД-40 (банку 200мл)")</f>
        <v>ВД-40 (банку 200мл)</v>
      </c>
      <c r="C103" s="37" t="s">
        <v>5326</v>
      </c>
      <c r="D103" s="37">
        <v>18</v>
      </c>
      <c r="E103" s="91" t="s">
        <v>567</v>
      </c>
    </row>
    <row r="104" spans="1:5">
      <c r="A104" s="21">
        <f t="shared" si="1"/>
        <v>69</v>
      </c>
      <c r="B104" s="115" t="str">
        <f ca="1">IFERROR(__xludf.DUMMYFUNCTION("GOOGLETRANSLATE(B3985:B4000,""RU"",""UK"")"),"ВД-40 (банку 400мл)")</f>
        <v>ВД-40 (банку 400мл)</v>
      </c>
      <c r="C104" s="37" t="s">
        <v>5326</v>
      </c>
      <c r="D104" s="37">
        <v>3</v>
      </c>
      <c r="E104" s="91" t="s">
        <v>461</v>
      </c>
    </row>
    <row r="105" spans="1:5">
      <c r="A105" s="68"/>
      <c r="B105" s="119" t="s">
        <v>6055</v>
      </c>
      <c r="C105" s="69"/>
      <c r="D105" s="69"/>
      <c r="E105" s="106"/>
    </row>
    <row r="106" spans="1:5">
      <c r="A106" s="21">
        <v>1</v>
      </c>
      <c r="B106" s="238" t="s">
        <v>6209</v>
      </c>
      <c r="C106" s="59" t="s">
        <v>6</v>
      </c>
      <c r="D106" s="59">
        <v>0</v>
      </c>
      <c r="E106" s="91">
        <v>16.2</v>
      </c>
    </row>
    <row r="107" spans="1:5">
      <c r="A107" s="21">
        <f>A106+1</f>
        <v>2</v>
      </c>
      <c r="B107" s="200" t="str">
        <f ca="1">IFERROR(__xludf.DUMMYFUNCTION("GOOGLETRANSLATE(B3988:B4003,""RU"",""UK"")"),"Мило господарське біле 72% 200гр. (1ящ х120шт)")</f>
        <v>Мило господарське біле 72% 200гр. (1ящ х120шт)</v>
      </c>
      <c r="C107" s="59" t="s">
        <v>6</v>
      </c>
      <c r="D107" s="59">
        <v>0</v>
      </c>
      <c r="E107" s="91">
        <v>25.8</v>
      </c>
    </row>
    <row r="108" spans="1:5">
      <c r="A108" s="21">
        <f t="shared" ref="A108:A118" si="3">A107+1</f>
        <v>3</v>
      </c>
      <c r="B108" s="85" t="str">
        <f ca="1">IFERROR(__xludf.DUMMYFUNCTION("GOOGLETRANSLATE(B3989:B4004,""RU"",""UK"")"),"Мило туалетне")</f>
        <v>Мило туалетне</v>
      </c>
      <c r="C108" s="59" t="s">
        <v>6</v>
      </c>
      <c r="D108" s="59">
        <v>4</v>
      </c>
      <c r="E108" s="91" t="s">
        <v>5338</v>
      </c>
    </row>
    <row r="109" spans="1:5">
      <c r="A109" s="21">
        <f t="shared" si="3"/>
        <v>4</v>
      </c>
      <c r="B109" s="169" t="str">
        <f ca="1">IFERROR(__xludf.DUMMYFUNCTION("GOOGLETRANSLATE(B3990:B4005,""RU"",""UK"")"),"Helper засіб для миття посуду 495мл")</f>
        <v>Helper засіб для миття посуду 495мл</v>
      </c>
      <c r="C109" s="59" t="s">
        <v>6</v>
      </c>
      <c r="D109" s="59">
        <v>4</v>
      </c>
      <c r="E109" s="91">
        <v>39.950000000000003</v>
      </c>
    </row>
    <row r="110" spans="1:5">
      <c r="A110" s="21">
        <f t="shared" si="3"/>
        <v>5</v>
      </c>
      <c r="B110" s="169" t="s">
        <v>6161</v>
      </c>
      <c r="C110" s="59" t="s">
        <v>6</v>
      </c>
      <c r="D110" s="59">
        <v>3</v>
      </c>
      <c r="E110" s="91">
        <v>36.5</v>
      </c>
    </row>
    <row r="111" spans="1:5">
      <c r="A111" s="21">
        <f t="shared" si="3"/>
        <v>6</v>
      </c>
      <c r="B111" s="85" t="str">
        <f ca="1">IFERROR(__xludf.DUMMYFUNCTION("GOOGLETRANSLATE(B3991:B4006,""RU"",""UK"")"),"Засіб миючий ""Доместос"" 0,5л")</f>
        <v>Засіб миючий "Доместос" 0,5л</v>
      </c>
      <c r="C111" s="59" t="s">
        <v>6</v>
      </c>
      <c r="D111" s="59">
        <v>2</v>
      </c>
      <c r="E111" s="91" t="s">
        <v>5342</v>
      </c>
    </row>
    <row r="112" spans="1:5">
      <c r="A112" s="21">
        <f t="shared" si="3"/>
        <v>7</v>
      </c>
      <c r="B112" s="85" t="str">
        <f ca="1">IFERROR(__xludf.DUMMYFUNCTION("GOOGLETRANSLATE(B3992:B4007,""RU"",""UK"")"),"Гель для унітазів ЄЖ 800мл")</f>
        <v>Гель для унітазів ЄЖ 800мл</v>
      </c>
      <c r="C112" s="59" t="s">
        <v>6</v>
      </c>
      <c r="D112" s="59">
        <v>1</v>
      </c>
      <c r="E112" s="91" t="s">
        <v>596</v>
      </c>
    </row>
    <row r="113" spans="1:5">
      <c r="A113" s="21">
        <f t="shared" si="3"/>
        <v>8</v>
      </c>
      <c r="B113" s="169" t="str">
        <f ca="1">IFERROR(__xludf.DUMMYFUNCTION("GOOGLETRANSLATE(B3993:B4008,""RU"",""UK"")"),"Паста для миття рук ""Автомайстер"" 550г")</f>
        <v>Паста для миття рук "Автомайстер" 550г</v>
      </c>
      <c r="C113" s="59" t="s">
        <v>6</v>
      </c>
      <c r="D113" s="59">
        <v>12</v>
      </c>
      <c r="E113" s="91" t="s">
        <v>5345</v>
      </c>
    </row>
    <row r="114" spans="1:5">
      <c r="A114" s="21">
        <f t="shared" si="3"/>
        <v>9</v>
      </c>
      <c r="B114" s="85" t="str">
        <f ca="1">IFERROR(__xludf.DUMMYFUNCTION("GOOGLETRANSLATE(B3994:B4009,""RU"",""UK"")"),"Білизна 1л.")</f>
        <v>Білизна 1л.</v>
      </c>
      <c r="C114" s="59" t="s">
        <v>6</v>
      </c>
      <c r="D114" s="59">
        <v>0</v>
      </c>
      <c r="E114" s="91" t="s">
        <v>5347</v>
      </c>
    </row>
    <row r="115" spans="1:5">
      <c r="A115" s="21">
        <f t="shared" si="3"/>
        <v>10</v>
      </c>
      <c r="B115" s="85" t="str">
        <f ca="1">IFERROR(__xludf.DUMMYFUNCTION("GOOGLETRANSLATE(B3995:B4010,""RU"",""UK"")"),"Пакет для сміття 35л")</f>
        <v>Пакет для сміття 35л</v>
      </c>
      <c r="C115" s="59" t="s">
        <v>6</v>
      </c>
      <c r="D115" s="59">
        <v>15</v>
      </c>
      <c r="E115" s="91" t="s">
        <v>5349</v>
      </c>
    </row>
    <row r="116" spans="1:5">
      <c r="A116" s="21">
        <f t="shared" si="3"/>
        <v>11</v>
      </c>
      <c r="B116" s="85" t="str">
        <f ca="1">IFERROR(__xludf.DUMMYFUNCTION("GOOGLETRANSLATE(B3996:B4011,""RU"",""UK"")"),"Пакет для сміття 60л")</f>
        <v>Пакет для сміття 60л</v>
      </c>
      <c r="C116" s="59" t="s">
        <v>6</v>
      </c>
      <c r="D116" s="59">
        <v>2</v>
      </c>
      <c r="E116" s="91">
        <v>19</v>
      </c>
    </row>
    <row r="117" spans="1:5">
      <c r="A117" s="21">
        <f t="shared" si="3"/>
        <v>12</v>
      </c>
      <c r="B117" s="212" t="str">
        <f ca="1">IFERROR(__xludf.DUMMYFUNCTION("GOOGLETRANSLATE(B3997:B4012,""RU"",""UK"")"),"Папір туалетний Обухів (48)")</f>
        <v>Папір туалетний Обухів (48)</v>
      </c>
      <c r="C117" s="59" t="s">
        <v>6140</v>
      </c>
      <c r="D117" s="59">
        <v>1</v>
      </c>
      <c r="E117" s="91">
        <v>720</v>
      </c>
    </row>
    <row r="118" spans="1:5">
      <c r="A118" s="63">
        <f t="shared" si="3"/>
        <v>13</v>
      </c>
      <c r="B118" s="132" t="str">
        <f ca="1">IFERROR(__xludf.DUMMYFUNCTION("GOOGLETRANSLATE(B3998:B4013,""RU"",""UK"")"),"Освіжувач повітря")</f>
        <v>Освіжувач повітря</v>
      </c>
      <c r="C118" s="59" t="s">
        <v>6</v>
      </c>
      <c r="D118" s="59">
        <v>0</v>
      </c>
      <c r="E118" s="91" t="s">
        <v>5353</v>
      </c>
    </row>
  </sheetData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6"/>
  <sheetViews>
    <sheetView topLeftCell="A185" zoomScale="240" zoomScaleNormal="240" workbookViewId="0">
      <selection activeCell="A186" sqref="A186:A188"/>
    </sheetView>
  </sheetViews>
  <sheetFormatPr defaultRowHeight="12.75"/>
  <cols>
    <col min="2" max="2" width="51.5703125" customWidth="1"/>
  </cols>
  <sheetData>
    <row r="1" spans="1:5">
      <c r="A1" s="68"/>
      <c r="B1" s="119" t="s">
        <v>6329</v>
      </c>
      <c r="C1" s="69"/>
      <c r="D1" s="69"/>
      <c r="E1" s="106"/>
    </row>
    <row r="2" spans="1:5">
      <c r="A2" s="21">
        <v>1</v>
      </c>
      <c r="B2" s="47" t="str">
        <f ca="1">IFERROR(__xludf.DUMMYFUNCTION("GOOGLETRANSLATE(B2852:B2867,""RU"",""UK"")"),"Фреза відрізна Р6М5 32х0,4мм")</f>
        <v>Фреза відрізна Р6М5 32х0,4мм</v>
      </c>
      <c r="C2" s="59" t="s">
        <v>6</v>
      </c>
      <c r="D2" s="171">
        <v>5</v>
      </c>
      <c r="E2" s="91">
        <v>60</v>
      </c>
    </row>
    <row r="3" spans="1:5">
      <c r="A3" s="21">
        <f>A2+1</f>
        <v>2</v>
      </c>
      <c r="B3" s="85" t="str">
        <f ca="1">IFERROR(__xludf.DUMMYFUNCTION("GOOGLETRANSLATE(B2853:B2868,""RU"",""UK"")"),"Фреза відрізна Р6М5 32х0.5мм")</f>
        <v>Фреза відрізна Р6М5 32х0.5мм</v>
      </c>
      <c r="C3" s="59" t="s">
        <v>6</v>
      </c>
      <c r="D3" s="59">
        <v>4</v>
      </c>
      <c r="E3" s="91" t="s">
        <v>255</v>
      </c>
    </row>
    <row r="4" spans="1:5">
      <c r="A4" s="21">
        <f t="shared" ref="A4:A89" si="0">A3+1</f>
        <v>3</v>
      </c>
      <c r="B4" s="85" t="str">
        <f ca="1">IFERROR(__xludf.DUMMYFUNCTION("GOOGLETRANSLATE(B2854:B2869,""RU"",""UK"")"),"Фреза відрізна Р6М5 40х0,25мм")</f>
        <v>Фреза відрізна Р6М5 40х0,25мм</v>
      </c>
      <c r="C4" s="59" t="s">
        <v>6</v>
      </c>
      <c r="D4" s="59">
        <v>6</v>
      </c>
      <c r="E4" s="91" t="s">
        <v>255</v>
      </c>
    </row>
    <row r="5" spans="1:5">
      <c r="A5" s="21">
        <f t="shared" si="0"/>
        <v>4</v>
      </c>
      <c r="B5" s="85" t="str">
        <f ca="1">IFERROR(__xludf.DUMMYFUNCTION("GOOGLETRANSLATE(B2854:B2869,""RU"",""UK"")"),"Фреза відрізна Р6М5 40х0,4мм")</f>
        <v>Фреза відрізна Р6М5 40х0,4мм</v>
      </c>
      <c r="C5" s="59" t="s">
        <v>6</v>
      </c>
      <c r="D5" s="59">
        <v>13</v>
      </c>
      <c r="E5" s="91" t="s">
        <v>255</v>
      </c>
    </row>
    <row r="6" spans="1:5">
      <c r="A6" s="21">
        <f t="shared" si="0"/>
        <v>5</v>
      </c>
      <c r="B6" s="85" t="str">
        <f ca="1">IFERROR(__xludf.DUMMYFUNCTION("GOOGLETRANSLATE(B2855:B2870,""RU"",""UK"")"),"Фреза відрізна Р6М5 40х0.6 мм")</f>
        <v>Фреза відрізна Р6М5 40х0.6 мм</v>
      </c>
      <c r="C6" s="59" t="s">
        <v>6</v>
      </c>
      <c r="D6" s="160">
        <v>2</v>
      </c>
      <c r="E6" s="91" t="s">
        <v>255</v>
      </c>
    </row>
    <row r="7" spans="1:5">
      <c r="A7" s="21">
        <f t="shared" si="0"/>
        <v>6</v>
      </c>
      <c r="B7" s="85" t="str">
        <f ca="1">IFERROR(__xludf.DUMMYFUNCTION("GOOGLETRANSLATE(B2855:B2870,""RU"",""UK"")"),"Фреза відрізна Р6М5 40х0,8 мм")</f>
        <v>Фреза відрізна Р6М5 40х0,8 мм</v>
      </c>
      <c r="C7" s="59" t="s">
        <v>6</v>
      </c>
      <c r="D7" s="160">
        <v>4</v>
      </c>
      <c r="E7" s="91" t="s">
        <v>255</v>
      </c>
    </row>
    <row r="8" spans="1:5">
      <c r="A8" s="21">
        <f t="shared" si="0"/>
        <v>7</v>
      </c>
      <c r="B8" s="85" t="str">
        <f ca="1">IFERROR(__xludf.DUMMYFUNCTION("GOOGLETRANSLATE(B2855:B2870,""RU"",""UK"")"),"Фреза відрізна Р6М5 40х1,0 мм ")</f>
        <v xml:space="preserve">Фреза відрізна Р6М5 40х1,0 мм </v>
      </c>
      <c r="C8" s="59" t="s">
        <v>6</v>
      </c>
      <c r="D8" s="160">
        <v>7</v>
      </c>
      <c r="E8" s="91" t="s">
        <v>255</v>
      </c>
    </row>
    <row r="9" spans="1:5">
      <c r="A9" s="21">
        <f t="shared" si="0"/>
        <v>8</v>
      </c>
      <c r="B9" s="85" t="str">
        <f ca="1">IFERROR(__xludf.DUMMYFUNCTION("GOOGLETRANSLATE(B2856:B2871,""RU"",""UK"")"),"Фреза відрізна Р6М5 40х1,2/40х1,6 мм")</f>
        <v>Фреза відрізна Р6М5 40х1,2/40х1,6 мм</v>
      </c>
      <c r="C9" s="59" t="s">
        <v>6</v>
      </c>
      <c r="D9" s="59" t="s">
        <v>1970</v>
      </c>
      <c r="E9" s="91" t="s">
        <v>598</v>
      </c>
    </row>
    <row r="10" spans="1:5">
      <c r="A10" s="21">
        <f t="shared" si="0"/>
        <v>9</v>
      </c>
      <c r="B10" s="85" t="str">
        <f ca="1">IFERROR(__xludf.DUMMYFUNCTION("GOOGLETRANSLATE(B2857:B2872,""RU"",""UK"")"),"Фреза відрізна Р6М5 50х0,25/50х0,3мм")</f>
        <v>Фреза відрізна Р6М5 50х0,25/50х0,3мм</v>
      </c>
      <c r="C10" s="59" t="s">
        <v>6</v>
      </c>
      <c r="D10" s="59" t="s">
        <v>749</v>
      </c>
      <c r="E10" s="91" t="s">
        <v>598</v>
      </c>
    </row>
    <row r="11" spans="1:5">
      <c r="A11" s="21">
        <f t="shared" si="0"/>
        <v>10</v>
      </c>
      <c r="B11" s="85" t="str">
        <f ca="1">IFERROR(__xludf.DUMMYFUNCTION("GOOGLETRANSLATE(B2858:B2873,""RU"",""UK"")"),"Фреза відрізна Р6М5 50х0,4мм")</f>
        <v>Фреза відрізна Р6М5 50х0,4мм</v>
      </c>
      <c r="C11" s="59" t="s">
        <v>6</v>
      </c>
      <c r="D11" s="59">
        <v>11</v>
      </c>
      <c r="E11" s="91" t="s">
        <v>209</v>
      </c>
    </row>
    <row r="12" spans="1:5">
      <c r="A12" s="21">
        <f t="shared" si="0"/>
        <v>11</v>
      </c>
      <c r="B12" s="85" t="str">
        <f ca="1">IFERROR(__xludf.DUMMYFUNCTION("GOOGLETRANSLATE(B2858:B2873,""RU"",""UK"")"),"Фреза відрізна Р6М5 50х0,32-0,45мм")</f>
        <v>Фреза відрізна Р6М5 50х0,32-0,45мм</v>
      </c>
      <c r="C12" s="59" t="s">
        <v>6</v>
      </c>
      <c r="D12" s="59">
        <v>23</v>
      </c>
      <c r="E12" s="91" t="s">
        <v>209</v>
      </c>
    </row>
    <row r="13" spans="1:5">
      <c r="A13" s="21">
        <f t="shared" si="0"/>
        <v>12</v>
      </c>
      <c r="B13" s="85" t="str">
        <f ca="1">IFERROR(__xludf.DUMMYFUNCTION("GOOGLETRANSLATE(B2859:B2874,""RU"",""UK"")"),"Фреза відрізна Р6М5 50х0,5мм")</f>
        <v>Фреза відрізна Р6М5 50х0,5мм</v>
      </c>
      <c r="C13" s="59" t="s">
        <v>6</v>
      </c>
      <c r="D13" s="59">
        <v>2</v>
      </c>
      <c r="E13" s="91" t="s">
        <v>209</v>
      </c>
    </row>
    <row r="14" spans="1:5">
      <c r="A14" s="21">
        <f t="shared" si="0"/>
        <v>13</v>
      </c>
      <c r="B14" s="85" t="str">
        <f ca="1">IFERROR(__xludf.DUMMYFUNCTION("GOOGLETRANSLATE(B2859:B2874,""RU"",""UK"")"),"Фреза відрізна Р6М5 50х0,6мм")</f>
        <v>Фреза відрізна Р6М5 50х0,6мм</v>
      </c>
      <c r="C14" s="59" t="s">
        <v>6</v>
      </c>
      <c r="D14" s="59">
        <v>4</v>
      </c>
      <c r="E14" s="91" t="s">
        <v>209</v>
      </c>
    </row>
    <row r="15" spans="1:5">
      <c r="A15" s="21">
        <f t="shared" si="0"/>
        <v>14</v>
      </c>
      <c r="B15" s="85" t="str">
        <f ca="1">IFERROR(__xludf.DUMMYFUNCTION("GOOGLETRANSLATE(B2859:B2874,""RU"",""UK"")"),"Фреза відрізна Р6М5 50х0,8 мм")</f>
        <v>Фреза відрізна Р6М5 50х0,8 мм</v>
      </c>
      <c r="C15" s="59" t="s">
        <v>6</v>
      </c>
      <c r="D15" s="59">
        <v>2</v>
      </c>
      <c r="E15" s="91" t="s">
        <v>209</v>
      </c>
    </row>
    <row r="16" spans="1:5">
      <c r="A16" s="21">
        <f t="shared" si="0"/>
        <v>15</v>
      </c>
      <c r="B16" s="85" t="str">
        <f ca="1">IFERROR(__xludf.DUMMYFUNCTION("GOOGLETRANSLATE(B2859:B2874,""RU"",""UK"")"),"Фреза відрізна Р6М5 50х1,0 мм")</f>
        <v>Фреза відрізна Р6М5 50х1,0 мм</v>
      </c>
      <c r="C16" s="59" t="s">
        <v>6</v>
      </c>
      <c r="D16" s="59">
        <v>45</v>
      </c>
      <c r="E16" s="91" t="s">
        <v>209</v>
      </c>
    </row>
    <row r="17" spans="1:5">
      <c r="A17" s="21">
        <f t="shared" si="0"/>
        <v>16</v>
      </c>
      <c r="B17" s="85" t="str">
        <f ca="1">IFERROR(__xludf.DUMMYFUNCTION("GOOGLETRANSLATE(B2860:B2875,""RU"",""UK"")"),"Фреза відрізна Р6М5 50х1.2 мм")</f>
        <v>Фреза відрізна Р6М5 50х1.2 мм</v>
      </c>
      <c r="C17" s="59" t="s">
        <v>6</v>
      </c>
      <c r="D17" s="59">
        <v>23</v>
      </c>
      <c r="E17" s="91" t="s">
        <v>257</v>
      </c>
    </row>
    <row r="18" spans="1:5">
      <c r="A18" s="21">
        <f t="shared" si="0"/>
        <v>17</v>
      </c>
      <c r="B18" s="85" t="str">
        <f ca="1">IFERROR(__xludf.DUMMYFUNCTION("GOOGLETRANSLATE(B2860:B2875,""RU"",""UK"")"),"Фреза відрізна Р6М5 50х2,0 мм")</f>
        <v>Фреза відрізна Р6М5 50х2,0 мм</v>
      </c>
      <c r="C18" s="59" t="s">
        <v>6</v>
      </c>
      <c r="D18" s="59">
        <v>65</v>
      </c>
      <c r="E18" s="91" t="s">
        <v>257</v>
      </c>
    </row>
    <row r="19" spans="1:5">
      <c r="A19" s="21">
        <f t="shared" si="0"/>
        <v>18</v>
      </c>
      <c r="B19" s="85" t="str">
        <f ca="1">IFERROR(__xludf.DUMMYFUNCTION("GOOGLETRANSLATE(B2861:B2876,""RU"",""UK"")"),"Фреза відрізна Р6М5 50х2,5мм")</f>
        <v>Фреза відрізна Р6М5 50х2,5мм</v>
      </c>
      <c r="C19" s="59" t="s">
        <v>6</v>
      </c>
      <c r="D19" s="59">
        <v>6</v>
      </c>
      <c r="E19" s="91" t="s">
        <v>226</v>
      </c>
    </row>
    <row r="20" spans="1:5">
      <c r="A20" s="21">
        <f t="shared" si="0"/>
        <v>19</v>
      </c>
      <c r="B20" s="85" t="str">
        <f ca="1">IFERROR(__xludf.DUMMYFUNCTION("GOOGLETRANSLATE(B2861:B2876,""RU"",""UK"")"),"Фреза відрізна Р6М5 50х3.0мм")</f>
        <v>Фреза відрізна Р6М5 50х3.0мм</v>
      </c>
      <c r="C20" s="59" t="s">
        <v>6</v>
      </c>
      <c r="D20" s="59">
        <v>17</v>
      </c>
      <c r="E20" s="91" t="s">
        <v>226</v>
      </c>
    </row>
    <row r="21" spans="1:5">
      <c r="A21" s="21">
        <f t="shared" si="0"/>
        <v>20</v>
      </c>
      <c r="B21" s="85" t="str">
        <f ca="1">IFERROR(__xludf.DUMMYFUNCTION("GOOGLETRANSLATE(B2862:B2877,""RU"",""UK"")"),"Фреза відрізна Р6М5 58х0,6")</f>
        <v>Фреза відрізна Р6М5 58х0,6</v>
      </c>
      <c r="C21" s="59" t="s">
        <v>6</v>
      </c>
      <c r="D21" s="59">
        <v>3</v>
      </c>
      <c r="E21" s="91" t="s">
        <v>226</v>
      </c>
    </row>
    <row r="22" spans="1:5">
      <c r="A22" s="21">
        <f t="shared" si="0"/>
        <v>21</v>
      </c>
      <c r="B22" s="85" t="str">
        <f ca="1">IFERROR(__xludf.DUMMYFUNCTION("GOOGLETRANSLATE(B2862:B2877,""RU"",""UK"")"),"Фреза відрізна Р6М5 60х0,6")</f>
        <v>Фреза відрізна Р6М5 60х0,6</v>
      </c>
      <c r="C22" s="59" t="s">
        <v>6</v>
      </c>
      <c r="D22" s="59">
        <v>4</v>
      </c>
      <c r="E22" s="91" t="s">
        <v>226</v>
      </c>
    </row>
    <row r="23" spans="1:5">
      <c r="A23" s="21">
        <f t="shared" si="0"/>
        <v>22</v>
      </c>
      <c r="B23" s="85" t="str">
        <f ca="1">IFERROR(__xludf.DUMMYFUNCTION("GOOGLETRANSLATE(B2862:B2877,""RU"",""UK"")"),"Фреза відрізна Р6М5 60х0,8")</f>
        <v>Фреза відрізна Р6М5 60х0,8</v>
      </c>
      <c r="C23" s="59" t="s">
        <v>6</v>
      </c>
      <c r="D23" s="59">
        <v>1</v>
      </c>
      <c r="E23" s="91" t="s">
        <v>226</v>
      </c>
    </row>
    <row r="24" spans="1:5">
      <c r="A24" s="21">
        <f t="shared" si="0"/>
        <v>23</v>
      </c>
      <c r="B24" s="164" t="s">
        <v>6336</v>
      </c>
      <c r="C24" s="59" t="s">
        <v>6</v>
      </c>
      <c r="D24" s="59">
        <v>1</v>
      </c>
      <c r="E24" s="91">
        <v>84</v>
      </c>
    </row>
    <row r="25" spans="1:5">
      <c r="A25" s="21">
        <f t="shared" si="0"/>
        <v>24</v>
      </c>
      <c r="B25" s="85" t="str">
        <f ca="1">IFERROR(__xludf.DUMMYFUNCTION("GOOGLETRANSLATE(B2865:B2880,""RU"",""UK"")"),"Фреза відрізна Р6М5 60х1.6мм")</f>
        <v>Фреза відрізна Р6М5 60х1.6мм</v>
      </c>
      <c r="C25" s="59" t="s">
        <v>6</v>
      </c>
      <c r="D25" s="59">
        <v>10</v>
      </c>
      <c r="E25" s="91" t="s">
        <v>338</v>
      </c>
    </row>
    <row r="26" spans="1:5">
      <c r="A26" s="21">
        <f t="shared" si="0"/>
        <v>25</v>
      </c>
      <c r="B26" s="164" t="s">
        <v>6337</v>
      </c>
      <c r="C26" s="59" t="s">
        <v>6</v>
      </c>
      <c r="D26" s="59">
        <v>4</v>
      </c>
      <c r="E26" s="91">
        <v>84</v>
      </c>
    </row>
    <row r="27" spans="1:5">
      <c r="A27" s="21">
        <f t="shared" si="0"/>
        <v>26</v>
      </c>
      <c r="B27" s="164" t="s">
        <v>6338</v>
      </c>
      <c r="C27" s="59" t="s">
        <v>6</v>
      </c>
      <c r="D27" s="59">
        <v>1</v>
      </c>
      <c r="E27" s="91">
        <v>84</v>
      </c>
    </row>
    <row r="28" spans="1:5">
      <c r="A28" s="21">
        <f t="shared" si="0"/>
        <v>27</v>
      </c>
      <c r="B28" s="85" t="str">
        <f ca="1">IFERROR(__xludf.DUMMYFUNCTION("GOOGLETRANSLATE(B2863:B2878,""RU"",""UK"")"),"Фреза відрізна Р6М5 63х0,5")</f>
        <v>Фреза відрізна Р6М5 63х0,5</v>
      </c>
      <c r="C28" s="59" t="s">
        <v>6</v>
      </c>
      <c r="D28" s="59">
        <v>6</v>
      </c>
      <c r="E28" s="91" t="s">
        <v>371</v>
      </c>
    </row>
    <row r="29" spans="1:5">
      <c r="A29" s="21">
        <f t="shared" si="0"/>
        <v>28</v>
      </c>
      <c r="B29" s="85" t="str">
        <f ca="1">IFERROR(__xludf.DUMMYFUNCTION("GOOGLETRANSLATE(B2863:B2878,""RU"",""UK"")"),"Фреза відрізна Р6М5 63х0,6")</f>
        <v>Фреза відрізна Р6М5 63х0,6</v>
      </c>
      <c r="C29" s="59" t="s">
        <v>6</v>
      </c>
      <c r="D29" s="59">
        <v>10</v>
      </c>
      <c r="E29" s="91" t="s">
        <v>371</v>
      </c>
    </row>
    <row r="30" spans="1:5">
      <c r="A30" s="21">
        <f t="shared" si="0"/>
        <v>29</v>
      </c>
      <c r="B30" s="85" t="str">
        <f ca="1">IFERROR(__xludf.DUMMYFUNCTION("GOOGLETRANSLATE(B2863:B2878,""RU"",""UK"")"),"Фреза відрізна Р6М5 63х0,8")</f>
        <v>Фреза відрізна Р6М5 63х0,8</v>
      </c>
      <c r="C30" s="59" t="s">
        <v>6</v>
      </c>
      <c r="D30" s="59">
        <v>15</v>
      </c>
      <c r="E30" s="91" t="s">
        <v>371</v>
      </c>
    </row>
    <row r="31" spans="1:5">
      <c r="A31" s="21">
        <f t="shared" si="0"/>
        <v>30</v>
      </c>
      <c r="B31" s="85" t="str">
        <f ca="1">IFERROR(__xludf.DUMMYFUNCTION("GOOGLETRANSLATE(B2864:B2879,""RU"",""UK"")"),"Фреза відрізна Р6М5 63х1,0")</f>
        <v>Фреза відрізна Р6М5 63х1,0</v>
      </c>
      <c r="C31" s="59" t="s">
        <v>6</v>
      </c>
      <c r="D31" s="59">
        <v>78</v>
      </c>
      <c r="E31" s="91" t="s">
        <v>104</v>
      </c>
    </row>
    <row r="32" spans="1:5">
      <c r="A32" s="21">
        <f t="shared" si="0"/>
        <v>31</v>
      </c>
      <c r="B32" s="85" t="str">
        <f ca="1">IFERROR(__xludf.DUMMYFUNCTION("GOOGLETRANSLATE(B2864:B2879,""RU"",""UK"")"),"Фреза відрізна Р6М5 63х1,2")</f>
        <v>Фреза відрізна Р6М5 63х1,2</v>
      </c>
      <c r="C32" s="59" t="s">
        <v>6</v>
      </c>
      <c r="D32" s="59">
        <v>123</v>
      </c>
      <c r="E32" s="91" t="s">
        <v>104</v>
      </c>
    </row>
    <row r="33" spans="1:5">
      <c r="A33" s="21">
        <f t="shared" si="0"/>
        <v>32</v>
      </c>
      <c r="B33" s="85" t="str">
        <f ca="1">IFERROR(__xludf.DUMMYFUNCTION("GOOGLETRANSLATE(B2865:B2880,""RU"",""UK"")"),"Фреза відрізна Р6М5 63х1,6мм")</f>
        <v>Фреза відрізна Р6М5 63х1,6мм</v>
      </c>
      <c r="C33" s="59" t="s">
        <v>6</v>
      </c>
      <c r="D33" s="59">
        <v>135</v>
      </c>
      <c r="E33" s="91" t="s">
        <v>338</v>
      </c>
    </row>
    <row r="34" spans="1:5">
      <c r="A34" s="21">
        <f t="shared" si="0"/>
        <v>33</v>
      </c>
      <c r="B34" s="85" t="str">
        <f ca="1">IFERROR(__xludf.DUMMYFUNCTION("GOOGLETRANSLATE(B2866:B2881,""RU"",""UK"")"),"Фреза відрізна Р6М5 63х2, 0мм")</f>
        <v>Фреза відрізна Р6М5 63х2, 0мм</v>
      </c>
      <c r="C34" s="59" t="s">
        <v>6</v>
      </c>
      <c r="D34" s="59">
        <v>50</v>
      </c>
      <c r="E34" s="91" t="s">
        <v>564</v>
      </c>
    </row>
    <row r="35" spans="1:5">
      <c r="A35" s="21">
        <f t="shared" si="0"/>
        <v>34</v>
      </c>
      <c r="B35" s="164" t="s">
        <v>6339</v>
      </c>
      <c r="C35" s="59" t="s">
        <v>6</v>
      </c>
      <c r="D35" s="59">
        <v>3</v>
      </c>
      <c r="E35" s="91">
        <v>99</v>
      </c>
    </row>
    <row r="36" spans="1:5">
      <c r="A36" s="21">
        <f t="shared" si="0"/>
        <v>35</v>
      </c>
      <c r="B36" s="85" t="str">
        <f ca="1">IFERROR(__xludf.DUMMYFUNCTION("GOOGLETRANSLATE(B2866:B2881,""RU"",""UK"")"),"Фреза відрізна Р6М5 63х2.5мм")</f>
        <v>Фреза відрізна Р6М5 63х2.5мм</v>
      </c>
      <c r="C36" s="59" t="s">
        <v>6</v>
      </c>
      <c r="D36" s="59">
        <v>23</v>
      </c>
      <c r="E36" s="91" t="s">
        <v>564</v>
      </c>
    </row>
    <row r="37" spans="1:5">
      <c r="A37" s="21">
        <f t="shared" si="0"/>
        <v>36</v>
      </c>
      <c r="B37" s="85" t="str">
        <f ca="1">IFERROR(__xludf.DUMMYFUNCTION("GOOGLETRANSLATE(B2867:B2882,""RU"",""UK"")"),"Фреза відрізна Р6М5 63х3, 0мм")</f>
        <v>Фреза відрізна Р6М5 63х3, 0мм</v>
      </c>
      <c r="C37" s="59" t="s">
        <v>6</v>
      </c>
      <c r="D37" s="59">
        <v>21</v>
      </c>
      <c r="E37" s="91" t="s">
        <v>212</v>
      </c>
    </row>
    <row r="38" spans="1:5">
      <c r="A38" s="21">
        <f t="shared" si="0"/>
        <v>37</v>
      </c>
      <c r="B38" s="85" t="str">
        <f ca="1">IFERROR(__xludf.DUMMYFUNCTION("GOOGLETRANSLATE(B2868:B2883,""RU"",""UK"")"),"Фреза відрізна Р6М5 70х1.0/75х1,0мм/75х1.2мм")</f>
        <v>Фреза відрізна Р6М5 70х1.0/75х1,0мм/75х1.2мм</v>
      </c>
      <c r="C38" s="59" t="s">
        <v>6</v>
      </c>
      <c r="D38" s="59" t="s">
        <v>3843</v>
      </c>
      <c r="E38" s="91" t="s">
        <v>212</v>
      </c>
    </row>
    <row r="39" spans="1:5">
      <c r="A39" s="21">
        <f t="shared" si="0"/>
        <v>38</v>
      </c>
      <c r="B39" s="164" t="s">
        <v>6327</v>
      </c>
      <c r="C39" s="59" t="s">
        <v>6</v>
      </c>
      <c r="D39" s="59">
        <v>1</v>
      </c>
      <c r="E39" s="91">
        <v>120</v>
      </c>
    </row>
    <row r="40" spans="1:5">
      <c r="A40" s="21">
        <f t="shared" si="0"/>
        <v>39</v>
      </c>
      <c r="B40" s="164" t="s">
        <v>6326</v>
      </c>
      <c r="C40" s="59" t="s">
        <v>6</v>
      </c>
      <c r="D40" s="59"/>
      <c r="E40" s="91">
        <v>120</v>
      </c>
    </row>
    <row r="41" spans="1:5">
      <c r="A41" s="21">
        <f t="shared" si="0"/>
        <v>40</v>
      </c>
      <c r="B41" s="164" t="str">
        <f ca="1">IFERROR(__xludf.DUMMYFUNCTION("GOOGLETRANSLATE(B2869:B2884,""RU"",""UK"")"),"Фреза відрізна Р9 75х5,0мм")</f>
        <v>Фреза відрізна Р9 75х5,0мм</v>
      </c>
      <c r="C41" s="59" t="s">
        <v>6</v>
      </c>
      <c r="D41" s="59">
        <v>3</v>
      </c>
      <c r="E41" s="91">
        <v>120</v>
      </c>
    </row>
    <row r="42" spans="1:5">
      <c r="A42" s="21">
        <f t="shared" si="0"/>
        <v>41</v>
      </c>
      <c r="B42" s="85" t="str">
        <f ca="1">IFERROR(__xludf.DUMMYFUNCTION("GOOGLETRANSLATE(B2869:B2884,""RU"",""UK"")"),"Фреза відрізна Р6М5 80х1,0мм")</f>
        <v>Фреза відрізна Р6М5 80х1,0мм</v>
      </c>
      <c r="C42" s="59" t="s">
        <v>6</v>
      </c>
      <c r="D42" s="59">
        <v>97</v>
      </c>
      <c r="E42" s="91" t="s">
        <v>212</v>
      </c>
    </row>
    <row r="43" spans="1:5">
      <c r="A43" s="21">
        <f t="shared" si="0"/>
        <v>42</v>
      </c>
      <c r="B43" s="85" t="str">
        <f ca="1">IFERROR(__xludf.DUMMYFUNCTION("GOOGLETRANSLATE(B2870:B2885,""RU"",""UK"")"),"Фреза відрізна Р6М5 80х1, 2мм")</f>
        <v>Фреза відрізна Р6М5 80х1, 2мм</v>
      </c>
      <c r="C43" s="59" t="s">
        <v>6</v>
      </c>
      <c r="D43" s="59">
        <v>59</v>
      </c>
      <c r="E43" s="91" t="s">
        <v>1553</v>
      </c>
    </row>
    <row r="44" spans="1:5">
      <c r="A44" s="21">
        <f t="shared" si="0"/>
        <v>43</v>
      </c>
      <c r="B44" s="85" t="str">
        <f ca="1">IFERROR(__xludf.DUMMYFUNCTION("GOOGLETRANSLATE(B2871:B2886,""RU"",""UK"")"),"Фреза відрізна Р6М5 80х1, 4")</f>
        <v>Фреза відрізна Р6М5 80х1, 4</v>
      </c>
      <c r="C44" s="59" t="s">
        <v>6</v>
      </c>
      <c r="D44" s="59">
        <v>11</v>
      </c>
      <c r="E44" s="91" t="s">
        <v>185</v>
      </c>
    </row>
    <row r="45" spans="1:5">
      <c r="A45" s="21">
        <f t="shared" si="0"/>
        <v>44</v>
      </c>
      <c r="B45" s="164" t="s">
        <v>6330</v>
      </c>
      <c r="C45" s="59" t="s">
        <v>6</v>
      </c>
      <c r="D45" s="59">
        <v>3</v>
      </c>
      <c r="E45" s="91">
        <v>110</v>
      </c>
    </row>
    <row r="46" spans="1:5">
      <c r="A46" s="21">
        <f>A45+1</f>
        <v>45</v>
      </c>
      <c r="B46" s="85" t="str">
        <f ca="1">IFERROR(__xludf.DUMMYFUNCTION("GOOGLETRANSLATE(B2871:B2886,""RU"",""UK"")"),"Фреза відрізна Р6М5 80х1, 6мм")</f>
        <v>Фреза відрізна Р6М5 80х1, 6мм</v>
      </c>
      <c r="C46" s="59" t="s">
        <v>6</v>
      </c>
      <c r="D46" s="59">
        <v>345</v>
      </c>
      <c r="E46" s="91" t="s">
        <v>185</v>
      </c>
    </row>
    <row r="47" spans="1:5">
      <c r="A47" s="21">
        <f t="shared" ref="A47:A56" si="1">A46+1</f>
        <v>46</v>
      </c>
      <c r="B47" s="164" t="s">
        <v>6335</v>
      </c>
      <c r="C47" s="59" t="s">
        <v>6</v>
      </c>
      <c r="D47" s="59">
        <v>1</v>
      </c>
      <c r="E47" s="91">
        <v>130</v>
      </c>
    </row>
    <row r="48" spans="1:5">
      <c r="A48" s="21">
        <f t="shared" si="1"/>
        <v>47</v>
      </c>
      <c r="B48" s="164" t="s">
        <v>6328</v>
      </c>
      <c r="C48" s="59" t="s">
        <v>6</v>
      </c>
      <c r="D48" s="59">
        <v>3</v>
      </c>
      <c r="E48" s="91">
        <v>130</v>
      </c>
    </row>
    <row r="49" spans="1:5">
      <c r="A49" s="21">
        <f t="shared" si="1"/>
        <v>48</v>
      </c>
      <c r="B49" s="85" t="str">
        <f ca="1">IFERROR(__xludf.DUMMYFUNCTION("GOOGLETRANSLATE(B2872:B2887,""RU"",""UK"")"),"Фреза відрізна Р6М5 80х2, 0мм")</f>
        <v>Фреза відрізна Р6М5 80х2, 0мм</v>
      </c>
      <c r="C49" s="59" t="s">
        <v>6</v>
      </c>
      <c r="D49" s="59">
        <v>374</v>
      </c>
      <c r="E49" s="91" t="s">
        <v>136</v>
      </c>
    </row>
    <row r="50" spans="1:5">
      <c r="A50" s="21">
        <f t="shared" si="1"/>
        <v>49</v>
      </c>
      <c r="B50" s="85" t="str">
        <f ca="1">IFERROR(__xludf.DUMMYFUNCTION("GOOGLETRANSLATE(B2873:B2888,""RU"",""UK"")"),"Фреза відрізна Р6М5 80х2, 5мм")</f>
        <v>Фреза відрізна Р6М5 80х2, 5мм</v>
      </c>
      <c r="C50" s="59" t="s">
        <v>6</v>
      </c>
      <c r="D50" s="59">
        <v>124</v>
      </c>
      <c r="E50" s="91" t="s">
        <v>344</v>
      </c>
    </row>
    <row r="51" spans="1:5">
      <c r="A51" s="21">
        <f t="shared" si="1"/>
        <v>50</v>
      </c>
      <c r="B51" s="164" t="s">
        <v>6331</v>
      </c>
      <c r="C51" s="59" t="s">
        <v>6</v>
      </c>
      <c r="D51" s="59">
        <v>6</v>
      </c>
      <c r="E51" s="91">
        <v>130</v>
      </c>
    </row>
    <row r="52" spans="1:5">
      <c r="A52" s="21">
        <f t="shared" si="1"/>
        <v>51</v>
      </c>
      <c r="B52" s="85" t="str">
        <f ca="1">IFERROR(__xludf.DUMMYFUNCTION("GOOGLETRANSLATE(B2873:B2888,""RU"",""UK"")"),"Фреза відрізна Р6М5 80х2.8мм")</f>
        <v>Фреза відрізна Р6М5 80х2.8мм</v>
      </c>
      <c r="C52" s="59" t="s">
        <v>6</v>
      </c>
      <c r="D52" s="59">
        <v>4</v>
      </c>
      <c r="E52" s="91" t="s">
        <v>344</v>
      </c>
    </row>
    <row r="53" spans="1:5">
      <c r="A53" s="21">
        <f t="shared" si="1"/>
        <v>52</v>
      </c>
      <c r="B53" s="85" t="str">
        <f ca="1">IFERROR(__xludf.DUMMYFUNCTION("GOOGLETRANSLATE(B2874:B2889,""RU"",""UK"")"),"Фреза відрізна Р6М5 80х3,0мм")</f>
        <v>Фреза відрізна Р6М5 80х3,0мм</v>
      </c>
      <c r="C53" s="59" t="s">
        <v>6</v>
      </c>
      <c r="D53" s="59">
        <v>184</v>
      </c>
      <c r="E53" s="91" t="s">
        <v>344</v>
      </c>
    </row>
    <row r="54" spans="1:5">
      <c r="A54" s="21">
        <f t="shared" si="1"/>
        <v>53</v>
      </c>
      <c r="B54" s="164" t="s">
        <v>6334</v>
      </c>
      <c r="C54" s="59" t="s">
        <v>6</v>
      </c>
      <c r="D54" s="59">
        <v>1</v>
      </c>
      <c r="E54" s="91">
        <v>130</v>
      </c>
    </row>
    <row r="55" spans="1:5">
      <c r="A55" s="21">
        <f t="shared" si="1"/>
        <v>54</v>
      </c>
      <c r="B55" s="164" t="s">
        <v>6340</v>
      </c>
      <c r="C55" s="59" t="s">
        <v>6</v>
      </c>
      <c r="D55" s="59">
        <v>6</v>
      </c>
      <c r="E55" s="91">
        <v>130</v>
      </c>
    </row>
    <row r="56" spans="1:5">
      <c r="A56" s="21">
        <f t="shared" si="1"/>
        <v>55</v>
      </c>
      <c r="B56" s="85" t="str">
        <f ca="1">IFERROR(__xludf.DUMMYFUNCTION("GOOGLETRANSLATE(B2875:B2890,""RU"",""UK"")"),"Фреза відрізна Р6М5 80х3, 5мм")</f>
        <v>Фреза відрізна Р6М5 80х3, 5мм</v>
      </c>
      <c r="C56" s="59" t="s">
        <v>6</v>
      </c>
      <c r="D56" s="59">
        <v>120</v>
      </c>
      <c r="E56" s="91" t="s">
        <v>344</v>
      </c>
    </row>
    <row r="57" spans="1:5">
      <c r="A57" s="21">
        <f t="shared" si="0"/>
        <v>56</v>
      </c>
      <c r="B57" s="85" t="str">
        <f ca="1">IFERROR(__xludf.DUMMYFUNCTION("GOOGLETRANSLATE(B2876:B2891,""RU"",""UK"")"),"Фреза відрізна Р6М5 80х4.0мм")</f>
        <v>Фреза відрізна Р6М5 80х4.0мм</v>
      </c>
      <c r="C57" s="59" t="s">
        <v>6</v>
      </c>
      <c r="D57" s="59">
        <v>18</v>
      </c>
      <c r="E57" s="91">
        <v>130</v>
      </c>
    </row>
    <row r="58" spans="1:5">
      <c r="A58" s="21">
        <f t="shared" si="0"/>
        <v>57</v>
      </c>
      <c r="B58" s="164" t="s">
        <v>6341</v>
      </c>
      <c r="C58" s="59" t="s">
        <v>6</v>
      </c>
      <c r="D58" s="59">
        <v>2</v>
      </c>
      <c r="E58" s="91">
        <v>150</v>
      </c>
    </row>
    <row r="59" spans="1:5">
      <c r="A59" s="21">
        <f t="shared" si="0"/>
        <v>58</v>
      </c>
      <c r="B59" s="85" t="str">
        <f ca="1">IFERROR(__xludf.DUMMYFUNCTION("GOOGLETRANSLATE(B2877:B2892,""RU"",""UK"")"),"Фреза відрізна Р6М5 100х1,0мм")</f>
        <v>Фреза відрізна Р6М5 100х1,0мм</v>
      </c>
      <c r="C59" s="59" t="s">
        <v>6</v>
      </c>
      <c r="D59" s="59">
        <v>125</v>
      </c>
      <c r="E59" s="91" t="s">
        <v>539</v>
      </c>
    </row>
    <row r="60" spans="1:5">
      <c r="A60" s="21">
        <f t="shared" si="0"/>
        <v>59</v>
      </c>
      <c r="B60" s="85" t="str">
        <f ca="1">IFERROR(__xludf.DUMMYFUNCTION("GOOGLETRANSLATE(B2878:B2893,""RU"",""UK"")"),"Фреза відрізна Р6М5 100х1,2мм")</f>
        <v>Фреза відрізна Р6М5 100х1,2мм</v>
      </c>
      <c r="C60" s="59" t="s">
        <v>6</v>
      </c>
      <c r="D60" s="59">
        <v>115</v>
      </c>
      <c r="E60" s="91" t="s">
        <v>2404</v>
      </c>
    </row>
    <row r="61" spans="1:5">
      <c r="A61" s="21">
        <f t="shared" si="0"/>
        <v>60</v>
      </c>
      <c r="B61" s="85" t="str">
        <f ca="1">IFERROR(__xludf.DUMMYFUNCTION("GOOGLETRANSLATE(B2878:B2893,""RU"",""UK"")"),"Фреза відрізна Р6М5 100х1.4мм")</f>
        <v>Фреза відрізна Р6М5 100х1.4мм</v>
      </c>
      <c r="C61" s="59" t="s">
        <v>6</v>
      </c>
      <c r="D61" s="59">
        <v>11</v>
      </c>
      <c r="E61" s="91" t="s">
        <v>2404</v>
      </c>
    </row>
    <row r="62" spans="1:5">
      <c r="A62" s="21">
        <f t="shared" si="0"/>
        <v>61</v>
      </c>
      <c r="B62" s="85" t="str">
        <f ca="1">IFERROR(__xludf.DUMMYFUNCTION("GOOGLETRANSLATE(B2879:B2894,""RU"",""UK"")"),"Фреза відрізна Р6М5 100х1, 6мм")</f>
        <v>Фреза відрізна Р6М5 100х1, 6мм</v>
      </c>
      <c r="C62" s="59" t="s">
        <v>6</v>
      </c>
      <c r="D62" s="59">
        <v>126</v>
      </c>
      <c r="E62" s="91" t="s">
        <v>319</v>
      </c>
    </row>
    <row r="63" spans="1:5">
      <c r="A63" s="21">
        <f t="shared" si="0"/>
        <v>62</v>
      </c>
      <c r="B63" s="85" t="str">
        <f ca="1">IFERROR(__xludf.DUMMYFUNCTION("GOOGLETRANSLATE(B2880:B2895,""RU"",""UK"")"),"Фреза відрізна Р6М5 100х2, 0мм")</f>
        <v>Фреза відрізна Р6М5 100х2, 0мм</v>
      </c>
      <c r="C63" s="59" t="s">
        <v>6</v>
      </c>
      <c r="D63" s="59">
        <v>115</v>
      </c>
      <c r="E63" s="91" t="s">
        <v>515</v>
      </c>
    </row>
    <row r="64" spans="1:5">
      <c r="A64" s="21">
        <f t="shared" si="0"/>
        <v>63</v>
      </c>
      <c r="B64" s="85" t="str">
        <f ca="1">IFERROR(__xludf.DUMMYFUNCTION("GOOGLETRANSLATE(B2881:B2896,""RU"",""UK"")"),"Фреза відрізна Р6М5 100х2, 5мм")</f>
        <v>Фреза відрізна Р6М5 100х2, 5мм</v>
      </c>
      <c r="C64" s="59" t="s">
        <v>6</v>
      </c>
      <c r="D64" s="59">
        <v>67</v>
      </c>
      <c r="E64" s="91" t="s">
        <v>327</v>
      </c>
    </row>
    <row r="65" spans="1:5">
      <c r="A65" s="21">
        <f t="shared" si="0"/>
        <v>64</v>
      </c>
      <c r="B65" s="85" t="str">
        <f ca="1">IFERROR(__xludf.DUMMYFUNCTION("GOOGLETRANSLATE(B2881:B2896,""RU"",""UK"")"),"Фреза відрізна Р6М5 100х2. 8мм")</f>
        <v>Фреза відрізна Р6М5 100х2. 8мм</v>
      </c>
      <c r="C65" s="59" t="s">
        <v>6</v>
      </c>
      <c r="D65" s="59">
        <v>1</v>
      </c>
      <c r="E65" s="91">
        <v>222</v>
      </c>
    </row>
    <row r="66" spans="1:5">
      <c r="A66" s="21">
        <f t="shared" si="0"/>
        <v>65</v>
      </c>
      <c r="B66" s="85" t="str">
        <f ca="1">IFERROR(__xludf.DUMMYFUNCTION("GOOGLETRANSLATE(B2882:B2897,""RU"",""UK"")"),"Фреза відрізна Р6М5 100х3, 0мм")</f>
        <v>Фреза відрізна Р6М5 100х3, 0мм</v>
      </c>
      <c r="C66" s="59" t="s">
        <v>6</v>
      </c>
      <c r="D66" s="59">
        <v>7</v>
      </c>
      <c r="E66" s="91" t="s">
        <v>140</v>
      </c>
    </row>
    <row r="67" spans="1:5">
      <c r="A67" s="21">
        <f t="shared" si="0"/>
        <v>66</v>
      </c>
      <c r="B67" s="85" t="str">
        <f ca="1">IFERROR(__xludf.DUMMYFUNCTION("GOOGLETRANSLATE(B2882:B2897,""RU"",""UK"")"),"Фреза відрізна Р6М5 100х3, 5мм")</f>
        <v>Фреза відрізна Р6М5 100х3, 5мм</v>
      </c>
      <c r="C67" s="59" t="s">
        <v>6</v>
      </c>
      <c r="D67" s="59">
        <v>20</v>
      </c>
      <c r="E67" s="91" t="s">
        <v>140</v>
      </c>
    </row>
    <row r="68" spans="1:5">
      <c r="A68" s="21">
        <f t="shared" si="0"/>
        <v>67</v>
      </c>
      <c r="B68" s="85" t="str">
        <f ca="1">IFERROR(__xludf.DUMMYFUNCTION("GOOGLETRANSLATE(B2883:B2898,""RU"",""UK"")"),"Фреза відрізна Р6М5 100х4, 0мм")</f>
        <v>Фреза відрізна Р6М5 100х4, 0мм</v>
      </c>
      <c r="C68" s="59" t="s">
        <v>6</v>
      </c>
      <c r="D68" s="59">
        <v>36</v>
      </c>
      <c r="E68" s="91" t="s">
        <v>569</v>
      </c>
    </row>
    <row r="69" spans="1:5">
      <c r="A69" s="21">
        <f t="shared" si="0"/>
        <v>68</v>
      </c>
      <c r="B69" s="85" t="str">
        <f ca="1">IFERROR(__xludf.DUMMYFUNCTION("GOOGLETRANSLATE(B2884:B2899,""RU"",""UK"")"),"Фреза відрізна Р6М5 125х1, 4мм тип 2")</f>
        <v>Фреза відрізна Р6М5 125х1, 4мм тип 2</v>
      </c>
      <c r="C69" s="59" t="s">
        <v>6</v>
      </c>
      <c r="D69" s="59">
        <v>4</v>
      </c>
      <c r="E69" s="91" t="s">
        <v>24</v>
      </c>
    </row>
    <row r="70" spans="1:5">
      <c r="A70" s="21">
        <f t="shared" si="0"/>
        <v>69</v>
      </c>
      <c r="B70" s="85" t="str">
        <f ca="1">IFERROR(__xludf.DUMMYFUNCTION("GOOGLETRANSLATE(B2885:B2900,""RU"",""UK"")"),"Фреза відрізна Р6М5 125х1, 6мм")</f>
        <v>Фреза відрізна Р6М5 125х1, 6мм</v>
      </c>
      <c r="C70" s="59" t="s">
        <v>6</v>
      </c>
      <c r="D70" s="59">
        <v>73</v>
      </c>
      <c r="E70" s="91" t="s">
        <v>24</v>
      </c>
    </row>
    <row r="71" spans="1:5">
      <c r="A71" s="21">
        <f t="shared" si="0"/>
        <v>70</v>
      </c>
      <c r="B71" s="85" t="str">
        <f ca="1">IFERROR(__xludf.DUMMYFUNCTION("GOOGLETRANSLATE(B2886:B2901,""RU"",""UK"")"),"Фреза відрізна Р6М5 125х2, 0мм / 125х2 тип 1")</f>
        <v>Фреза відрізна Р6М5 125х2, 0мм / 125х2 тип 1</v>
      </c>
      <c r="C71" s="59" t="s">
        <v>6</v>
      </c>
      <c r="D71" s="59" t="s">
        <v>6333</v>
      </c>
      <c r="E71" s="91" t="s">
        <v>162</v>
      </c>
    </row>
    <row r="72" spans="1:5">
      <c r="A72" s="21">
        <f t="shared" si="0"/>
        <v>71</v>
      </c>
      <c r="B72" s="85" t="str">
        <f ca="1">IFERROR(__xludf.DUMMYFUNCTION("GOOGLETRANSLATE(B2887:B2902,""RU"",""UK"")"),"Фреза відрізна Р6М5 125х2, 5мм / 125х2, 5 тип 3")</f>
        <v>Фреза відрізна Р6М5 125х2, 5мм / 125х2, 5 тип 3</v>
      </c>
      <c r="C72" s="59" t="s">
        <v>6</v>
      </c>
      <c r="D72" s="59" t="s">
        <v>1993</v>
      </c>
      <c r="E72" s="91" t="s">
        <v>106</v>
      </c>
    </row>
    <row r="73" spans="1:5">
      <c r="A73" s="21">
        <f t="shared" si="0"/>
        <v>72</v>
      </c>
      <c r="B73" s="85" t="str">
        <f ca="1">IFERROR(__xludf.DUMMYFUNCTION("GOOGLETRANSLATE(B2888:B2903,""RU"",""UK"")"),"Фреза відрізна Р6М5 125х3, 0мм Тип 1")</f>
        <v>Фреза відрізна Р6М5 125х3, 0мм Тип 1</v>
      </c>
      <c r="C73" s="59" t="s">
        <v>6</v>
      </c>
      <c r="D73" s="59">
        <v>4</v>
      </c>
      <c r="E73" s="91" t="s">
        <v>16</v>
      </c>
    </row>
    <row r="74" spans="1:5">
      <c r="A74" s="21">
        <f t="shared" si="0"/>
        <v>73</v>
      </c>
      <c r="B74" s="85" t="str">
        <f ca="1">IFERROR(__xludf.DUMMYFUNCTION("GOOGLETRANSLATE(B2889:B2904,""RU"",""UK"")"),"Фреза відрізна Р6М5 125х3, 5мм")</f>
        <v>Фреза відрізна Р6М5 125х3, 5мм</v>
      </c>
      <c r="C74" s="59" t="s">
        <v>6</v>
      </c>
      <c r="D74" s="59">
        <v>28</v>
      </c>
      <c r="E74" s="91" t="s">
        <v>16</v>
      </c>
    </row>
    <row r="75" spans="1:5">
      <c r="A75" s="21">
        <f t="shared" si="0"/>
        <v>74</v>
      </c>
      <c r="B75" s="85" t="str">
        <f ca="1">IFERROR(__xludf.DUMMYFUNCTION("GOOGLETRANSLATE(B2890:B2905,""RU"",""UK"")"),"Фреза відрізна Р6М5 125х4, 0мм")</f>
        <v>Фреза відрізна Р6М5 125х4, 0мм</v>
      </c>
      <c r="C75" s="59" t="s">
        <v>6</v>
      </c>
      <c r="D75" s="59">
        <v>18</v>
      </c>
      <c r="E75" s="91" t="s">
        <v>1771</v>
      </c>
    </row>
    <row r="76" spans="1:5">
      <c r="A76" s="21">
        <f t="shared" si="0"/>
        <v>75</v>
      </c>
      <c r="B76" s="85" t="str">
        <f ca="1">IFERROR(__xludf.DUMMYFUNCTION("GOOGLETRANSLATE(B2891:B2906,""RU"",""UK"")"),"Фреза відрізна Р6М5 160х1, 6мм")</f>
        <v>Фреза відрізна Р6М5 160х1, 6мм</v>
      </c>
      <c r="C76" s="59" t="s">
        <v>6</v>
      </c>
      <c r="D76" s="59">
        <v>5</v>
      </c>
      <c r="E76" s="91" t="s">
        <v>413</v>
      </c>
    </row>
    <row r="77" spans="1:5">
      <c r="A77" s="21">
        <f t="shared" si="0"/>
        <v>76</v>
      </c>
      <c r="B77" s="85" t="str">
        <f ca="1">IFERROR(__xludf.DUMMYFUNCTION("GOOGLETRANSLATE(B2892:B2907,""RU"",""UK"")"),"Фреза відрізна Р6М5 160х2, 0мм")</f>
        <v>Фреза відрізна Р6М5 160х2, 0мм</v>
      </c>
      <c r="C77" s="59" t="s">
        <v>6</v>
      </c>
      <c r="D77" s="59">
        <v>1</v>
      </c>
      <c r="E77" s="91" t="s">
        <v>36</v>
      </c>
    </row>
    <row r="78" spans="1:5">
      <c r="A78" s="21">
        <f t="shared" si="0"/>
        <v>77</v>
      </c>
      <c r="B78" s="85" t="str">
        <f ca="1">IFERROR(__xludf.DUMMYFUNCTION("GOOGLETRANSLATE(B2893:B2908,""RU"",""UK"")"),"Фреза відрізна Р6М5 160х2, 5мм")</f>
        <v>Фреза відрізна Р6М5 160х2, 5мм</v>
      </c>
      <c r="C78" s="59" t="s">
        <v>6</v>
      </c>
      <c r="D78" s="59">
        <v>2</v>
      </c>
      <c r="E78" s="91" t="s">
        <v>27</v>
      </c>
    </row>
    <row r="79" spans="1:5">
      <c r="A79" s="21">
        <f t="shared" si="0"/>
        <v>78</v>
      </c>
      <c r="B79" s="85" t="str">
        <f ca="1">IFERROR(__xludf.DUMMYFUNCTION("GOOGLETRANSLATE(B2894:B2909,""RU"",""UK"")"),"Фреза відрізна Р6М5 160х3, 0мм")</f>
        <v>Фреза відрізна Р6М5 160х3, 0мм</v>
      </c>
      <c r="C79" s="59" t="s">
        <v>6</v>
      </c>
      <c r="D79" s="59">
        <v>13</v>
      </c>
      <c r="E79" s="91" t="s">
        <v>27</v>
      </c>
    </row>
    <row r="80" spans="1:5">
      <c r="A80" s="21">
        <f t="shared" si="0"/>
        <v>79</v>
      </c>
      <c r="B80" s="85" t="str">
        <f ca="1">IFERROR(__xludf.DUMMYFUNCTION("GOOGLETRANSLATE(B2895:B2910,""RU"",""UK"")"),"Фреза відрізна Р6М5 160х3, 5мм")</f>
        <v>Фреза відрізна Р6М5 160х3, 5мм</v>
      </c>
      <c r="C80" s="59" t="s">
        <v>6</v>
      </c>
      <c r="D80" s="59">
        <v>18</v>
      </c>
      <c r="E80" s="91" t="s">
        <v>27</v>
      </c>
    </row>
    <row r="81" spans="1:5">
      <c r="A81" s="21">
        <f t="shared" si="0"/>
        <v>80</v>
      </c>
      <c r="B81" s="85" t="str">
        <f ca="1">IFERROR(__xludf.DUMMYFUNCTION("GOOGLETRANSLATE(B2896:B2911,""RU"",""UK"")"),"Фреза відрізна Р6М5 160х4,0мм")</f>
        <v>Фреза відрізна Р6М5 160х4,0мм</v>
      </c>
      <c r="C81" s="59" t="s">
        <v>6</v>
      </c>
      <c r="D81" s="59">
        <v>6</v>
      </c>
      <c r="E81" s="91" t="s">
        <v>842</v>
      </c>
    </row>
    <row r="82" spans="1:5">
      <c r="A82" s="21">
        <f t="shared" si="0"/>
        <v>81</v>
      </c>
      <c r="B82" s="85" t="str">
        <f ca="1">IFERROR(__xludf.DUMMYFUNCTION("GOOGLETRANSLATE(B2896:B2911,""RU"",""UK"")"),"Фреза відрізна Р6М5 160х4,5мм")</f>
        <v>Фреза відрізна Р6М5 160х4,5мм</v>
      </c>
      <c r="C82" s="59" t="s">
        <v>6</v>
      </c>
      <c r="D82" s="59">
        <v>4</v>
      </c>
      <c r="E82" s="91" t="s">
        <v>842</v>
      </c>
    </row>
    <row r="83" spans="1:5">
      <c r="A83" s="21">
        <f t="shared" si="0"/>
        <v>82</v>
      </c>
      <c r="B83" s="85" t="str">
        <f ca="1">IFERROR(__xludf.DUMMYFUNCTION("GOOGLETRANSLATE(B2897:B2912,""RU"",""UK"")"),"Фреза відрізна Р6М5 200х2, 5мм")</f>
        <v>Фреза відрізна Р6М5 200х2, 5мм</v>
      </c>
      <c r="C83" s="59" t="s">
        <v>6</v>
      </c>
      <c r="D83" s="59">
        <v>4</v>
      </c>
      <c r="E83" s="91" t="s">
        <v>100</v>
      </c>
    </row>
    <row r="84" spans="1:5">
      <c r="A84" s="21">
        <f t="shared" si="0"/>
        <v>83</v>
      </c>
      <c r="B84" s="85" t="str">
        <f ca="1">IFERROR(__xludf.DUMMYFUNCTION("GOOGLETRANSLATE(B2898:B2913,""RU"",""UK"")"),"Фреза відрізна Р6М5 200х3, 0мм")</f>
        <v>Фреза відрізна Р6М5 200х3, 0мм</v>
      </c>
      <c r="C84" s="59" t="s">
        <v>6</v>
      </c>
      <c r="D84" s="59">
        <v>3</v>
      </c>
      <c r="E84" s="91" t="s">
        <v>283</v>
      </c>
    </row>
    <row r="85" spans="1:5">
      <c r="A85" s="21">
        <f t="shared" si="0"/>
        <v>84</v>
      </c>
      <c r="B85" s="85" t="str">
        <f ca="1">IFERROR(__xludf.DUMMYFUNCTION("GOOGLETRANSLATE(B2899:B2914,""RU"",""UK"")"),"Фреза відрізна Р6М5 200х3, 5мм")</f>
        <v>Фреза відрізна Р6М5 200х3, 5мм</v>
      </c>
      <c r="C85" s="59" t="s">
        <v>6</v>
      </c>
      <c r="D85" s="59">
        <v>35</v>
      </c>
      <c r="E85" s="91" t="s">
        <v>1874</v>
      </c>
    </row>
    <row r="86" spans="1:5">
      <c r="A86" s="21">
        <f t="shared" si="0"/>
        <v>85</v>
      </c>
      <c r="B86" s="85" t="str">
        <f ca="1">IFERROR(__xludf.DUMMYFUNCTION("GOOGLETRANSLATE(B2900:B2915,""RU"",""UK"")"),"Фреза відрізна Р6М5 200х4, 0мм")</f>
        <v>Фреза відрізна Р6М5 200х4, 0мм</v>
      </c>
      <c r="C86" s="59" t="s">
        <v>6</v>
      </c>
      <c r="D86" s="59">
        <v>9</v>
      </c>
      <c r="E86" s="91" t="s">
        <v>102</v>
      </c>
    </row>
    <row r="87" spans="1:5">
      <c r="A87" s="21">
        <f t="shared" si="0"/>
        <v>86</v>
      </c>
      <c r="B87" s="85" t="str">
        <f ca="1">IFERROR(__xludf.DUMMYFUNCTION("GOOGLETRANSLATE(B2901:B2916,""RU"",""UK"")"),"Фреза відрізна Р6М5 200х4, 5мм")</f>
        <v>Фреза відрізна Р6М5 200х4, 5мм</v>
      </c>
      <c r="C87" s="59" t="s">
        <v>6</v>
      </c>
      <c r="D87" s="59">
        <v>35</v>
      </c>
      <c r="E87" s="91" t="s">
        <v>1086</v>
      </c>
    </row>
    <row r="88" spans="1:5">
      <c r="A88" s="21">
        <f t="shared" si="0"/>
        <v>87</v>
      </c>
      <c r="B88" s="85" t="str">
        <f ca="1">IFERROR(__xludf.DUMMYFUNCTION("GOOGLETRANSLATE(B2902:B2917,""RU"",""UK"")"),"Фреза відрізна Р6М5 200х5,0мм")</f>
        <v>Фреза відрізна Р6М5 200х5,0мм</v>
      </c>
      <c r="C88" s="59" t="s">
        <v>6</v>
      </c>
      <c r="D88" s="59">
        <v>36</v>
      </c>
      <c r="E88" s="91">
        <v>990</v>
      </c>
    </row>
    <row r="89" spans="1:5">
      <c r="A89" s="21">
        <f t="shared" si="0"/>
        <v>88</v>
      </c>
      <c r="B89" s="85" t="str">
        <f ca="1">IFERROR(__xludf.DUMMYFUNCTION("GOOGLETRANSLATE(B2903:B2918,""RU"",""UK"")"),"Фреза відрізна Р6М5 200х5, 5мм")</f>
        <v>Фреза відрізна Р6М5 200х5, 5мм</v>
      </c>
      <c r="C89" s="59" t="s">
        <v>6</v>
      </c>
      <c r="D89" s="59">
        <v>2</v>
      </c>
      <c r="E89" s="91" t="s">
        <v>88</v>
      </c>
    </row>
    <row r="90" spans="1:5">
      <c r="A90" s="21">
        <f t="shared" ref="A90:A91" si="2">A89+1</f>
        <v>89</v>
      </c>
      <c r="B90" s="85" t="str">
        <f ca="1">IFERROR(__xludf.DUMMYFUNCTION("GOOGLETRANSLATE(B2904:B2919,""RU"",""UK"")"),"Фреза відрізна Р6М5 200х6, 0мм")</f>
        <v>Фреза відрізна Р6М5 200х6, 0мм</v>
      </c>
      <c r="C90" s="59" t="s">
        <v>6</v>
      </c>
      <c r="D90" s="59">
        <v>2</v>
      </c>
      <c r="E90" s="91">
        <v>1260</v>
      </c>
    </row>
    <row r="91" spans="1:5">
      <c r="A91" s="21">
        <f t="shared" si="2"/>
        <v>90</v>
      </c>
      <c r="B91" s="85" t="str">
        <f ca="1">IFERROR(__xludf.DUMMYFUNCTION("GOOGLETRANSLATE(B2904:B2919,""RU"",""UK"")"),"Фреза відрізна Р6М5 200х4,5-6, 0мм вживані")</f>
        <v>Фреза відрізна Р6М5 200х4,5-6, 0мм вживані</v>
      </c>
      <c r="C91" s="59" t="s">
        <v>6</v>
      </c>
      <c r="D91" s="59">
        <v>9</v>
      </c>
      <c r="E91" s="91">
        <v>350</v>
      </c>
    </row>
    <row r="92" spans="1:5">
      <c r="A92" s="68"/>
      <c r="B92" s="110" t="s">
        <v>6041</v>
      </c>
      <c r="C92" s="69"/>
      <c r="D92" s="69"/>
      <c r="E92" s="106"/>
    </row>
    <row r="93" spans="1:5">
      <c r="A93" s="21">
        <v>1</v>
      </c>
      <c r="B93" s="85" t="str">
        <f ca="1">IFERROR(__xludf.DUMMYFUNCTION("GOOGLETRANSLATE(B2906:B2921,""RU"",""UK"")"),"Фреза шпонкова М2 ц/хв")</f>
        <v>Фреза шпонкова М2 ц/хв</v>
      </c>
      <c r="C93" s="59" t="s">
        <v>6</v>
      </c>
      <c r="D93" s="59">
        <v>319</v>
      </c>
      <c r="E93" s="91" t="s">
        <v>292</v>
      </c>
    </row>
    <row r="94" spans="1:5">
      <c r="A94" s="21">
        <f>A93+1</f>
        <v>2</v>
      </c>
      <c r="B94" s="85" t="str">
        <f ca="1">IFERROR(__xludf.DUMMYFUNCTION("GOOGLETRANSLATE(B2907:B2922,""RU"",""UK"")"),"Фреза шпонкова М3 ц/хв")</f>
        <v>Фреза шпонкова М3 ц/хв</v>
      </c>
      <c r="C94" s="59" t="s">
        <v>6</v>
      </c>
      <c r="D94" s="59">
        <v>313</v>
      </c>
      <c r="E94" s="91" t="s">
        <v>134</v>
      </c>
    </row>
    <row r="95" spans="1:5">
      <c r="A95" s="21">
        <f t="shared" ref="A95:A121" si="3">A94+1</f>
        <v>3</v>
      </c>
      <c r="B95" s="85" t="str">
        <f ca="1">IFERROR(__xludf.DUMMYFUNCTION("GOOGLETRANSLATE(B2908:B2923,""RU"",""UK"")"),"Фреза шпонкова М4 ц/хв")</f>
        <v>Фреза шпонкова М4 ц/хв</v>
      </c>
      <c r="C95" s="59" t="s">
        <v>6</v>
      </c>
      <c r="D95" s="59">
        <v>560</v>
      </c>
      <c r="E95" s="91" t="s">
        <v>169</v>
      </c>
    </row>
    <row r="96" spans="1:5">
      <c r="A96" s="21">
        <f t="shared" si="3"/>
        <v>4</v>
      </c>
      <c r="B96" s="85" t="str">
        <f ca="1">IFERROR(__xludf.DUMMYFUNCTION("GOOGLETRANSLATE(B2909:B2924,""RU"",""UK"")"),"Фреза шпонкова М5 ц/хв")</f>
        <v>Фреза шпонкова М5 ц/хв</v>
      </c>
      <c r="C96" s="59" t="s">
        <v>6</v>
      </c>
      <c r="D96" s="59">
        <v>139</v>
      </c>
      <c r="E96" s="91" t="s">
        <v>255</v>
      </c>
    </row>
    <row r="97" spans="1:5">
      <c r="A97" s="21">
        <f t="shared" si="3"/>
        <v>5</v>
      </c>
      <c r="B97" s="85" t="str">
        <f ca="1">IFERROR(__xludf.DUMMYFUNCTION("GOOGLETRANSLATE(B2910:B2925,""RU"",""UK"")"),"Фреза шпонкова М6 ц/хв")</f>
        <v>Фреза шпонкова М6 ц/хв</v>
      </c>
      <c r="C97" s="59" t="s">
        <v>6</v>
      </c>
      <c r="D97" s="59">
        <v>577</v>
      </c>
      <c r="E97" s="91">
        <v>84</v>
      </c>
    </row>
    <row r="98" spans="1:5">
      <c r="A98" s="21">
        <f t="shared" si="3"/>
        <v>6</v>
      </c>
      <c r="B98" s="85" t="str">
        <f ca="1">IFERROR(__xludf.DUMMYFUNCTION("GOOGLETRANSLATE(B2910:B2925,""RU"",""UK"")"),"Фреза шпонкова М6,6ц/хв")</f>
        <v>Фреза шпонкова М6,6ц/хв</v>
      </c>
      <c r="C98" s="59" t="s">
        <v>6</v>
      </c>
      <c r="D98" s="59">
        <v>20</v>
      </c>
      <c r="E98" s="91">
        <v>84</v>
      </c>
    </row>
    <row r="99" spans="1:5">
      <c r="A99" s="21">
        <f t="shared" si="3"/>
        <v>7</v>
      </c>
      <c r="B99" s="85" t="str">
        <f ca="1">IFERROR(__xludf.DUMMYFUNCTION("GOOGLETRANSLATE(B2911:B2926,""RU"",""UK"")"),"Фреза шпонкова М7 ц/хв")</f>
        <v>Фреза шпонкова М7 ц/хв</v>
      </c>
      <c r="C99" s="59" t="s">
        <v>6</v>
      </c>
      <c r="D99" s="59">
        <v>29</v>
      </c>
      <c r="E99" s="91" t="s">
        <v>185</v>
      </c>
    </row>
    <row r="100" spans="1:5">
      <c r="A100" s="21">
        <f t="shared" si="3"/>
        <v>8</v>
      </c>
      <c r="B100" s="169" t="str">
        <f ca="1">IFERROR(__xludf.DUMMYFUNCTION("GOOGLETRANSLATE(B2911:B2926,""RU"",""UK"")"),"Фреза шпонкова М8 ц/хв")</f>
        <v>Фреза шпонкова М8 ц/хв</v>
      </c>
      <c r="C100" s="59" t="s">
        <v>6</v>
      </c>
      <c r="D100" s="59">
        <v>25</v>
      </c>
      <c r="E100" s="91" t="s">
        <v>185</v>
      </c>
    </row>
    <row r="101" spans="1:5">
      <c r="A101" s="21">
        <f t="shared" si="3"/>
        <v>9</v>
      </c>
      <c r="B101" s="85" t="str">
        <f ca="1">IFERROR(__xludf.DUMMYFUNCTION("GOOGLETRANSLATE(B2912:B2927,""RU"",""UK"")"),"Фреза шпонкова М10 ц/хв")</f>
        <v>Фреза шпонкова М10 ц/хв</v>
      </c>
      <c r="C101" s="59" t="s">
        <v>6</v>
      </c>
      <c r="D101" s="59">
        <v>57</v>
      </c>
      <c r="E101" s="91" t="s">
        <v>344</v>
      </c>
    </row>
    <row r="102" spans="1:5">
      <c r="A102" s="21">
        <f t="shared" si="3"/>
        <v>10</v>
      </c>
      <c r="B102" s="169" t="str">
        <f ca="1">IFERROR(__xludf.DUMMYFUNCTION("GOOGLETRANSLATE(B2913:B2928,""RU"",""UK"")"),"Фреза шпонкова М12 ц/хв")</f>
        <v>Фреза шпонкова М12 ц/хв</v>
      </c>
      <c r="C102" s="59" t="s">
        <v>6</v>
      </c>
      <c r="D102" s="59">
        <v>19</v>
      </c>
      <c r="E102" s="91" t="s">
        <v>539</v>
      </c>
    </row>
    <row r="103" spans="1:5">
      <c r="A103" s="21">
        <f t="shared" si="3"/>
        <v>11</v>
      </c>
      <c r="B103" s="85" t="str">
        <f ca="1">IFERROR(__xludf.DUMMYFUNCTION("GOOGLETRANSLATE(B2913:B2928,""RU"",""UK"")"),"Фреза шпонкова М13 ц/хв")</f>
        <v>Фреза шпонкова М13 ц/хв</v>
      </c>
      <c r="C103" s="59" t="s">
        <v>6</v>
      </c>
      <c r="D103" s="59">
        <v>0</v>
      </c>
      <c r="E103" s="91" t="s">
        <v>539</v>
      </c>
    </row>
    <row r="104" spans="1:5">
      <c r="A104" s="21">
        <f t="shared" si="3"/>
        <v>12</v>
      </c>
      <c r="B104" s="85" t="str">
        <f ca="1">IFERROR(__xludf.DUMMYFUNCTION("GOOGLETRANSLATE(B2914:B2929,""RU"",""UK"")"),"Фреза шпонкова М14 ц/хв")</f>
        <v>Фреза шпонкова М14 ц/хв</v>
      </c>
      <c r="C104" s="59" t="s">
        <v>6</v>
      </c>
      <c r="D104" s="59">
        <v>15</v>
      </c>
      <c r="E104" s="91" t="s">
        <v>319</v>
      </c>
    </row>
    <row r="105" spans="1:5">
      <c r="A105" s="21">
        <f t="shared" si="3"/>
        <v>13</v>
      </c>
      <c r="B105" s="85" t="str">
        <f ca="1">IFERROR(__xludf.DUMMYFUNCTION("GOOGLETRANSLATE(B2915:B2930,""RU"",""UK"")"),"Фреза шпонкова М16 ц/хв")</f>
        <v>Фреза шпонкова М16 ц/хв</v>
      </c>
      <c r="C105" s="59" t="s">
        <v>6</v>
      </c>
      <c r="D105" s="59">
        <v>10</v>
      </c>
      <c r="E105" s="91">
        <v>160</v>
      </c>
    </row>
    <row r="106" spans="1:5">
      <c r="A106" s="21">
        <f t="shared" si="3"/>
        <v>14</v>
      </c>
      <c r="B106" s="85" t="str">
        <f ca="1">IFERROR(__xludf.DUMMYFUNCTION("GOOGLETRANSLATE(B2916:B2931,""RU"",""UK"")"),"Фреза шпонкова М18 ц/хв")</f>
        <v>Фреза шпонкова М18 ц/хв</v>
      </c>
      <c r="C106" s="59" t="s">
        <v>6</v>
      </c>
      <c r="D106" s="59">
        <v>64</v>
      </c>
      <c r="E106" s="91" t="s">
        <v>263</v>
      </c>
    </row>
    <row r="107" spans="1:5">
      <c r="A107" s="21">
        <f t="shared" si="3"/>
        <v>15</v>
      </c>
      <c r="B107" s="85" t="str">
        <f ca="1">IFERROR(__xludf.DUMMYFUNCTION("GOOGLETRANSLATE(B2917:B2932,""RU"",""UK"")"),"Фреза шпонкова М20 ц/хв")</f>
        <v>Фреза шпонкова М20 ц/хв</v>
      </c>
      <c r="C107" s="59" t="s">
        <v>6</v>
      </c>
      <c r="D107" s="59">
        <v>3</v>
      </c>
      <c r="E107" s="91" t="s">
        <v>1688</v>
      </c>
    </row>
    <row r="108" spans="1:5">
      <c r="A108" s="21">
        <f t="shared" si="3"/>
        <v>16</v>
      </c>
      <c r="B108" s="85" t="str">
        <f ca="1">IFERROR(__xludf.DUMMYFUNCTION("GOOGLETRANSLATE(B2918:B2933,""RU"",""UK"")"),"Фреза шпонкова М12 к/хв")</f>
        <v>Фреза шпонкова М12 к/хв</v>
      </c>
      <c r="C108" s="59" t="s">
        <v>6</v>
      </c>
      <c r="D108" s="59">
        <v>2</v>
      </c>
      <c r="E108" s="91" t="s">
        <v>196</v>
      </c>
    </row>
    <row r="109" spans="1:5">
      <c r="A109" s="21">
        <f t="shared" si="3"/>
        <v>17</v>
      </c>
      <c r="B109" s="85" t="str">
        <f ca="1">IFERROR(__xludf.DUMMYFUNCTION("GOOGLETRANSLATE(B2919:B2934,""RU"",""UK"")"),"Фреза шпонкова М15 к/хв Р18")</f>
        <v>Фреза шпонкова М15 к/хв Р18</v>
      </c>
      <c r="C109" s="59" t="s">
        <v>6</v>
      </c>
      <c r="D109" s="59">
        <v>2</v>
      </c>
      <c r="E109" s="91" t="s">
        <v>1688</v>
      </c>
    </row>
    <row r="110" spans="1:5">
      <c r="A110" s="21">
        <f t="shared" si="3"/>
        <v>18</v>
      </c>
      <c r="B110" s="85" t="str">
        <f ca="1">IFERROR(__xludf.DUMMYFUNCTION("GOOGLETRANSLATE(B2920:B2935,""RU"",""UK"")"),"Фреза шпонкова М16 к/хв")</f>
        <v>Фреза шпонкова М16 к/хв</v>
      </c>
      <c r="C110" s="59" t="s">
        <v>6</v>
      </c>
      <c r="D110" s="59">
        <v>206</v>
      </c>
      <c r="E110" s="91" t="s">
        <v>1688</v>
      </c>
    </row>
    <row r="111" spans="1:5">
      <c r="A111" s="21">
        <f t="shared" si="3"/>
        <v>19</v>
      </c>
      <c r="B111" s="85" t="str">
        <f ca="1">IFERROR(__xludf.DUMMYFUNCTION("GOOGLETRANSLATE(B2921:B2936,""RU"",""UK"")"),"Фреза шпонкова М18 к/хв")</f>
        <v>Фреза шпонкова М18 к/хв</v>
      </c>
      <c r="C111" s="59" t="s">
        <v>6</v>
      </c>
      <c r="D111" s="59">
        <v>158</v>
      </c>
      <c r="E111" s="91" t="s">
        <v>3018</v>
      </c>
    </row>
    <row r="112" spans="1:5">
      <c r="A112" s="21">
        <f t="shared" si="3"/>
        <v>20</v>
      </c>
      <c r="B112" s="85" t="str">
        <f ca="1">IFERROR(__xludf.DUMMYFUNCTION("GOOGLETRANSLATE(B2922:B2937,""RU"",""UK"")"),"Фреза шпонкова М20 к/хв")</f>
        <v>Фреза шпонкова М20 к/хв</v>
      </c>
      <c r="C112" s="59" t="s">
        <v>6</v>
      </c>
      <c r="D112" s="59">
        <v>95</v>
      </c>
      <c r="E112" s="91" t="s">
        <v>2809</v>
      </c>
    </row>
    <row r="113" spans="1:5">
      <c r="A113" s="21">
        <f t="shared" si="3"/>
        <v>21</v>
      </c>
      <c r="B113" s="85" t="str">
        <f ca="1">IFERROR(__xludf.DUMMYFUNCTION("GOOGLETRANSLATE(B2923:B2938,""RU"",""UK"")"),"Фреза шпонкова М22 к/хв")</f>
        <v>Фреза шпонкова М22 к/хв</v>
      </c>
      <c r="C113" s="59" t="s">
        <v>6</v>
      </c>
      <c r="D113" s="59">
        <v>45</v>
      </c>
      <c r="E113" s="91" t="s">
        <v>3236</v>
      </c>
    </row>
    <row r="114" spans="1:5">
      <c r="A114" s="21">
        <f t="shared" si="3"/>
        <v>22</v>
      </c>
      <c r="B114" s="168" t="str">
        <f ca="1">IFERROR(__xludf.DUMMYFUNCTION("GOOGLETRANSLATE(B2924:B2939,""RU"",""UK"")"),"Фреза шпонкова М24 к/хв Р6М5 / Р18 ")</f>
        <v xml:space="preserve">Фреза шпонкова М24 к/хв Р6М5 / Р18 </v>
      </c>
      <c r="C114" s="59" t="s">
        <v>6</v>
      </c>
      <c r="D114" s="159" t="s">
        <v>6287</v>
      </c>
      <c r="E114" s="91" t="s">
        <v>16</v>
      </c>
    </row>
    <row r="115" spans="1:5">
      <c r="A115" s="21">
        <f t="shared" si="3"/>
        <v>23</v>
      </c>
      <c r="B115" s="85" t="str">
        <f ca="1">IFERROR(__xludf.DUMMYFUNCTION("GOOGLETRANSLATE(B2925:B2940,""RU"",""UK"")"),"Фреза шпонкова М25 к/хв")</f>
        <v>Фреза шпонкова М25 к/хв</v>
      </c>
      <c r="C115" s="59" t="s">
        <v>6</v>
      </c>
      <c r="D115" s="59">
        <v>134</v>
      </c>
      <c r="E115" s="91" t="s">
        <v>16</v>
      </c>
    </row>
    <row r="116" spans="1:5">
      <c r="A116" s="21">
        <f t="shared" si="3"/>
        <v>24</v>
      </c>
      <c r="B116" s="85" t="str">
        <f ca="1">IFERROR(__xludf.DUMMYFUNCTION("GOOGLETRANSLATE(B2926:B2941,""RU"",""UK"")"),"Фреза шпонкова М28 к/хв")</f>
        <v>Фреза шпонкова М28 к/хв</v>
      </c>
      <c r="C116" s="59" t="s">
        <v>6</v>
      </c>
      <c r="D116" s="59">
        <v>33</v>
      </c>
      <c r="E116" s="91" t="s">
        <v>2111</v>
      </c>
    </row>
    <row r="117" spans="1:5">
      <c r="A117" s="21">
        <f t="shared" si="3"/>
        <v>25</v>
      </c>
      <c r="B117" s="85" t="str">
        <f ca="1">IFERROR(__xludf.DUMMYFUNCTION("GOOGLETRANSLATE(B2927:B2942,""RU"",""UK"")"),"Фреза шпонкова М30 (220х90) к/ хв ")</f>
        <v xml:space="preserve">Фреза шпонкова М30 (220х90) к/ хв </v>
      </c>
      <c r="C117" s="59" t="s">
        <v>6</v>
      </c>
      <c r="D117" s="160">
        <v>1</v>
      </c>
      <c r="E117" s="91" t="s">
        <v>3251</v>
      </c>
    </row>
    <row r="118" spans="1:5">
      <c r="A118" s="21">
        <f t="shared" si="3"/>
        <v>26</v>
      </c>
      <c r="B118" s="85" t="str">
        <f ca="1">IFERROR(__xludf.DUMMYFUNCTION("GOOGLETRANSLATE(B2927:B2942,""RU"",""UK"")"),"Фреза шпонкова М32 к / хв")</f>
        <v>Фреза шпонкова М32 к / хв</v>
      </c>
      <c r="C118" s="59" t="s">
        <v>6</v>
      </c>
      <c r="D118" s="160">
        <v>62</v>
      </c>
      <c r="E118" s="91" t="s">
        <v>3251</v>
      </c>
    </row>
    <row r="119" spans="1:5">
      <c r="A119" s="21">
        <f t="shared" si="3"/>
        <v>27</v>
      </c>
      <c r="B119" s="85" t="str">
        <f ca="1">IFERROR(__xludf.DUMMYFUNCTION("GOOGLETRANSLATE(B2928:B2943,""RU"",""UK"")"),"Фреза шпонкова М36 к/хв")</f>
        <v>Фреза шпонкова М36 к/хв</v>
      </c>
      <c r="C119" s="59" t="s">
        <v>6</v>
      </c>
      <c r="D119" s="59">
        <v>44</v>
      </c>
      <c r="E119" s="91" t="s">
        <v>3916</v>
      </c>
    </row>
    <row r="120" spans="1:5">
      <c r="A120" s="21">
        <f t="shared" si="3"/>
        <v>28</v>
      </c>
      <c r="B120" s="85" t="str">
        <f ca="1">IFERROR(__xludf.DUMMYFUNCTION("GOOGLETRANSLATE(B2929:B2944,""RU"",""UK"")"),"Фреза шпонкова М40 к/хв")</f>
        <v>Фреза шпонкова М40 к/хв</v>
      </c>
      <c r="C120" s="59" t="s">
        <v>6</v>
      </c>
      <c r="D120" s="59">
        <v>48</v>
      </c>
      <c r="E120" s="91" t="s">
        <v>3918</v>
      </c>
    </row>
    <row r="121" spans="1:5">
      <c r="A121" s="21">
        <f t="shared" si="3"/>
        <v>29</v>
      </c>
      <c r="B121" s="85" t="str">
        <f ca="1">IFERROR(__xludf.DUMMYFUNCTION("GOOGLETRANSLATE(B2930:B2945,""RU"",""UK"")"),"Фреза шпонкова М50 ц/хв")</f>
        <v>Фреза шпонкова М50 ц/хв</v>
      </c>
      <c r="C121" s="59" t="s">
        <v>6</v>
      </c>
      <c r="D121" s="59">
        <v>3</v>
      </c>
      <c r="E121" s="91" t="s">
        <v>3920</v>
      </c>
    </row>
    <row r="122" spans="1:5">
      <c r="A122" s="68"/>
      <c r="B122" s="110" t="s">
        <v>6042</v>
      </c>
      <c r="C122" s="69"/>
      <c r="D122" s="69"/>
      <c r="E122" s="106"/>
    </row>
    <row r="123" spans="1:5">
      <c r="A123" s="21">
        <v>1</v>
      </c>
      <c r="B123" s="237" t="str">
        <f ca="1">IFERROR(__xludf.DUMMYFUNCTION("GOOGLETRANSLATE(B2932:B2947,""RU"",""UK"")"),"Фреза черв'ячна модуль М12 Р6М5 (160х50мм L190) вживана, скол зуба")</f>
        <v>Фреза черв'ячна модуль М12 Р6М5 (160х50мм L190) вживана, скол зуба</v>
      </c>
      <c r="C123" s="59" t="s">
        <v>6</v>
      </c>
      <c r="D123" s="59">
        <v>1</v>
      </c>
      <c r="E123" s="91">
        <v>4400</v>
      </c>
    </row>
    <row r="124" spans="1:5">
      <c r="A124" s="21">
        <v>2</v>
      </c>
      <c r="B124" s="164" t="s">
        <v>6322</v>
      </c>
      <c r="C124" s="59" t="s">
        <v>6</v>
      </c>
      <c r="D124" s="59">
        <v>0</v>
      </c>
      <c r="E124" s="91">
        <v>4200</v>
      </c>
    </row>
    <row r="125" spans="1:5">
      <c r="A125" s="21">
        <v>3</v>
      </c>
      <c r="B125" s="224" t="s">
        <v>6323</v>
      </c>
      <c r="C125" s="59" t="s">
        <v>6</v>
      </c>
      <c r="D125" s="59">
        <v>1</v>
      </c>
      <c r="E125" s="91">
        <v>3900</v>
      </c>
    </row>
    <row r="126" spans="1:5">
      <c r="A126" s="21">
        <v>4</v>
      </c>
      <c r="B126" s="224" t="s">
        <v>6369</v>
      </c>
      <c r="C126" s="59" t="s">
        <v>6</v>
      </c>
      <c r="D126" s="59">
        <v>1</v>
      </c>
      <c r="E126" s="91">
        <v>3900</v>
      </c>
    </row>
    <row r="127" spans="1:5">
      <c r="A127" s="21">
        <v>5</v>
      </c>
      <c r="B127" s="85" t="str">
        <f ca="1">IFERROR(__xludf.DUMMYFUNCTION("GOOGLETRANSLATE(B2933:B2948,""RU"",""UK"")"),"Фреза черв'ячна модуль М7,0 Р6М5 120х40 L110 Р6М5")</f>
        <v>Фреза черв'ячна модуль М7,0 Р6М5 120х40 L110 Р6М5</v>
      </c>
      <c r="C127" s="59" t="s">
        <v>6</v>
      </c>
      <c r="D127" s="59">
        <v>4</v>
      </c>
      <c r="E127" s="91" t="s">
        <v>12</v>
      </c>
    </row>
    <row r="128" spans="1:5">
      <c r="A128" s="21">
        <v>6</v>
      </c>
      <c r="B128" s="224" t="s">
        <v>6370</v>
      </c>
      <c r="C128" s="59" t="s">
        <v>6</v>
      </c>
      <c r="D128" s="59">
        <v>1</v>
      </c>
      <c r="E128" s="91">
        <v>2000</v>
      </c>
    </row>
    <row r="129" spans="1:5">
      <c r="A129" s="21">
        <v>6</v>
      </c>
      <c r="B129" s="224" t="str">
        <f ca="1">IFERROR(__xludf.DUMMYFUNCTION("GOOGLETRANSLATE(B2934:B2949,""RU"",""UK"")"),"Фреза черв'ячна модуль М6,5(117х100х32мм)")</f>
        <v>Фреза черв'ячна модуль М6,5(117х100х32мм)</v>
      </c>
      <c r="C129" s="59" t="s">
        <v>6</v>
      </c>
      <c r="D129" s="59">
        <v>1</v>
      </c>
      <c r="E129" s="91">
        <v>1800</v>
      </c>
    </row>
    <row r="130" spans="1:5">
      <c r="A130" s="21">
        <v>6</v>
      </c>
      <c r="B130" s="224" t="str">
        <f ca="1">IFERROR(__xludf.DUMMYFUNCTION("GOOGLETRANSLATE(B2934:B2949,""RU"",""UK"")"),"Фреза черв'ячна М6 (110*110*40мм) коррозия на затилочной части")</f>
        <v>Фреза черв'ячна М6 (110*110*40мм) коррозия на затилочной части</v>
      </c>
      <c r="C130" s="59" t="s">
        <v>6</v>
      </c>
      <c r="D130" s="59">
        <v>1</v>
      </c>
      <c r="E130" s="91">
        <v>2000</v>
      </c>
    </row>
    <row r="131" spans="1:5">
      <c r="A131" s="21">
        <v>8</v>
      </c>
      <c r="B131" s="85" t="str">
        <f ca="1">IFERROR(__xludf.DUMMYFUNCTION("GOOGLETRANSLATE(B2934:B2949,""RU"",""UK"")"),"Фреза черв'ячна модуль М6,0")</f>
        <v>Фреза черв'ячна модуль М6,0</v>
      </c>
      <c r="C131" s="59" t="s">
        <v>6</v>
      </c>
      <c r="D131" s="59">
        <v>4</v>
      </c>
      <c r="E131" s="91" t="s">
        <v>910</v>
      </c>
    </row>
    <row r="132" spans="1:5">
      <c r="A132" s="21">
        <f t="shared" ref="A132:A199" si="4">A131+1</f>
        <v>9</v>
      </c>
      <c r="B132" s="85" t="str">
        <f ca="1">IFERROR(__xludf.DUMMYFUNCTION("GOOGLETRANSLATE(B2935:B2950,""RU"",""UK"")"),"Фреза черв'ячна модуль М5,5")</f>
        <v>Фреза черв'ячна модуль М5,5</v>
      </c>
      <c r="C132" s="59" t="s">
        <v>6</v>
      </c>
      <c r="D132" s="59">
        <v>8</v>
      </c>
      <c r="E132" s="91" t="s">
        <v>10</v>
      </c>
    </row>
    <row r="133" spans="1:5">
      <c r="A133" s="21">
        <f t="shared" si="4"/>
        <v>10</v>
      </c>
      <c r="B133" s="85" t="str">
        <f ca="1">IFERROR(__xludf.DUMMYFUNCTION("GOOGLETRANSLATE(B2936:B2951,""RU"",""UK"")"),"Фреза черв'ячна модуль М5,0 d32х100 L100/d32х85 L120/d40")</f>
        <v>Фреза черв'ячна модуль М5,0 d32х100 L100/d32х85 L120/d40</v>
      </c>
      <c r="C133" s="59" t="s">
        <v>6</v>
      </c>
      <c r="D133" s="59" t="s">
        <v>3926</v>
      </c>
      <c r="E133" s="91" t="s">
        <v>38</v>
      </c>
    </row>
    <row r="134" spans="1:5">
      <c r="A134" s="21">
        <f t="shared" si="4"/>
        <v>11</v>
      </c>
      <c r="B134" s="85" t="str">
        <f ca="1">IFERROR(__xludf.DUMMYFUNCTION("GOOGLETRANSLATE(B2937:B2952,""RU"",""UK"")"),"Фреза черв'ячна модуль М4,5")</f>
        <v>Фреза черв'ячна модуль М4,5</v>
      </c>
      <c r="C134" s="59" t="s">
        <v>6</v>
      </c>
      <c r="D134" s="59">
        <v>12</v>
      </c>
      <c r="E134" s="91" t="s">
        <v>75</v>
      </c>
    </row>
    <row r="135" spans="1:5">
      <c r="A135" s="21">
        <f t="shared" si="4"/>
        <v>12</v>
      </c>
      <c r="B135" s="85" t="str">
        <f ca="1">IFERROR(__xludf.DUMMYFUNCTION("GOOGLETRANSLATE(B2938:B2953,""RU"",""UK"")"),"Фреза черв'ячна модуль М4,5 d отв.27 (82х85) Р18")</f>
        <v>Фреза черв'ячна модуль М4,5 d отв.27 (82х85) Р18</v>
      </c>
      <c r="C135" s="59" t="s">
        <v>6</v>
      </c>
      <c r="D135" s="59">
        <v>1</v>
      </c>
      <c r="E135" s="91" t="s">
        <v>75</v>
      </c>
    </row>
    <row r="136" spans="1:5">
      <c r="A136" s="21">
        <f t="shared" si="4"/>
        <v>13</v>
      </c>
      <c r="B136" s="85" t="str">
        <f ca="1">IFERROR(__xludf.DUMMYFUNCTION("GOOGLETRANSLATE(B2939:B2954,""RU"",""UK"")"),"Фреза черв'ячна модуль М4,25")</f>
        <v>Фреза черв'ячна модуль М4,25</v>
      </c>
      <c r="C136" s="59" t="s">
        <v>6</v>
      </c>
      <c r="D136" s="59">
        <v>1</v>
      </c>
      <c r="E136" s="91" t="s">
        <v>237</v>
      </c>
    </row>
    <row r="137" spans="1:5">
      <c r="A137" s="21">
        <f t="shared" si="4"/>
        <v>14</v>
      </c>
      <c r="B137" s="85" t="str">
        <f ca="1">IFERROR(__xludf.DUMMYFUNCTION("GOOGLETRANSLATE(B2940:B2955,""RU"",""UK"")"),"Фреза черв'ячна модуль М4,0")</f>
        <v>Фреза черв'ячна модуль М4,0</v>
      </c>
      <c r="C137" s="59" t="s">
        <v>6</v>
      </c>
      <c r="D137" s="59">
        <v>5</v>
      </c>
      <c r="E137" s="91" t="s">
        <v>237</v>
      </c>
    </row>
    <row r="138" spans="1:5">
      <c r="A138" s="21">
        <f t="shared" si="4"/>
        <v>15</v>
      </c>
      <c r="B138" s="85" t="str">
        <f ca="1">IFERROR(__xludf.DUMMYFUNCTION("GOOGLETRANSLATE(B2940:B2955,""RU"",""UK"")"),"Фреза черв'ячна модуль М4,0 Р6М5 95х32 L85")</f>
        <v>Фреза черв'ячна модуль М4,0 Р6М5 95х32 L85</v>
      </c>
      <c r="C138" s="59" t="s">
        <v>6</v>
      </c>
      <c r="D138" s="59">
        <v>1</v>
      </c>
      <c r="E138" s="91" t="s">
        <v>237</v>
      </c>
    </row>
    <row r="139" spans="1:5">
      <c r="A139" s="21">
        <f t="shared" si="4"/>
        <v>16</v>
      </c>
      <c r="B139" s="85" t="str">
        <f ca="1">IFERROR(__xludf.DUMMYFUNCTION("GOOGLETRANSLATE(B2940:B2955,""RU"",""UK"")"),"Фреза черв'ячна модуль М4,0 Р6М5 90х32 L80")</f>
        <v>Фреза черв'ячна модуль М4,0 Р6М5 90х32 L80</v>
      </c>
      <c r="C139" s="59" t="s">
        <v>6</v>
      </c>
      <c r="D139" s="59">
        <v>3</v>
      </c>
      <c r="E139" s="91" t="s">
        <v>237</v>
      </c>
    </row>
    <row r="140" spans="1:5">
      <c r="A140" s="21">
        <f t="shared" si="4"/>
        <v>17</v>
      </c>
      <c r="B140" s="164" t="str">
        <f ca="1">IFERROR(__xludf.DUMMYFUNCTION("GOOGLETRANSLATE(B2941:B2956,""RU"",""UK"")"),"Фреза черв'ячна модуль  М3,75-20* d отв.27мм")</f>
        <v>Фреза черв'ячна модуль  М3,75-20* d отв.27мм</v>
      </c>
      <c r="C140" s="59" t="s">
        <v>6</v>
      </c>
      <c r="D140" s="160">
        <v>6</v>
      </c>
      <c r="E140" s="91" t="s">
        <v>2834</v>
      </c>
    </row>
    <row r="141" spans="1:5">
      <c r="A141" s="21">
        <f t="shared" si="4"/>
        <v>18</v>
      </c>
      <c r="B141" s="85" t="str">
        <f ca="1">IFERROR(__xludf.DUMMYFUNCTION("GOOGLETRANSLATE(B2943:B2958,""RU"",""UK"")"),"Фреза черв'ячна модуль М3,975")</f>
        <v>Фреза черв'ячна модуль М3,975</v>
      </c>
      <c r="C141" s="59" t="s">
        <v>6</v>
      </c>
      <c r="D141" s="59">
        <v>3</v>
      </c>
      <c r="E141" s="91" t="s">
        <v>3508</v>
      </c>
    </row>
    <row r="142" spans="1:5">
      <c r="A142" s="21">
        <f t="shared" si="4"/>
        <v>19</v>
      </c>
      <c r="B142" s="85" t="str">
        <f ca="1">IFERROR(__xludf.DUMMYFUNCTION("GOOGLETRANSLATE(B2943:B2958,""RU"",""UK"")"),"Фреза черв'ячна модуль М3,5")</f>
        <v>Фреза черв'ячна модуль М3,5</v>
      </c>
      <c r="C142" s="59" t="s">
        <v>6</v>
      </c>
      <c r="D142" s="59">
        <v>7</v>
      </c>
      <c r="E142" s="91" t="s">
        <v>3508</v>
      </c>
    </row>
    <row r="143" spans="1:5">
      <c r="A143" s="21">
        <f t="shared" si="4"/>
        <v>20</v>
      </c>
      <c r="B143" s="85" t="str">
        <f ca="1">IFERROR(__xludf.DUMMYFUNCTION("GOOGLETRANSLATE(B2943:B2958,""RU"",""UK"")"),"Фреза черв'ячна модуль М3,5 (90Х80Х32)/…Р9")</f>
        <v>Фреза черв'ячна модуль М3,5 (90Х80Х32)/…Р9</v>
      </c>
      <c r="C143" s="59" t="s">
        <v>6</v>
      </c>
      <c r="D143" s="59" t="s">
        <v>6432</v>
      </c>
      <c r="E143" s="91" t="s">
        <v>3508</v>
      </c>
    </row>
    <row r="144" spans="1:5">
      <c r="A144" s="21">
        <f t="shared" si="4"/>
        <v>21</v>
      </c>
      <c r="B144" s="85" t="str">
        <f ca="1">IFERROR(__xludf.DUMMYFUNCTION("GOOGLETRANSLATE(B2944:B2959,""RU"",""UK"")"),"Фреза черв'ячна модуль М3,5 d отв.27 (75х68) Р18")</f>
        <v>Фреза черв'ячна модуль М3,5 d отв.27 (75х68) Р18</v>
      </c>
      <c r="C144" s="59" t="s">
        <v>6</v>
      </c>
      <c r="D144" s="59">
        <v>1</v>
      </c>
      <c r="E144" s="91" t="s">
        <v>3508</v>
      </c>
    </row>
    <row r="145" spans="1:5">
      <c r="A145" s="21">
        <f t="shared" si="4"/>
        <v>22</v>
      </c>
      <c r="B145" s="205" t="str">
        <f ca="1">IFERROR(__xludf.DUMMYFUNCTION("GOOGLETRANSLATE(B2945:B2960,""RU"",""UK"")"),"Фреза черв'ячна модуль М3,5 30* (80х70х32мм)")</f>
        <v>Фреза черв'ячна модуль М3,5 30* (80х70х32мм)</v>
      </c>
      <c r="C145" s="59" t="s">
        <v>6</v>
      </c>
      <c r="D145" s="59">
        <v>2</v>
      </c>
      <c r="E145" s="91" t="s">
        <v>914</v>
      </c>
    </row>
    <row r="146" spans="1:5">
      <c r="A146" s="21">
        <f t="shared" si="4"/>
        <v>23</v>
      </c>
      <c r="B146" s="85" t="str">
        <f ca="1">IFERROR(__xludf.DUMMYFUNCTION("GOOGLETRANSLATE(B2946:B2961,""RU"",""UK"")"),"Фреза черв'ячна модуль М3,25 d отв.27 (72х65) Р18")</f>
        <v>Фреза черв'ячна модуль М3,25 d отв.27 (72х65) Р18</v>
      </c>
      <c r="C146" s="59" t="s">
        <v>6</v>
      </c>
      <c r="D146" s="59">
        <v>2</v>
      </c>
      <c r="E146" s="91">
        <v>1500</v>
      </c>
    </row>
    <row r="147" spans="1:5">
      <c r="A147" s="21">
        <f t="shared" si="4"/>
        <v>24</v>
      </c>
      <c r="B147" s="85" t="str">
        <f ca="1">IFERROR(__xludf.DUMMYFUNCTION("GOOGLETRANSLATE(B2947:B2962,""RU"",""UK"")"),"Фреза черв'ячна модуль М3,25 Р6М5")</f>
        <v>Фреза черв'ячна модуль М3,25 Р6М5</v>
      </c>
      <c r="C147" s="59" t="s">
        <v>6</v>
      </c>
      <c r="D147" s="59">
        <v>1</v>
      </c>
      <c r="E147" s="91" t="s">
        <v>1151</v>
      </c>
    </row>
    <row r="148" spans="1:5">
      <c r="A148" s="21">
        <f t="shared" si="4"/>
        <v>25</v>
      </c>
      <c r="B148" s="85" t="str">
        <f ca="1">IFERROR(__xludf.DUMMYFUNCTION("GOOGLETRANSLATE(B2947:B2962,""RU"",""UK"")"),"Фреза черв'ячна модуль М3,0")</f>
        <v>Фреза черв'ячна модуль М3,0</v>
      </c>
      <c r="C148" s="59" t="s">
        <v>6</v>
      </c>
      <c r="D148" s="160">
        <v>3</v>
      </c>
      <c r="E148" s="91" t="s">
        <v>1151</v>
      </c>
    </row>
    <row r="149" spans="1:5">
      <c r="A149" s="21">
        <f t="shared" si="4"/>
        <v>26</v>
      </c>
      <c r="B149" s="85" t="str">
        <f ca="1">IFERROR(__xludf.DUMMYFUNCTION("GOOGLETRANSLATE(B2948:B2963,""RU"",""UK"")"),"Фреза черв'ячна модуль М3,0 (90х120х32)")</f>
        <v>Фреза черв'ячна модуль М3,0 (90х120х32)</v>
      </c>
      <c r="C149" s="59" t="s">
        <v>6</v>
      </c>
      <c r="D149" s="160">
        <v>5</v>
      </c>
      <c r="E149" s="91" t="s">
        <v>71</v>
      </c>
    </row>
    <row r="150" spans="1:5">
      <c r="A150" s="21">
        <f t="shared" si="4"/>
        <v>27</v>
      </c>
      <c r="B150" s="85" t="str">
        <f ca="1">IFERROR(__xludf.DUMMYFUNCTION("GOOGLETRANSLATE(B2947:B2962,""RU"",""UK"")"),"Фреза черв'ячна модуль М3,0лев")</f>
        <v>Фреза черв'ячна модуль М3,0лев</v>
      </c>
      <c r="C150" s="59" t="s">
        <v>6</v>
      </c>
      <c r="D150" s="160">
        <v>1</v>
      </c>
      <c r="E150" s="91" t="s">
        <v>1151</v>
      </c>
    </row>
    <row r="151" spans="1:5">
      <c r="A151" s="21">
        <f t="shared" si="4"/>
        <v>28</v>
      </c>
      <c r="B151" s="85" t="str">
        <f ca="1">IFERROR(__xludf.DUMMYFUNCTION("GOOGLETRANSLATE(B2949:B2964,""RU"",""UK"")"),"Фреза черв'ячна модуль М2,75")</f>
        <v>Фреза черв'ячна модуль М2,75</v>
      </c>
      <c r="C151" s="59" t="s">
        <v>6</v>
      </c>
      <c r="D151" s="59">
        <v>2</v>
      </c>
      <c r="E151" s="91" t="s">
        <v>3610</v>
      </c>
    </row>
    <row r="152" spans="1:5">
      <c r="A152" s="21">
        <f t="shared" si="4"/>
        <v>29</v>
      </c>
      <c r="B152" s="85" t="str">
        <f ca="1">IFERROR(__xludf.DUMMYFUNCTION("GOOGLETRANSLATE(B2950:B2965,""RU"",""UK"")"),"Фреза черв'ячна модуль М2,5 (80х140х32)")</f>
        <v>Фреза черв'ячна модуль М2,5 (80х140х32)</v>
      </c>
      <c r="C152" s="59" t="s">
        <v>6</v>
      </c>
      <c r="D152" s="59">
        <v>1</v>
      </c>
      <c r="E152" s="91" t="s">
        <v>3610</v>
      </c>
    </row>
    <row r="153" spans="1:5">
      <c r="A153" s="21">
        <f t="shared" si="4"/>
        <v>30</v>
      </c>
      <c r="B153" s="85" t="str">
        <f ca="1">IFERROR(__xludf.DUMMYFUNCTION("GOOGLETRANSLATE(B2951:B2966,""RU"",""UK"")"),"Фреза черв'ячна модуль М2,5 (80х32 L70-Р6М5)")</f>
        <v>Фреза черв'ячна модуль М2,5 (80х32 L70-Р6М5)</v>
      </c>
      <c r="C153" s="59" t="s">
        <v>6</v>
      </c>
      <c r="D153" s="59">
        <v>3</v>
      </c>
      <c r="E153" s="91" t="s">
        <v>3610</v>
      </c>
    </row>
    <row r="154" spans="1:5">
      <c r="A154" s="21">
        <f t="shared" si="4"/>
        <v>31</v>
      </c>
      <c r="B154" s="85" t="str">
        <f ca="1">IFERROR(__xludf.DUMMYFUNCTION("GOOGLETRANSLATE(B2951:B2966,""RU"",""UK"")"),"Фреза черв'ячна модуль М2,5 (70х27 L62-Р6М5)")</f>
        <v>Фреза черв'ячна модуль М2,5 (70х27 L62-Р6М5)</v>
      </c>
      <c r="C154" s="59" t="s">
        <v>6</v>
      </c>
      <c r="D154" s="59">
        <v>2</v>
      </c>
      <c r="E154" s="91" t="s">
        <v>3610</v>
      </c>
    </row>
    <row r="155" spans="1:5">
      <c r="A155" s="21">
        <f t="shared" si="4"/>
        <v>32</v>
      </c>
      <c r="B155" s="237" t="s">
        <v>6442</v>
      </c>
      <c r="C155" s="59" t="s">
        <v>6</v>
      </c>
      <c r="D155" s="59">
        <v>1</v>
      </c>
      <c r="E155" s="91">
        <v>900</v>
      </c>
    </row>
    <row r="156" spans="1:5">
      <c r="A156" s="21">
        <f t="shared" si="4"/>
        <v>33</v>
      </c>
      <c r="B156" s="85" t="str">
        <f ca="1">IFERROR(__xludf.DUMMYFUNCTION("GOOGLETRANSLATE(B2952:B2967,""RU"",""UK"")"),"Фреза черв'ячна модуль М2,25")</f>
        <v>Фреза черв'ячна модуль М2,25</v>
      </c>
      <c r="C156" s="59" t="s">
        <v>6</v>
      </c>
      <c r="D156" s="59">
        <v>4</v>
      </c>
      <c r="E156" s="91" t="s">
        <v>3651</v>
      </c>
    </row>
    <row r="157" spans="1:5">
      <c r="A157" s="21">
        <f t="shared" si="4"/>
        <v>34</v>
      </c>
      <c r="B157" s="85" t="str">
        <f ca="1">IFERROR(__xludf.DUMMYFUNCTION("GOOGLETRANSLATE(B2952:B2967,""RU"",""UK"")"),"Фреза черв'ячна модуль М2,0")</f>
        <v>Фреза черв'ячна модуль М2,0</v>
      </c>
      <c r="C157" s="59" t="s">
        <v>6</v>
      </c>
      <c r="D157" s="59">
        <v>4</v>
      </c>
      <c r="E157" s="91" t="s">
        <v>3651</v>
      </c>
    </row>
    <row r="158" spans="1:5">
      <c r="A158" s="21">
        <f t="shared" si="4"/>
        <v>35</v>
      </c>
      <c r="B158" s="224" t="str">
        <f ca="1">IFERROR(__xludf.DUMMYFUNCTION("GOOGLETRANSLATE(B2953:B2968,""RU"",""UK"")"),"Фреза черв'ячна модуль М2,0 (60х50х22) Р6М5")</f>
        <v>Фреза черв'ячна модуль М2,0 (60х50х22) Р6М5</v>
      </c>
      <c r="C158" s="59" t="s">
        <v>6</v>
      </c>
      <c r="D158" s="59">
        <v>1</v>
      </c>
      <c r="E158" s="91">
        <v>1140</v>
      </c>
    </row>
    <row r="159" spans="1:5">
      <c r="A159" s="21">
        <f t="shared" si="4"/>
        <v>36</v>
      </c>
      <c r="B159" s="164" t="str">
        <f ca="1">IFERROR(__xludf.DUMMYFUNCTION("GOOGLETRANSLATE(B2953:B2968,""RU"",""UK"")"),"Фреза черв'ячна модуль М2,0 (50х22 L52) Р9")</f>
        <v>Фреза черв'ячна модуль М2,0 (50х22 L52) Р9</v>
      </c>
      <c r="C159" s="59" t="s">
        <v>6</v>
      </c>
      <c r="D159" s="59">
        <v>0</v>
      </c>
      <c r="E159" s="91" t="s">
        <v>157</v>
      </c>
    </row>
    <row r="160" spans="1:5">
      <c r="A160" s="21">
        <f t="shared" si="4"/>
        <v>37</v>
      </c>
      <c r="B160" s="205" t="str">
        <f ca="1">IFERROR(__xludf.DUMMYFUNCTION("GOOGLETRANSLATE(B2954:B2969,""RU"",""UK"")"),"Фреза черв'ячна модуль М2,0 30* (64х27мм L50)")</f>
        <v>Фреза черв'ячна модуль М2,0 30* (64х27мм L50)</v>
      </c>
      <c r="C160" s="59" t="s">
        <v>6</v>
      </c>
      <c r="D160" s="59">
        <v>1</v>
      </c>
      <c r="E160" s="91" t="s">
        <v>914</v>
      </c>
    </row>
    <row r="161" spans="1:5">
      <c r="A161" s="21">
        <f t="shared" si="4"/>
        <v>38</v>
      </c>
      <c r="B161" s="237" t="s">
        <v>6443</v>
      </c>
      <c r="C161" s="59" t="s">
        <v>6</v>
      </c>
      <c r="D161" s="59">
        <v>1</v>
      </c>
      <c r="E161" s="91">
        <v>800</v>
      </c>
    </row>
    <row r="162" spans="1:5">
      <c r="A162" s="21">
        <f t="shared" si="4"/>
        <v>39</v>
      </c>
      <c r="B162" s="85" t="str">
        <f ca="1">IFERROR(__xludf.DUMMYFUNCTION("GOOGLETRANSLATE(B2955:B2970,""RU"",""UK"")"),"Фреза черв'ячна модуль М1, 75 (60х47х27-Р18)")</f>
        <v>Фреза черв'ячна модуль М1, 75 (60х47х27-Р18)</v>
      </c>
      <c r="C162" s="59" t="s">
        <v>6</v>
      </c>
      <c r="D162" s="59">
        <v>2</v>
      </c>
      <c r="E162" s="91" t="s">
        <v>88</v>
      </c>
    </row>
    <row r="163" spans="1:5">
      <c r="A163" s="21">
        <f t="shared" si="4"/>
        <v>40</v>
      </c>
      <c r="B163" s="198" t="str">
        <f ca="1">IFERROR(__xludf.DUMMYFUNCTION("GOOGLETRANSLATE(B2956:B2971,""RU"",""UK"")"),"Фреза черв'ячна модуль М1,5-30* 55х45х22мм Р6М5)")</f>
        <v>Фреза черв'ячна модуль М1,5-30* 55х45х22мм Р6М5)</v>
      </c>
      <c r="C163" s="59" t="s">
        <v>6</v>
      </c>
      <c r="D163" s="160">
        <v>1</v>
      </c>
      <c r="E163" s="91">
        <v>2000</v>
      </c>
    </row>
    <row r="164" spans="1:5">
      <c r="A164" s="21">
        <f t="shared" si="4"/>
        <v>41</v>
      </c>
      <c r="B164" s="198" t="str">
        <f ca="1">IFERROR(__xludf.DUMMYFUNCTION("GOOGLETRANSLATE(B2956:B2971,""RU"",""UK"")"),"Фреза черв'ячна модуль М1,5-30* 55х45х22мм Р6М5) мало вживана, заточена")</f>
        <v>Фреза черв'ячна модуль М1,5-30* 55х45х22мм Р6М5) мало вживана, заточена</v>
      </c>
      <c r="C164" s="59" t="s">
        <v>6</v>
      </c>
      <c r="D164" s="160">
        <v>1</v>
      </c>
      <c r="E164" s="91">
        <v>1100</v>
      </c>
    </row>
    <row r="165" spans="1:5">
      <c r="A165" s="21">
        <f t="shared" si="4"/>
        <v>42</v>
      </c>
      <c r="B165" s="85" t="str">
        <f ca="1">IFERROR(__xludf.DUMMYFUNCTION("GOOGLETRANSLATE(B2956:B2971,""RU"",""UK"")"),"Фреза черв'ячна модуль М1,5 Р6М5)")</f>
        <v>Фреза черв'ячна модуль М1,5 Р6М5)</v>
      </c>
      <c r="C165" s="59" t="s">
        <v>6</v>
      </c>
      <c r="D165" s="160">
        <v>7</v>
      </c>
      <c r="E165" s="91" t="s">
        <v>88</v>
      </c>
    </row>
    <row r="166" spans="1:5">
      <c r="A166" s="21">
        <f t="shared" si="4"/>
        <v>43</v>
      </c>
      <c r="B166" s="224" t="s">
        <v>6440</v>
      </c>
      <c r="C166" s="59" t="s">
        <v>6</v>
      </c>
      <c r="D166" s="160">
        <v>1</v>
      </c>
      <c r="E166" s="91">
        <v>700</v>
      </c>
    </row>
    <row r="167" spans="1:5">
      <c r="A167" s="21">
        <f t="shared" si="4"/>
        <v>44</v>
      </c>
      <c r="B167" s="164" t="str">
        <f ca="1">IFERROR(__xludf.DUMMYFUNCTION("GOOGLETRANSLATE(B2957:B2972,""RU"",""UK"")"),"Фреза черв'ячна модуль М1,25 d отв.27мм")</f>
        <v>Фреза черв'ячна модуль М1,25 d отв.27мм</v>
      </c>
      <c r="C167" s="59" t="s">
        <v>6</v>
      </c>
      <c r="D167" s="59">
        <v>0</v>
      </c>
      <c r="E167" s="91">
        <v>990</v>
      </c>
    </row>
    <row r="168" spans="1:5">
      <c r="A168" s="21">
        <f t="shared" si="4"/>
        <v>45</v>
      </c>
      <c r="B168" s="85" t="str">
        <f ca="1">IFERROR(__xludf.DUMMYFUNCTION("GOOGLETRANSLATE(B2958:B2973,""RU"",""UK"")"),"Фреза черв'ячна модуль М1,0 -20* (48х22х32мм) Кл.")</f>
        <v>Фреза черв'ячна модуль М1,0 -20* (48х22х32мм) Кл.</v>
      </c>
      <c r="C168" s="59" t="s">
        <v>6</v>
      </c>
      <c r="D168" s="59">
        <v>1</v>
      </c>
      <c r="E168" s="91" t="s">
        <v>111</v>
      </c>
    </row>
    <row r="169" spans="1:5">
      <c r="A169" s="21">
        <f t="shared" si="4"/>
        <v>46</v>
      </c>
      <c r="B169" s="85" t="str">
        <f ca="1">IFERROR(__xludf.DUMMYFUNCTION("GOOGLETRANSLATE(B2959:B2974,""RU"",""UK"")"),"Фреза черв'ячна модуль М1,0 -20* (48х22х32мм) Кл.")</f>
        <v>Фреза черв'ячна модуль М1,0 -20* (48х22х32мм) Кл.</v>
      </c>
      <c r="C169" s="59" t="s">
        <v>6</v>
      </c>
      <c r="D169" s="59">
        <v>4</v>
      </c>
      <c r="E169" s="91" t="s">
        <v>102</v>
      </c>
    </row>
    <row r="170" spans="1:5">
      <c r="A170" s="21">
        <f t="shared" si="4"/>
        <v>47</v>
      </c>
      <c r="B170" s="85" t="str">
        <f ca="1">IFERROR(__xludf.DUMMYFUNCTION("GOOGLETRANSLATE(B2960:B2975,""RU"",""UK"")"),"Фреза черв'ячна модуль М1,0-15* (110х16,5мм)")</f>
        <v>Фреза черв'ячна модуль М1,0-15* (110х16,5мм)</v>
      </c>
      <c r="C170" s="59" t="s">
        <v>6</v>
      </c>
      <c r="D170" s="59">
        <v>1</v>
      </c>
      <c r="E170" s="91" t="s">
        <v>102</v>
      </c>
    </row>
    <row r="171" spans="1:5">
      <c r="A171" s="21">
        <f t="shared" si="4"/>
        <v>48</v>
      </c>
      <c r="B171" s="205" t="str">
        <f ca="1">IFERROR(__xludf.DUMMYFUNCTION("GOOGLETRANSLATE(B2961:B2976,""RU"",""UK"")"),"Фреза черв'ячна модуль М1,0-30* (48х22х32мм) Кл.")</f>
        <v>Фреза черв'ячна модуль М1,0-30* (48х22х32мм) Кл.</v>
      </c>
      <c r="C171" s="59" t="s">
        <v>6</v>
      </c>
      <c r="D171" s="59">
        <v>1</v>
      </c>
      <c r="E171" s="91" t="s">
        <v>38</v>
      </c>
    </row>
    <row r="172" spans="1:5">
      <c r="A172" s="21">
        <f t="shared" si="4"/>
        <v>49</v>
      </c>
      <c r="B172" s="85" t="str">
        <f ca="1">IFERROR(__xludf.DUMMYFUNCTION("GOOGLETRANSLATE(B2962:B2977,""RU"",""UK"")"),"Фреза черв'ячна модуль М0,8")</f>
        <v>Фреза черв'ячна модуль М0,8</v>
      </c>
      <c r="C172" s="59" t="s">
        <v>6</v>
      </c>
      <c r="D172" s="59">
        <v>3</v>
      </c>
      <c r="E172" s="91" t="s">
        <v>283</v>
      </c>
    </row>
    <row r="173" spans="1:5">
      <c r="A173" s="21">
        <f t="shared" si="4"/>
        <v>50</v>
      </c>
      <c r="B173" s="85" t="str">
        <f ca="1">IFERROR(__xludf.DUMMYFUNCTION("GOOGLETRANSLATE(B2962:B2977,""RU"",""UK"")"),"Фреза черв'ячна модуль М0,7 (d29мм х dвн13мм)")</f>
        <v>Фреза черв'ячна модуль М0,7 (d29мм х dвн13мм)</v>
      </c>
      <c r="C173" s="59" t="s">
        <v>6</v>
      </c>
      <c r="D173" s="59">
        <v>1</v>
      </c>
      <c r="E173" s="91" t="s">
        <v>283</v>
      </c>
    </row>
    <row r="174" spans="1:5">
      <c r="A174" s="21">
        <f t="shared" si="4"/>
        <v>51</v>
      </c>
      <c r="B174" s="169" t="str">
        <f ca="1">IFERROR(__xludf.DUMMYFUNCTION("GOOGLETRANSLATE(B2963:B2978,""RU"",""UK"")"),"Фреза черв'ячна модуль М0,6 Р18 (32х20х13)")</f>
        <v>Фреза черв'ячна модуль М0,6 Р18 (32х20х13)</v>
      </c>
      <c r="C174" s="59" t="s">
        <v>6</v>
      </c>
      <c r="D174" s="59">
        <v>1</v>
      </c>
      <c r="E174" s="91">
        <v>810</v>
      </c>
    </row>
    <row r="175" spans="1:5">
      <c r="A175" s="21">
        <f t="shared" si="4"/>
        <v>52</v>
      </c>
      <c r="B175" s="224" t="s">
        <v>6423</v>
      </c>
      <c r="C175" s="59" t="s">
        <v>6</v>
      </c>
      <c r="D175" s="59">
        <v>1</v>
      </c>
      <c r="E175" s="91">
        <v>810</v>
      </c>
    </row>
    <row r="176" spans="1:5">
      <c r="A176" s="21">
        <f t="shared" si="4"/>
        <v>53</v>
      </c>
      <c r="B176" s="224" t="str">
        <f ca="1">IFERROR(__xludf.DUMMYFUNCTION("GOOGLETRANSLATE(B2963:B2978,""RU"",""UK"")"),"Фреза черв'ячна модуль М0.5В 20* Р6М5 (25х10 L16мм)")</f>
        <v>Фреза черв'ячна модуль М0.5В 20* Р6М5 (25х10 L16мм)</v>
      </c>
      <c r="C176" s="59" t="s">
        <v>6</v>
      </c>
      <c r="D176" s="59">
        <v>4</v>
      </c>
      <c r="E176" s="91" t="s">
        <v>33</v>
      </c>
    </row>
    <row r="177" spans="1:5">
      <c r="A177" s="21">
        <f t="shared" si="4"/>
        <v>54</v>
      </c>
      <c r="B177" s="224" t="s">
        <v>6429</v>
      </c>
      <c r="C177" s="59" t="s">
        <v>6</v>
      </c>
      <c r="D177" s="59">
        <v>2</v>
      </c>
      <c r="E177" s="91">
        <v>1050</v>
      </c>
    </row>
    <row r="178" spans="1:5">
      <c r="A178" s="21">
        <f t="shared" si="4"/>
        <v>55</v>
      </c>
      <c r="B178" s="85" t="str">
        <f ca="1">IFERROR(__xludf.DUMMYFUNCTION("GOOGLETRANSLATE(B2964:B2979,""RU"",""UK"")"),"Фреза черв'ячна модуль М0,4 Р6М5(32х16х13)")</f>
        <v>Фреза черв'ячна модуль М0,4 Р6М5(32х16х13)</v>
      </c>
      <c r="C178" s="59" t="s">
        <v>6</v>
      </c>
      <c r="D178" s="59">
        <v>1</v>
      </c>
      <c r="E178" s="91" t="s">
        <v>663</v>
      </c>
    </row>
    <row r="179" spans="1:5">
      <c r="A179" s="21">
        <f t="shared" si="4"/>
        <v>56</v>
      </c>
      <c r="B179" s="85" t="str">
        <f ca="1">IFERROR(__xludf.DUMMYFUNCTION("GOOGLETRANSLATE(B2964:B2979,""RU"",""UK"")"),"Фреза черв'ячна модуль М0,4 Р18 (32х16х10)")</f>
        <v>Фреза черв'ячна модуль М0,4 Р18 (32х16х10)</v>
      </c>
      <c r="C179" s="59" t="s">
        <v>6</v>
      </c>
      <c r="D179" s="59">
        <v>1</v>
      </c>
      <c r="E179" s="91">
        <v>750</v>
      </c>
    </row>
    <row r="180" spans="1:5">
      <c r="A180" s="21">
        <f t="shared" si="4"/>
        <v>57</v>
      </c>
      <c r="B180" s="85" t="str">
        <f ca="1">IFERROR(__xludf.DUMMYFUNCTION("GOOGLETRANSLATE(B2965:B2980,""RU"",""UK"")"),"Фреза черв'ячна модуль М0,4 ВК6М")</f>
        <v>Фреза черв'ячна модуль М0,4 ВК6М</v>
      </c>
      <c r="C180" s="59" t="s">
        <v>6</v>
      </c>
      <c r="D180" s="59">
        <v>1</v>
      </c>
      <c r="E180" s="91" t="s">
        <v>1874</v>
      </c>
    </row>
    <row r="181" spans="1:5">
      <c r="A181" s="21">
        <f t="shared" si="4"/>
        <v>58</v>
      </c>
      <c r="B181" s="224" t="s">
        <v>6425</v>
      </c>
      <c r="C181" s="59" t="s">
        <v>6</v>
      </c>
      <c r="D181" s="59">
        <v>1</v>
      </c>
      <c r="E181" s="91">
        <v>870</v>
      </c>
    </row>
    <row r="182" spans="1:5">
      <c r="A182" s="21">
        <f t="shared" si="4"/>
        <v>59</v>
      </c>
      <c r="B182" s="224" t="s">
        <v>6424</v>
      </c>
      <c r="C182" s="59" t="s">
        <v>6</v>
      </c>
      <c r="D182" s="59">
        <v>1</v>
      </c>
      <c r="E182" s="91">
        <v>1050</v>
      </c>
    </row>
    <row r="183" spans="1:5">
      <c r="A183" s="21">
        <f t="shared" si="4"/>
        <v>60</v>
      </c>
      <c r="B183" s="224" t="s">
        <v>6426</v>
      </c>
      <c r="C183" s="59" t="s">
        <v>6</v>
      </c>
      <c r="D183" s="59">
        <v>1</v>
      </c>
      <c r="E183" s="91">
        <v>700</v>
      </c>
    </row>
    <row r="184" spans="1:5">
      <c r="A184" s="21">
        <f t="shared" si="4"/>
        <v>61</v>
      </c>
      <c r="B184" s="85" t="str">
        <f ca="1">IFERROR(__xludf.DUMMYFUNCTION("GOOGLETRANSLATE(B2964:B2979,""RU"",""UK"")"),"Фреза черв'ячна модуль М0,3")</f>
        <v>Фреза черв'ячна модуль М0,3</v>
      </c>
      <c r="C184" s="59" t="s">
        <v>6</v>
      </c>
      <c r="D184" s="59">
        <v>10</v>
      </c>
      <c r="E184" s="91" t="s">
        <v>663</v>
      </c>
    </row>
    <row r="185" spans="1:5">
      <c r="A185" s="21">
        <f t="shared" si="4"/>
        <v>62</v>
      </c>
      <c r="B185" s="85" t="str">
        <f ca="1">IFERROR(__xludf.DUMMYFUNCTION("GOOGLETRANSLATE(B2965:B2980,""RU"",""UK"")"),"Фреза черв'ячна модуль М0,3 (50мм) ВК6М")</f>
        <v>Фреза черв'ячна модуль М0,3 (50мм) ВК6М</v>
      </c>
      <c r="C185" s="59" t="s">
        <v>6</v>
      </c>
      <c r="D185" s="59">
        <v>1</v>
      </c>
      <c r="E185" s="91" t="s">
        <v>1874</v>
      </c>
    </row>
    <row r="186" spans="1:5">
      <c r="A186" s="21">
        <f t="shared" si="4"/>
        <v>63</v>
      </c>
      <c r="B186" s="169" t="str">
        <f ca="1">IFERROR(__xludf.DUMMYFUNCTION("GOOGLETRANSLATE(B2966:B2981,""RU"",""UK"")"),"Фреза черв'ячна модуль М0,15")</f>
        <v>Фреза черв'ячна модуль М0,15</v>
      </c>
      <c r="C186" s="59" t="s">
        <v>6</v>
      </c>
      <c r="D186" s="59">
        <v>1</v>
      </c>
      <c r="E186" s="91" t="s">
        <v>663</v>
      </c>
    </row>
    <row r="187" spans="1:5">
      <c r="A187" s="21">
        <f t="shared" si="4"/>
        <v>64</v>
      </c>
      <c r="B187" s="224" t="s">
        <v>6444</v>
      </c>
      <c r="C187" s="59" t="s">
        <v>6</v>
      </c>
      <c r="D187" s="59">
        <v>1</v>
      </c>
      <c r="E187" s="91">
        <v>1100</v>
      </c>
    </row>
    <row r="188" spans="1:5">
      <c r="A188" s="21">
        <f t="shared" si="4"/>
        <v>65</v>
      </c>
      <c r="B188" s="85" t="str">
        <f ca="1">IFERROR(__xludf.DUMMYFUNCTION("GOOGLETRANSLATE(B2967:B2982,""RU"",""UK"")"),"Фреза черв'яковий модуль ланцюг 12,75 (d. рол.7,75)")</f>
        <v>Фреза черв'яковий модуль ланцюг 12,75 (d. рол.7,75)</v>
      </c>
      <c r="C188" s="59" t="s">
        <v>6</v>
      </c>
      <c r="D188" s="59">
        <v>3</v>
      </c>
      <c r="E188" s="91" t="s">
        <v>235</v>
      </c>
    </row>
    <row r="189" spans="1:5">
      <c r="A189" s="21">
        <f t="shared" si="4"/>
        <v>66</v>
      </c>
      <c r="B189" s="85" t="str">
        <f ca="1">IFERROR(__xludf.DUMMYFUNCTION("GOOGLETRANSLATE(B2968:B2983,""RU"",""UK"")"),"Фреза черв'яковий модуль ланцюг 15,875 (d. рол.10,16)")</f>
        <v>Фреза черв'яковий модуль ланцюг 15,875 (d. рол.10,16)</v>
      </c>
      <c r="C189" s="59" t="s">
        <v>6</v>
      </c>
      <c r="D189" s="59">
        <v>0</v>
      </c>
      <c r="E189" s="91" t="s">
        <v>75</v>
      </c>
    </row>
    <row r="190" spans="1:5">
      <c r="A190" s="21">
        <f t="shared" si="4"/>
        <v>67</v>
      </c>
      <c r="B190" s="85" t="str">
        <f ca="1">IFERROR(__xludf.DUMMYFUNCTION("GOOGLETRANSLATE(B2969:B2984,""RU"",""UK"")"),"Фреза черв'яковий модуль ланцюг 19,05 (d. рол.11,9) (40x115x110mm)Р6М5")</f>
        <v>Фреза черв'яковий модуль ланцюг 19,05 (d. рол.11,9) (40x115x110mm)Р6М5</v>
      </c>
      <c r="C190" s="59" t="s">
        <v>6</v>
      </c>
      <c r="D190" s="59">
        <v>5</v>
      </c>
      <c r="E190" s="91" t="s">
        <v>75</v>
      </c>
    </row>
    <row r="191" spans="1:5">
      <c r="A191" s="21">
        <f t="shared" si="4"/>
        <v>68</v>
      </c>
      <c r="B191" s="85" t="str">
        <f ca="1">IFERROR(__xludf.DUMMYFUNCTION("GOOGLETRANSLATE(B2970:B2985,""RU"",""UK"")"),"Фреза черв'ячна модуль ланцюг 25,4 (d. рол.15,88) 125х40 L125 Р6М5")</f>
        <v>Фреза черв'ячна модуль ланцюг 25,4 (d. рол.15,88) 125х40 L125 Р6М5</v>
      </c>
      <c r="C191" s="59" t="s">
        <v>6</v>
      </c>
      <c r="D191" s="59">
        <v>3</v>
      </c>
      <c r="E191" s="91" t="s">
        <v>3476</v>
      </c>
    </row>
    <row r="192" spans="1:5">
      <c r="A192" s="21">
        <f t="shared" si="4"/>
        <v>69</v>
      </c>
      <c r="B192" s="237" t="s">
        <v>6445</v>
      </c>
      <c r="C192" s="59" t="s">
        <v>6</v>
      </c>
      <c r="D192" s="59">
        <v>1</v>
      </c>
      <c r="E192" s="91">
        <v>1550</v>
      </c>
    </row>
    <row r="193" spans="1:5">
      <c r="A193" s="21">
        <f t="shared" si="4"/>
        <v>70</v>
      </c>
      <c r="B193" s="237" t="s">
        <v>6446</v>
      </c>
      <c r="C193" s="59" t="s">
        <v>6</v>
      </c>
      <c r="D193" s="59">
        <v>1</v>
      </c>
      <c r="E193" s="91">
        <v>1250</v>
      </c>
    </row>
    <row r="194" spans="1:5">
      <c r="A194" s="21">
        <f t="shared" si="4"/>
        <v>71</v>
      </c>
      <c r="B194" s="85" t="str">
        <f ca="1">IFERROR(__xludf.DUMMYFUNCTION("GOOGLETRANSLATE(B2971:B2986,""RU"",""UK"")"),"Фреза черв'ячна модуль ланцюг 31,75 (d. рол.19,05) 140х40 L140 Р6М5")</f>
        <v>Фреза черв'ячна модуль ланцюг 31,75 (d. рол.19,05) 140х40 L140 Р6М5</v>
      </c>
      <c r="C194" s="59" t="s">
        <v>6</v>
      </c>
      <c r="D194" s="59">
        <v>1</v>
      </c>
      <c r="E194" s="91" t="s">
        <v>914</v>
      </c>
    </row>
    <row r="195" spans="1:5">
      <c r="A195" s="21">
        <f t="shared" si="4"/>
        <v>72</v>
      </c>
      <c r="B195" s="85" t="s">
        <v>6192</v>
      </c>
      <c r="C195" s="59" t="s">
        <v>6</v>
      </c>
      <c r="D195" s="59">
        <v>16</v>
      </c>
      <c r="E195" s="91">
        <v>500</v>
      </c>
    </row>
    <row r="196" spans="1:5">
      <c r="A196" s="21">
        <f t="shared" si="4"/>
        <v>73</v>
      </c>
      <c r="B196" s="85" t="s">
        <v>6193</v>
      </c>
      <c r="C196" s="59" t="s">
        <v>6</v>
      </c>
      <c r="D196" s="59">
        <v>14</v>
      </c>
      <c r="E196" s="91">
        <v>500</v>
      </c>
    </row>
    <row r="197" spans="1:5">
      <c r="A197" s="21">
        <f t="shared" si="4"/>
        <v>74</v>
      </c>
      <c r="B197" s="85" t="s">
        <v>6194</v>
      </c>
      <c r="C197" s="59" t="s">
        <v>6</v>
      </c>
      <c r="D197" s="59">
        <v>1</v>
      </c>
      <c r="E197" s="91">
        <v>500</v>
      </c>
    </row>
    <row r="198" spans="1:5">
      <c r="A198" s="21">
        <f t="shared" si="4"/>
        <v>75</v>
      </c>
      <c r="B198" s="85" t="s">
        <v>6191</v>
      </c>
      <c r="C198" s="59" t="s">
        <v>6</v>
      </c>
      <c r="D198" s="59">
        <v>1</v>
      </c>
      <c r="E198" s="91">
        <v>500</v>
      </c>
    </row>
    <row r="199" spans="1:5">
      <c r="A199" s="21">
        <f t="shared" si="4"/>
        <v>76</v>
      </c>
      <c r="B199" s="164" t="str">
        <f ca="1">IFERROR(__xludf.DUMMYFUNCTION("GOOGLETRANSLATE(B2972:B2987,""RU"",""UK"")"),"Фреза шліцева 6,4 х23, 4х28, 6 п6")</f>
        <v>Фреза шліцева 6,4 х23, 4х28, 6 п6</v>
      </c>
      <c r="C199" s="59" t="s">
        <v>6</v>
      </c>
      <c r="D199" s="26" t="s">
        <v>6195</v>
      </c>
      <c r="E199" s="91" t="s">
        <v>63</v>
      </c>
    </row>
    <row r="200" spans="1:5">
      <c r="A200" s="68" t="s">
        <v>3966</v>
      </c>
      <c r="B200" s="110" t="s">
        <v>6043</v>
      </c>
      <c r="C200" s="69"/>
      <c r="D200" s="69"/>
      <c r="E200" s="106"/>
    </row>
    <row r="201" spans="1:5">
      <c r="A201" s="21">
        <v>1</v>
      </c>
      <c r="B201" s="85" t="str">
        <f ca="1">IFERROR(__xludf.DUMMYFUNCTION("GOOGLETRANSLATE(B2974:B2989,""RU"",""UK"")"),"Фреза кінцева М3Р18двостор.")</f>
        <v>Фреза кінцева М3Р18двостор.</v>
      </c>
      <c r="C201" s="59" t="s">
        <v>6</v>
      </c>
      <c r="D201" s="59">
        <v>286</v>
      </c>
      <c r="E201" s="91">
        <v>27</v>
      </c>
    </row>
    <row r="202" spans="1:5">
      <c r="A202" s="21">
        <v>2</v>
      </c>
      <c r="B202" s="85" t="str">
        <f ca="1">IFERROR(__xludf.DUMMYFUNCTION("GOOGLETRANSLATE(B2974:B2989,""RU"",""UK"")"),"Фреза кінцева М3Р18двостор.")</f>
        <v>Фреза кінцева М3Р18двостор.</v>
      </c>
      <c r="C202" s="59" t="s">
        <v>6</v>
      </c>
      <c r="D202" s="59">
        <v>275</v>
      </c>
      <c r="E202" s="91">
        <v>36</v>
      </c>
    </row>
    <row r="203" spans="1:5">
      <c r="A203" s="21">
        <v>3</v>
      </c>
      <c r="B203" s="85" t="str">
        <f ca="1">IFERROR(__xludf.DUMMYFUNCTION("GOOGLETRANSLATE(B2975:B2990,""RU"",""UK"")"),"Фреза кінцева М4")</f>
        <v>Фреза кінцева М4</v>
      </c>
      <c r="C203" s="59" t="s">
        <v>6</v>
      </c>
      <c r="D203" s="59">
        <v>1201</v>
      </c>
      <c r="E203" s="91" t="s">
        <v>167</v>
      </c>
    </row>
    <row r="204" spans="1:5">
      <c r="A204" s="21">
        <v>4</v>
      </c>
      <c r="B204" s="85" t="str">
        <f ca="1">IFERROR(__xludf.DUMMYFUNCTION("GOOGLETRANSLATE(B2976:B2991,""RU"",""UK"")"),"Фреза кінцева М5")</f>
        <v>Фреза кінцева М5</v>
      </c>
      <c r="C204" s="59" t="s">
        <v>6</v>
      </c>
      <c r="D204" s="59">
        <v>509</v>
      </c>
      <c r="E204" s="91" t="s">
        <v>201</v>
      </c>
    </row>
    <row r="205" spans="1:5">
      <c r="A205" s="21">
        <f t="shared" ref="A205:A272" si="5">A204+1</f>
        <v>5</v>
      </c>
      <c r="B205" s="85" t="str">
        <f ca="1">IFERROR(__xludf.DUMMYFUNCTION("GOOGLETRANSLATE(B2977:B2992,""RU"",""UK"")"),"Фреза кінцева М6")</f>
        <v>Фреза кінцева М6</v>
      </c>
      <c r="C205" s="59" t="s">
        <v>6</v>
      </c>
      <c r="D205" s="59">
        <v>255</v>
      </c>
      <c r="E205" s="91" t="s">
        <v>314</v>
      </c>
    </row>
    <row r="206" spans="1:5">
      <c r="A206" s="21">
        <f t="shared" si="5"/>
        <v>6</v>
      </c>
      <c r="B206" s="85" t="str">
        <f ca="1">IFERROR(__xludf.DUMMYFUNCTION("GOOGLETRANSLATE(B2978:B2993,""RU"",""UK"")"),"Фреза кінцева М8")</f>
        <v>Фреза кінцева М8</v>
      </c>
      <c r="C206" s="59" t="s">
        <v>6</v>
      </c>
      <c r="D206" s="59">
        <v>688</v>
      </c>
      <c r="E206" s="91" t="s">
        <v>598</v>
      </c>
    </row>
    <row r="207" spans="1:5">
      <c r="A207" s="21">
        <f t="shared" si="5"/>
        <v>7</v>
      </c>
      <c r="B207" s="85" t="str">
        <f ca="1">IFERROR(__xludf.DUMMYFUNCTION("GOOGLETRANSLATE(B2979:B2994,""RU"",""UK"")"),"Фреза кінцева М9")</f>
        <v>Фреза кінцева М9</v>
      </c>
      <c r="C207" s="59" t="s">
        <v>6</v>
      </c>
      <c r="D207" s="59">
        <v>82</v>
      </c>
      <c r="E207" s="91" t="s">
        <v>226</v>
      </c>
    </row>
    <row r="208" spans="1:5">
      <c r="A208" s="21">
        <f t="shared" si="5"/>
        <v>8</v>
      </c>
      <c r="B208" s="85" t="str">
        <f ca="1">IFERROR(__xludf.DUMMYFUNCTION("GOOGLETRANSLATE(B2980:B2995,""RU"",""UK"")"),"Фреза кінцева М10")</f>
        <v>Фреза кінцева М10</v>
      </c>
      <c r="C208" s="59" t="s">
        <v>6</v>
      </c>
      <c r="D208" s="59">
        <v>47</v>
      </c>
      <c r="E208" s="91" t="s">
        <v>104</v>
      </c>
    </row>
    <row r="209" spans="1:5">
      <c r="A209" s="21">
        <f t="shared" si="5"/>
        <v>9</v>
      </c>
      <c r="B209" s="85" t="str">
        <f ca="1">IFERROR(__xludf.DUMMYFUNCTION("GOOGLETRANSLATE(B2981:B2996,""RU"",""UK"")"),"Фреза кінцева М10удл")</f>
        <v>Фреза кінцева М10удл</v>
      </c>
      <c r="C209" s="59" t="s">
        <v>6</v>
      </c>
      <c r="D209" s="59">
        <v>5</v>
      </c>
      <c r="E209" s="91" t="s">
        <v>136</v>
      </c>
    </row>
    <row r="210" spans="1:5">
      <c r="A210" s="21">
        <f t="shared" si="5"/>
        <v>10</v>
      </c>
      <c r="B210" s="85" t="str">
        <f ca="1">IFERROR(__xludf.DUMMYFUNCTION("GOOGLETRANSLATE(B2982:B2997,""RU"",""UK"")"),"Фреза кінцева М10 (110х65) 4 пера удл")</f>
        <v>Фреза кінцева М10 (110х65) 4 пера удл</v>
      </c>
      <c r="C210" s="59" t="s">
        <v>6</v>
      </c>
      <c r="D210" s="59">
        <v>2</v>
      </c>
      <c r="E210" s="91" t="s">
        <v>351</v>
      </c>
    </row>
    <row r="211" spans="1:5">
      <c r="A211" s="21">
        <f t="shared" si="5"/>
        <v>11</v>
      </c>
      <c r="B211" s="85" t="str">
        <f ca="1">IFERROR(__xludf.DUMMYFUNCTION("GOOGLETRANSLATE(B2983:B2998,""RU"",""UK"")"),"Фреза кінцева М12")</f>
        <v>Фреза кінцева М12</v>
      </c>
      <c r="C211" s="59" t="s">
        <v>6</v>
      </c>
      <c r="D211" s="59">
        <v>71</v>
      </c>
      <c r="E211" s="91" t="s">
        <v>185</v>
      </c>
    </row>
    <row r="212" spans="1:5">
      <c r="A212" s="21">
        <f t="shared" si="5"/>
        <v>12</v>
      </c>
      <c r="B212" s="85" t="str">
        <f ca="1">IFERROR(__xludf.DUMMYFUNCTION("GOOGLETRANSLATE(B2984:B2999,""RU"",""UK"")"),"Фреза кінцева М12х100(55) 4 пров.")</f>
        <v>Фреза кінцева М12х100(55) 4 пров.</v>
      </c>
      <c r="C212" s="59" t="s">
        <v>6</v>
      </c>
      <c r="D212" s="59">
        <v>2</v>
      </c>
      <c r="E212" s="91" t="s">
        <v>567</v>
      </c>
    </row>
    <row r="213" spans="1:5">
      <c r="A213" s="21">
        <f t="shared" si="5"/>
        <v>13</v>
      </c>
      <c r="B213" s="85" t="str">
        <f ca="1">IFERROR(__xludf.DUMMYFUNCTION("GOOGLETRANSLATE(B2985:B3000,""RU"",""UK"")"),"Фреза кінцева М14")</f>
        <v>Фреза кінцева М14</v>
      </c>
      <c r="C213" s="59" t="s">
        <v>6</v>
      </c>
      <c r="D213" s="59">
        <v>0</v>
      </c>
      <c r="E213" s="91" t="s">
        <v>194</v>
      </c>
    </row>
    <row r="214" spans="1:5">
      <c r="A214" s="21">
        <f t="shared" si="5"/>
        <v>14</v>
      </c>
      <c r="B214" s="85" t="str">
        <f ca="1">IFERROR(__xludf.DUMMYFUNCTION("GOOGLETRANSLATE(B2985:B3000,""RU"",""UK"")"),"Фреза кінцева М14мм 4-х пера")</f>
        <v>Фреза кінцева М14мм 4-х пера</v>
      </c>
      <c r="C214" s="59" t="s">
        <v>6</v>
      </c>
      <c r="D214" s="59">
        <v>1</v>
      </c>
      <c r="E214" s="91" t="s">
        <v>194</v>
      </c>
    </row>
    <row r="215" spans="1:5">
      <c r="A215" s="21">
        <f t="shared" si="5"/>
        <v>15</v>
      </c>
      <c r="B215" s="85" t="str">
        <f ca="1">IFERROR(__xludf.DUMMYFUNCTION("GOOGLETRANSLATE(B2986:B3001,""RU"",""UK"")"),"Фреза кінцева М14 удл")</f>
        <v>Фреза кінцева М14 удл</v>
      </c>
      <c r="C215" s="59" t="s">
        <v>6</v>
      </c>
      <c r="D215" s="59">
        <v>1</v>
      </c>
      <c r="E215" s="91" t="s">
        <v>319</v>
      </c>
    </row>
    <row r="216" spans="1:5">
      <c r="A216" s="21">
        <f t="shared" si="5"/>
        <v>16</v>
      </c>
      <c r="B216" s="85" t="str">
        <f ca="1">IFERROR(__xludf.DUMMYFUNCTION("GOOGLETRANSLATE(B2987:B3002,""RU"",""UK"")"),"Фреза кінцева М16")</f>
        <v>Фреза кінцева М16</v>
      </c>
      <c r="C216" s="59" t="s">
        <v>6</v>
      </c>
      <c r="D216" s="59">
        <v>127</v>
      </c>
      <c r="E216" s="91" t="s">
        <v>319</v>
      </c>
    </row>
    <row r="217" spans="1:5">
      <c r="A217" s="21">
        <f t="shared" si="5"/>
        <v>17</v>
      </c>
      <c r="B217" s="85" t="str">
        <f ca="1">IFERROR(__xludf.DUMMYFUNCTION("GOOGLETRANSLATE(B2988:B3003,""RU"",""UK"")"),"Фреза кінцева М16удл")</f>
        <v>Фреза кінцева М16удл</v>
      </c>
      <c r="C217" s="59" t="s">
        <v>6</v>
      </c>
      <c r="D217" s="59">
        <v>9</v>
      </c>
      <c r="E217" s="91" t="s">
        <v>119</v>
      </c>
    </row>
    <row r="218" spans="1:5">
      <c r="A218" s="21">
        <f t="shared" si="5"/>
        <v>18</v>
      </c>
      <c r="B218" s="85" t="str">
        <f ca="1">IFERROR(__xludf.DUMMYFUNCTION("GOOGLETRANSLATE(B2989:B3004,""RU"",""UK"")"),"Фреза кінцева М18мм 6ти пера")</f>
        <v>Фреза кінцева М18мм 6ти пера</v>
      </c>
      <c r="C218" s="59" t="s">
        <v>6</v>
      </c>
      <c r="D218" s="59">
        <v>1</v>
      </c>
      <c r="E218" s="91" t="s">
        <v>3985</v>
      </c>
    </row>
    <row r="219" spans="1:5">
      <c r="A219" s="21">
        <f t="shared" si="5"/>
        <v>19</v>
      </c>
      <c r="B219" s="85" t="str">
        <f ca="1">IFERROR(__xludf.DUMMYFUNCTION("GOOGLETRANSLATE(B2990:B3005,""RU"",""UK"")"),"Фреза кінцева М18 удл.")</f>
        <v>Фреза кінцева М18 удл.</v>
      </c>
      <c r="C219" s="59" t="s">
        <v>6</v>
      </c>
      <c r="D219" s="59">
        <v>2</v>
      </c>
      <c r="E219" s="91" t="s">
        <v>1688</v>
      </c>
    </row>
    <row r="220" spans="1:5">
      <c r="A220" s="21">
        <f t="shared" si="5"/>
        <v>20</v>
      </c>
      <c r="B220" s="85" t="str">
        <f ca="1">IFERROR(__xludf.DUMMYFUNCTION("GOOGLETRANSLATE(B2991:B3006,""RU"",""UK"")"),"Фреза кінцева М20")</f>
        <v>Фреза кінцева М20</v>
      </c>
      <c r="C220" s="59" t="s">
        <v>6</v>
      </c>
      <c r="D220" s="59">
        <v>6</v>
      </c>
      <c r="E220" s="91" t="s">
        <v>119</v>
      </c>
    </row>
    <row r="221" spans="1:5">
      <c r="A221" s="21">
        <f t="shared" si="5"/>
        <v>21</v>
      </c>
      <c r="B221" s="169" t="str">
        <f ca="1">IFERROR(__xludf.DUMMYFUNCTION("GOOGLETRANSLATE(B2992:B3007,""RU"",""UK"")"),"Фреза кінцева М20 удл.(150мм) 6ти пера")</f>
        <v>Фреза кінцева М20 удл.(150мм) 6ти пера</v>
      </c>
      <c r="C221" s="59" t="s">
        <v>6</v>
      </c>
      <c r="D221" s="59">
        <v>2</v>
      </c>
      <c r="E221" s="91" t="s">
        <v>3989</v>
      </c>
    </row>
    <row r="222" spans="1:5">
      <c r="A222" s="21">
        <f t="shared" si="5"/>
        <v>22</v>
      </c>
      <c r="B222" s="85" t="str">
        <f ca="1">IFERROR(__xludf.DUMMYFUNCTION("GOOGLETRANSLATE(B2993:B3008,""RU"",""UK"")"),"Фреза кінцева М14к/хв.")</f>
        <v>Фреза кінцева М14к/хв.</v>
      </c>
      <c r="C222" s="59" t="s">
        <v>6</v>
      </c>
      <c r="D222" s="59">
        <v>132</v>
      </c>
      <c r="E222" s="91" t="s">
        <v>263</v>
      </c>
    </row>
    <row r="223" spans="1:5">
      <c r="A223" s="21">
        <f t="shared" si="5"/>
        <v>23</v>
      </c>
      <c r="B223" s="85" t="str">
        <f ca="1">IFERROR(__xludf.DUMMYFUNCTION("GOOGLETRANSLATE(B2994:B3009,""RU"",""UK"")"),"Фреза кінцева М14к/хв удл")</f>
        <v>Фреза кінцева М14к/хв удл</v>
      </c>
      <c r="C223" s="59" t="s">
        <v>6</v>
      </c>
      <c r="D223" s="59">
        <v>8</v>
      </c>
      <c r="E223" s="91" t="s">
        <v>327</v>
      </c>
    </row>
    <row r="224" spans="1:5">
      <c r="A224" s="21">
        <f t="shared" si="5"/>
        <v>24</v>
      </c>
      <c r="B224" s="85" t="str">
        <f ca="1">IFERROR(__xludf.DUMMYFUNCTION("GOOGLETRANSLATE(B2995:B3010,""RU"",""UK"")"),"Фреза кінцева М15к/хв.")</f>
        <v>Фреза кінцева М15к/хв.</v>
      </c>
      <c r="C224" s="59" t="s">
        <v>6</v>
      </c>
      <c r="D224" s="59">
        <v>1</v>
      </c>
      <c r="E224" s="91" t="s">
        <v>327</v>
      </c>
    </row>
    <row r="225" spans="1:5">
      <c r="A225" s="21">
        <f t="shared" si="5"/>
        <v>25</v>
      </c>
      <c r="B225" s="85" t="str">
        <f ca="1">IFERROR(__xludf.DUMMYFUNCTION("GOOGLETRANSLATE(B2996:B3011,""RU"",""UK"")"),"Фреза кінцева М16к/хв")</f>
        <v>Фреза кінцева М16к/хв</v>
      </c>
      <c r="C225" s="59" t="s">
        <v>6</v>
      </c>
      <c r="D225" s="59">
        <v>28</v>
      </c>
      <c r="E225" s="91" t="s">
        <v>327</v>
      </c>
    </row>
    <row r="226" spans="1:5">
      <c r="A226" s="21">
        <f t="shared" si="5"/>
        <v>26</v>
      </c>
      <c r="B226" s="85" t="str">
        <f ca="1">IFERROR(__xludf.DUMMYFUNCTION("GOOGLETRANSLATE(B2997:B3012,""RU"",""UK"")"),"Фреза кінцева М16х55к/хв удл")</f>
        <v>Фреза кінцева М16х55к/хв удл</v>
      </c>
      <c r="C226" s="59" t="s">
        <v>6</v>
      </c>
      <c r="D226" s="59">
        <v>2</v>
      </c>
      <c r="E226" s="91" t="s">
        <v>140</v>
      </c>
    </row>
    <row r="227" spans="1:5">
      <c r="A227" s="21">
        <f t="shared" si="5"/>
        <v>27</v>
      </c>
      <c r="B227" s="85" t="str">
        <f ca="1">IFERROR(__xludf.DUMMYFUNCTION("GOOGLETRANSLATE(B2998:B3013,""RU"",""UK"")"),"Фреза кінцева М16 (раб 120) к/хв")</f>
        <v>Фреза кінцева М16 (раб 120) к/хв</v>
      </c>
      <c r="C227" s="59" t="s">
        <v>6</v>
      </c>
      <c r="D227" s="59">
        <v>1</v>
      </c>
      <c r="E227" s="91" t="s">
        <v>20</v>
      </c>
    </row>
    <row r="228" spans="1:5">
      <c r="A228" s="21">
        <f t="shared" si="5"/>
        <v>28</v>
      </c>
      <c r="B228" s="85" t="str">
        <f ca="1">IFERROR(__xludf.DUMMYFUNCTION("GOOGLETRANSLATE(B2999:B3014,""RU"",""UK"")"),"Фреза кінцева М18к/хв")</f>
        <v>Фреза кінцева М18к/хв</v>
      </c>
      <c r="C228" s="59" t="s">
        <v>6</v>
      </c>
      <c r="D228" s="59">
        <v>47</v>
      </c>
      <c r="E228" s="91" t="s">
        <v>140</v>
      </c>
    </row>
    <row r="229" spans="1:5">
      <c r="A229" s="21">
        <f t="shared" si="5"/>
        <v>29</v>
      </c>
      <c r="B229" s="85" t="str">
        <f ca="1">IFERROR(__xludf.DUMMYFUNCTION("GOOGLETRANSLATE(B3000:B3015,""RU"",""UK"")"),"Фреза кінцева М18удл к/кв.")</f>
        <v>Фреза кінцева М18удл к/кв.</v>
      </c>
      <c r="C229" s="59" t="s">
        <v>6</v>
      </c>
      <c r="D229" s="59">
        <v>45</v>
      </c>
      <c r="E229" s="91" t="s">
        <v>20</v>
      </c>
    </row>
    <row r="230" spans="1:5">
      <c r="A230" s="21">
        <f t="shared" si="5"/>
        <v>30</v>
      </c>
      <c r="B230" s="85" t="str">
        <f ca="1">IFERROR(__xludf.DUMMYFUNCTION("GOOGLETRANSLATE(B2999:B3014,""RU"",""UK"")"),"Фреза кінцева М18,5к/хв")</f>
        <v>Фреза кінцева М18,5к/хв</v>
      </c>
      <c r="C230" s="59" t="s">
        <v>6</v>
      </c>
      <c r="D230" s="59">
        <v>94</v>
      </c>
      <c r="E230" s="91" t="s">
        <v>140</v>
      </c>
    </row>
    <row r="231" spans="1:5">
      <c r="A231" s="21">
        <f t="shared" si="5"/>
        <v>31</v>
      </c>
      <c r="B231" s="85" t="str">
        <f ca="1">IFERROR(__xludf.DUMMYFUNCTION("GOOGLETRANSLATE(B3001:B3016,""RU"",""UK"")"),"Фреза кінцева М19,7к/хв")</f>
        <v>Фреза кінцева М19,7к/хв</v>
      </c>
      <c r="C231" s="59" t="s">
        <v>6</v>
      </c>
      <c r="D231" s="59">
        <v>2</v>
      </c>
      <c r="E231" s="91" t="s">
        <v>24</v>
      </c>
    </row>
    <row r="232" spans="1:5">
      <c r="A232" s="21">
        <f t="shared" si="5"/>
        <v>32</v>
      </c>
      <c r="B232" s="85" t="str">
        <f ca="1">IFERROR(__xludf.DUMMYFUNCTION("GOOGLETRANSLATE(B3001:B3016,""RU"",""UK"")"),"Фреза кінцева М20к/хв")</f>
        <v>Фреза кінцева М20к/хв</v>
      </c>
      <c r="C232" s="59" t="s">
        <v>6</v>
      </c>
      <c r="D232" s="59">
        <v>149</v>
      </c>
      <c r="E232" s="91" t="s">
        <v>24</v>
      </c>
    </row>
    <row r="233" spans="1:5">
      <c r="A233" s="21">
        <f t="shared" si="5"/>
        <v>33</v>
      </c>
      <c r="B233" s="85" t="str">
        <f ca="1">IFERROR(__xludf.DUMMYFUNCTION("GOOGLETRANSLATE(B3001:B3016,""RU"",""UK"")"),"Фреза кінцева М20.9к/хв")</f>
        <v>Фреза кінцева М20.9к/хв</v>
      </c>
      <c r="C233" s="59" t="s">
        <v>6</v>
      </c>
      <c r="D233" s="59">
        <v>1</v>
      </c>
      <c r="E233" s="91" t="s">
        <v>24</v>
      </c>
    </row>
    <row r="234" spans="1:5">
      <c r="A234" s="21">
        <f t="shared" si="5"/>
        <v>34</v>
      </c>
      <c r="B234" s="85" t="str">
        <f ca="1">IFERROR(__xludf.DUMMYFUNCTION("GOOGLETRANSLATE(B3002:B3017,""RU"",""UK"")"),"Фреза кінцева М20х70удл Z5 к/хв КМ2")</f>
        <v>Фреза кінцева М20х70удл Z5 к/хв КМ2</v>
      </c>
      <c r="C234" s="59" t="s">
        <v>6</v>
      </c>
      <c r="D234" s="59">
        <v>1</v>
      </c>
      <c r="E234" s="91" t="s">
        <v>3918</v>
      </c>
    </row>
    <row r="235" spans="1:5">
      <c r="A235" s="21">
        <f t="shared" si="5"/>
        <v>35</v>
      </c>
      <c r="B235" s="85" t="str">
        <f ca="1">IFERROR(__xludf.DUMMYFUNCTION("GOOGLETRANSLATE(B3003:B3018,""RU"",""UK"")"),"Фреза кінцева М20х170(70) удл Z5 к/хв КМ3")</f>
        <v>Фреза кінцева М20х170(70) удл Z5 к/хв КМ3</v>
      </c>
      <c r="C235" s="59" t="s">
        <v>6</v>
      </c>
      <c r="D235" s="59">
        <v>1</v>
      </c>
      <c r="E235" s="91" t="s">
        <v>3918</v>
      </c>
    </row>
    <row r="236" spans="1:5">
      <c r="A236" s="21">
        <f t="shared" si="5"/>
        <v>36</v>
      </c>
      <c r="B236" s="85" t="str">
        <f ca="1">IFERROR(__xludf.DUMMYFUNCTION("GOOGLETRANSLATE(B3004:B3019,""RU"",""UK"")"),"Фреза кінцева М20 удл к.хв")</f>
        <v>Фреза кінцева М20 удл к.хв</v>
      </c>
      <c r="C236" s="59" t="s">
        <v>6</v>
      </c>
      <c r="D236" s="59">
        <v>2</v>
      </c>
      <c r="E236" s="91" t="s">
        <v>3918</v>
      </c>
    </row>
    <row r="237" spans="1:5">
      <c r="A237" s="21">
        <f t="shared" si="5"/>
        <v>37</v>
      </c>
      <c r="B237" s="85" t="str">
        <f ca="1">IFERROR(__xludf.DUMMYFUNCTION("GOOGLETRANSLATE(B3005:B3020,""RU"",""UK"")"),"Фреза кінцева М20х100удл к/хв")</f>
        <v>Фреза кінцева М20х100удл к/хв</v>
      </c>
      <c r="C237" s="59" t="s">
        <v>6</v>
      </c>
      <c r="D237" s="59">
        <v>6</v>
      </c>
      <c r="E237" s="91" t="s">
        <v>3918</v>
      </c>
    </row>
    <row r="238" spans="1:5">
      <c r="A238" s="21">
        <f t="shared" si="5"/>
        <v>38</v>
      </c>
      <c r="B238" s="85" t="str">
        <f ca="1">IFERROR(__xludf.DUMMYFUNCTION("GOOGLETRANSLATE(B3006:B3021,""RU"",""UK"")"),"Фреза кінцева М20х200 (раб 40мм) удл к/хв")</f>
        <v>Фреза кінцева М20х200 (раб 40мм) удл к/хв</v>
      </c>
      <c r="C238" s="59" t="s">
        <v>6</v>
      </c>
      <c r="D238" s="59">
        <v>2</v>
      </c>
      <c r="E238" s="91" t="s">
        <v>3918</v>
      </c>
    </row>
    <row r="239" spans="1:5">
      <c r="A239" s="21">
        <f t="shared" si="5"/>
        <v>39</v>
      </c>
      <c r="B239" s="85" t="str">
        <f ca="1">IFERROR(__xludf.DUMMYFUNCTION("GOOGLETRANSLATE(B3007:B3022,""RU"",""UK"")"),"Фреза кінцева М21,3 4 пер. Т/с  /М22к/хв")</f>
        <v>Фреза кінцева М21,3 4 пер. Т/с  /М22к/хв</v>
      </c>
      <c r="C239" s="59" t="s">
        <v>6</v>
      </c>
      <c r="D239" s="59" t="s">
        <v>6375</v>
      </c>
      <c r="E239" s="91" t="s">
        <v>106</v>
      </c>
    </row>
    <row r="240" spans="1:5">
      <c r="A240" s="21">
        <f t="shared" si="5"/>
        <v>40</v>
      </c>
      <c r="B240" s="85" t="str">
        <f ca="1">IFERROR(__xludf.DUMMYFUNCTION("GOOGLETRANSLATE(B3008:B3023,""RU"",""UK"")"),"Фреза кінцева М22х60удл.к/хв/М22х90удл.")</f>
        <v>Фреза кінцева М22х60удл.к/хв/М22х90удл.</v>
      </c>
      <c r="C240" s="59" t="s">
        <v>6</v>
      </c>
      <c r="D240" s="59" t="s">
        <v>4010</v>
      </c>
      <c r="E240" s="91" t="s">
        <v>27</v>
      </c>
    </row>
    <row r="241" spans="1:5">
      <c r="A241" s="21">
        <f t="shared" si="5"/>
        <v>41</v>
      </c>
      <c r="B241" s="85" t="str">
        <f ca="1">IFERROR(__xludf.DUMMYFUNCTION("GOOGLETRANSLATE(B3009:B3024,""RU"",""UK"")"),"Фреза кінцева М24к/хв 3х пров.")</f>
        <v>Фреза кінцева М24к/хв 3х пров.</v>
      </c>
      <c r="C241" s="37" t="s">
        <v>6</v>
      </c>
      <c r="D241" s="37">
        <v>2</v>
      </c>
      <c r="E241" s="92" t="s">
        <v>22</v>
      </c>
    </row>
    <row r="242" spans="1:5">
      <c r="A242" s="21">
        <f t="shared" si="5"/>
        <v>42</v>
      </c>
      <c r="B242" s="85" t="str">
        <f ca="1">IFERROR(__xludf.DUMMYFUNCTION("GOOGLETRANSLATE(B3010:B3025,""RU"",""UK"")"),"Фреза кінцева М25ц/хв")</f>
        <v>Фреза кінцева М25ц/хв</v>
      </c>
      <c r="C242" s="59" t="s">
        <v>6</v>
      </c>
      <c r="D242" s="59">
        <v>11</v>
      </c>
      <c r="E242" s="91" t="s">
        <v>22</v>
      </c>
    </row>
    <row r="243" spans="1:5">
      <c r="A243" s="21">
        <f t="shared" si="5"/>
        <v>43</v>
      </c>
      <c r="B243" s="85" t="str">
        <f ca="1">IFERROR(__xludf.DUMMYFUNCTION("GOOGLETRANSLATE(B3011:B3026,""RU"",""UK"")"),"Фреза кінцева М25к/хв Z3/Z5")</f>
        <v>Фреза кінцева М25к/хв Z3/Z5</v>
      </c>
      <c r="C243" s="59" t="s">
        <v>6</v>
      </c>
      <c r="D243" s="159" t="s">
        <v>6238</v>
      </c>
      <c r="E243" s="91" t="s">
        <v>22</v>
      </c>
    </row>
    <row r="244" spans="1:5">
      <c r="A244" s="21">
        <f t="shared" si="5"/>
        <v>44</v>
      </c>
      <c r="B244" s="85" t="str">
        <f ca="1">IFERROR(__xludf.DUMMYFUNCTION("GOOGLETRANSLATE(B3012:B3027,""RU"",""UK"")"),"Фреза кінцева М25х50 Z5 КМ3 Р18к/хв")</f>
        <v>Фреза кінцева М25х50 Z5 КМ3 Р18к/хв</v>
      </c>
      <c r="C244" s="59" t="s">
        <v>6</v>
      </c>
      <c r="D244" s="59">
        <v>1</v>
      </c>
      <c r="E244" s="91" t="s">
        <v>413</v>
      </c>
    </row>
    <row r="245" spans="1:5">
      <c r="A245" s="21">
        <f t="shared" si="5"/>
        <v>45</v>
      </c>
      <c r="B245" s="85" t="str">
        <f ca="1">IFERROR(__xludf.DUMMYFUNCTION("GOOGLETRANSLATE(B3014:B3029,""RU"",""UK"")"),"Фреза кінцева М25х80 удл.")</f>
        <v>Фреза кінцева М25х80 удл.</v>
      </c>
      <c r="C245" s="59" t="s">
        <v>6</v>
      </c>
      <c r="D245" s="59">
        <v>1</v>
      </c>
      <c r="E245" s="91" t="s">
        <v>53</v>
      </c>
    </row>
    <row r="246" spans="1:5">
      <c r="A246" s="21">
        <f t="shared" si="5"/>
        <v>46</v>
      </c>
      <c r="B246" s="85" t="str">
        <f ca="1">IFERROR(__xludf.DUMMYFUNCTION("GOOGLETRANSLATE(B3015:B3030,""RU"",""UK"")"),"Фреза кінцева М25х100 удл.")</f>
        <v>Фреза кінцева М25х100 удл.</v>
      </c>
      <c r="C246" s="59" t="s">
        <v>6</v>
      </c>
      <c r="D246" s="59">
        <v>12</v>
      </c>
      <c r="E246" s="91" t="s">
        <v>78</v>
      </c>
    </row>
    <row r="247" spans="1:5">
      <c r="A247" s="21">
        <f t="shared" si="5"/>
        <v>47</v>
      </c>
      <c r="B247" s="85" t="str">
        <f ca="1">IFERROR(__xludf.DUMMYFUNCTION("GOOGLETRANSLATE(B3016:B3031,""RU"",""UK"")"),"Фреза кінцева М26к/хв")</f>
        <v>Фреза кінцева М26к/хв</v>
      </c>
      <c r="C247" s="59" t="s">
        <v>6</v>
      </c>
      <c r="D247" s="59">
        <v>1</v>
      </c>
      <c r="E247" s="91" t="s">
        <v>272</v>
      </c>
    </row>
    <row r="248" spans="1:5">
      <c r="A248" s="21">
        <f t="shared" si="5"/>
        <v>48</v>
      </c>
      <c r="B248" s="85" t="str">
        <f ca="1">IFERROR(__xludf.DUMMYFUNCTION("GOOGLETRANSLATE(B3018:B3033,""RU"",""UK"")"),"Фреза кінцева М26х260 (120) КМ4 удл.")</f>
        <v>Фреза кінцева М26х260 (120) КМ4 удл.</v>
      </c>
      <c r="C248" s="59" t="s">
        <v>6</v>
      </c>
      <c r="D248" s="59">
        <v>5</v>
      </c>
      <c r="E248" s="91" t="s">
        <v>78</v>
      </c>
    </row>
    <row r="249" spans="1:5">
      <c r="A249" s="21">
        <f t="shared" si="5"/>
        <v>49</v>
      </c>
      <c r="B249" s="85" t="str">
        <f ca="1">IFERROR(__xludf.DUMMYFUNCTION("GOOGLETRANSLATE(B3019:B3034,""RU"",""UK"")"),"Фреза кінцева М28к/хв")</f>
        <v>Фреза кінцева М28к/хв</v>
      </c>
      <c r="C249" s="59" t="s">
        <v>6</v>
      </c>
      <c r="D249" s="59">
        <v>98</v>
      </c>
      <c r="E249" s="91" t="s">
        <v>272</v>
      </c>
    </row>
    <row r="250" spans="1:5">
      <c r="A250" s="21">
        <f t="shared" si="5"/>
        <v>50</v>
      </c>
      <c r="B250" s="85" t="str">
        <f ca="1">IFERROR(__xludf.DUMMYFUNCTION("GOOGLETRANSLATE(B3020:B3035,""RU"",""UK"")"),"Фреза кінцева М28х90удл. КМ4 Z3")</f>
        <v>Фреза кінцева М28х90удл. КМ4 Z3</v>
      </c>
      <c r="C250" s="59" t="s">
        <v>6</v>
      </c>
      <c r="D250" s="59">
        <v>1</v>
      </c>
      <c r="E250" s="91" t="s">
        <v>4024</v>
      </c>
    </row>
    <row r="251" spans="1:5">
      <c r="A251" s="21">
        <f t="shared" si="5"/>
        <v>51</v>
      </c>
      <c r="B251" s="85" t="str">
        <f ca="1">IFERROR(__xludf.DUMMYFUNCTION("GOOGLETRANSLATE(B3021:B3036,""RU"",""UK"")"),"Фреза кінцева М28х100удл. к/хв")</f>
        <v>Фреза кінцева М28х100удл. к/хв</v>
      </c>
      <c r="C251" s="59" t="s">
        <v>6</v>
      </c>
      <c r="D251" s="37">
        <v>1</v>
      </c>
      <c r="E251" s="91" t="s">
        <v>4026</v>
      </c>
    </row>
    <row r="252" spans="1:5">
      <c r="A252" s="21">
        <f t="shared" si="5"/>
        <v>52</v>
      </c>
      <c r="B252" s="85" t="str">
        <f ca="1">IFERROR(__xludf.DUMMYFUNCTION("GOOGLETRANSLATE(B3022:B3037,""RU"",""UK"")"),"Фреза кінцева М28х280удл.Z4 КМ4")</f>
        <v>Фреза кінцева М28х280удл.Z4 КМ4</v>
      </c>
      <c r="C252" s="59" t="s">
        <v>6</v>
      </c>
      <c r="D252" s="37">
        <v>1</v>
      </c>
      <c r="E252" s="91" t="s">
        <v>4026</v>
      </c>
    </row>
    <row r="253" spans="1:5">
      <c r="A253" s="21">
        <f t="shared" si="5"/>
        <v>53</v>
      </c>
      <c r="B253" s="85" t="str">
        <f ca="1">IFERROR(__xludf.DUMMYFUNCTION("GOOGLETRANSLATE(B3023:B3038,""RU"",""UK"")"),"Фреза кінцева М30 Z4 КМ4 Р6М5")</f>
        <v>Фреза кінцева М30 Z4 КМ4 Р6М5</v>
      </c>
      <c r="C253" s="59" t="s">
        <v>6</v>
      </c>
      <c r="D253" s="167">
        <v>2</v>
      </c>
      <c r="E253" s="91" t="s">
        <v>138</v>
      </c>
    </row>
    <row r="254" spans="1:5">
      <c r="A254" s="21">
        <f t="shared" si="5"/>
        <v>54</v>
      </c>
      <c r="B254" s="85" t="str">
        <f ca="1">IFERROR(__xludf.DUMMYFUNCTION("GOOGLETRANSLATE(B3023:B3038,""RU"",""UK"")"),"Фреза кінцева М30 Z6 КМ4 Р18")</f>
        <v>Фреза кінцева М30 Z6 КМ4 Р18</v>
      </c>
      <c r="C254" s="59" t="s">
        <v>6</v>
      </c>
      <c r="D254" s="167">
        <v>2</v>
      </c>
      <c r="E254" s="91" t="s">
        <v>138</v>
      </c>
    </row>
    <row r="255" spans="1:5">
      <c r="A255" s="21">
        <f t="shared" si="5"/>
        <v>55</v>
      </c>
      <c r="B255" s="85" t="str">
        <f ca="1">IFERROR(__xludf.DUMMYFUNCTION("GOOGLETRANSLATE(B3024:B3039,""RU"",""UK"")"),"Фреза кінцева М30х70 Z4 КМ4 удл.")</f>
        <v>Фреза кінцева М30х70 Z4 КМ4 удл.</v>
      </c>
      <c r="C255" s="59" t="s">
        <v>6</v>
      </c>
      <c r="D255" s="59">
        <v>1</v>
      </c>
      <c r="E255" s="91" t="s">
        <v>33</v>
      </c>
    </row>
    <row r="256" spans="1:5">
      <c r="A256" s="21">
        <f t="shared" si="5"/>
        <v>56</v>
      </c>
      <c r="B256" s="85" t="str">
        <f ca="1">IFERROR(__xludf.DUMMYFUNCTION("GOOGLETRANSLATE(B3025:B3040,""RU"",""UK"")"),"Фреза кінцева М30х130к/хв удл.")</f>
        <v>Фреза кінцева М30х130к/хв удл.</v>
      </c>
      <c r="C256" s="59" t="s">
        <v>6</v>
      </c>
      <c r="D256" s="59">
        <v>1</v>
      </c>
      <c r="E256" s="91" t="s">
        <v>283</v>
      </c>
    </row>
    <row r="257" spans="1:5">
      <c r="A257" s="21">
        <f t="shared" si="5"/>
        <v>57</v>
      </c>
      <c r="B257" s="85" t="str">
        <f ca="1">IFERROR(__xludf.DUMMYFUNCTION("GOOGLETRANSLATE(B3026:B3041,""RU"",""UK"")"),"Фреза кінцева М30х150к/хв удл")</f>
        <v>Фреза кінцева М30х150к/хв удл</v>
      </c>
      <c r="C257" s="59" t="s">
        <v>6</v>
      </c>
      <c r="D257" s="59">
        <v>3</v>
      </c>
      <c r="E257" s="91" t="s">
        <v>102</v>
      </c>
    </row>
    <row r="258" spans="1:5">
      <c r="A258" s="21">
        <f t="shared" si="5"/>
        <v>58</v>
      </c>
      <c r="B258" s="85" t="str">
        <f ca="1">IFERROR(__xludf.DUMMYFUNCTION("GOOGLETRANSLATE(B3027:B3042,""RU"",""UK"")"),"Фреза кінцева М30х200к/хв удл.")</f>
        <v>Фреза кінцева М30х200к/хв удл.</v>
      </c>
      <c r="C258" s="59" t="s">
        <v>6</v>
      </c>
      <c r="D258" s="59">
        <v>4</v>
      </c>
      <c r="E258" s="91" t="s">
        <v>88</v>
      </c>
    </row>
    <row r="259" spans="1:5">
      <c r="A259" s="21">
        <f t="shared" si="5"/>
        <v>59</v>
      </c>
      <c r="B259" s="85" t="str">
        <f ca="1">IFERROR(__xludf.DUMMYFUNCTION("GOOGLETRANSLATE(B3028:B3043,""RU"",""UK"")"),"Фреза кінцева 32 ц/хв")</f>
        <v>Фреза кінцева 32 ц/хв</v>
      </c>
      <c r="C259" s="59" t="s">
        <v>6</v>
      </c>
      <c r="D259" s="59">
        <v>11</v>
      </c>
      <c r="E259" s="91" t="s">
        <v>413</v>
      </c>
    </row>
    <row r="260" spans="1:5">
      <c r="A260" s="21">
        <f t="shared" si="5"/>
        <v>60</v>
      </c>
      <c r="B260" s="85" t="str">
        <f ca="1">IFERROR(__xludf.DUMMYFUNCTION("GOOGLETRANSLATE(B3028:B3043,""RU"",""UK"")"),"Фреза кінцева М32к/хв")</f>
        <v>Фреза кінцева М32к/хв</v>
      </c>
      <c r="C260" s="59" t="s">
        <v>6</v>
      </c>
      <c r="D260" s="59">
        <v>77</v>
      </c>
      <c r="E260" s="91" t="s">
        <v>413</v>
      </c>
    </row>
    <row r="261" spans="1:5">
      <c r="A261" s="21">
        <f t="shared" si="5"/>
        <v>61</v>
      </c>
      <c r="B261" s="85" t="str">
        <f ca="1">IFERROR(__xludf.DUMMYFUNCTION("GOOGLETRANSLATE(B3029:B3044,""RU"",""UK"")"),"Фреза кінцева М32 Z6 КМ4")</f>
        <v>Фреза кінцева М32 Z6 КМ4</v>
      </c>
      <c r="C261" s="59" t="s">
        <v>6</v>
      </c>
      <c r="D261" s="59">
        <v>1</v>
      </c>
      <c r="E261" s="91" t="s">
        <v>413</v>
      </c>
    </row>
    <row r="262" spans="1:5">
      <c r="A262" s="21">
        <f t="shared" si="5"/>
        <v>62</v>
      </c>
      <c r="B262" s="85" t="str">
        <f ca="1">IFERROR(__xludf.DUMMYFUNCTION("GOOGLETRANSLATE(B3030:B3045,""RU"",""UK"")"),"Фреза кінцева М32х160удл.")</f>
        <v>Фреза кінцева М32х160удл.</v>
      </c>
      <c r="C262" s="59" t="s">
        <v>6</v>
      </c>
      <c r="D262" s="59">
        <v>5</v>
      </c>
      <c r="E262" s="91" t="s">
        <v>4026</v>
      </c>
    </row>
    <row r="263" spans="1:5">
      <c r="A263" s="21">
        <f t="shared" si="5"/>
        <v>63</v>
      </c>
      <c r="B263" s="85" t="str">
        <f ca="1">IFERROR(__xludf.DUMMYFUNCTION("GOOGLETRANSLATE(B3031:B3046,""RU"",""UK"")"),"Фреза кінцева М34 КМ4 Z4")</f>
        <v>Фреза кінцева М34 КМ4 Z4</v>
      </c>
      <c r="C263" s="59" t="s">
        <v>6</v>
      </c>
      <c r="D263" s="59">
        <v>3</v>
      </c>
      <c r="E263" s="91" t="s">
        <v>53</v>
      </c>
    </row>
    <row r="264" spans="1:5">
      <c r="A264" s="21">
        <f t="shared" si="5"/>
        <v>64</v>
      </c>
      <c r="B264" s="85" t="str">
        <f ca="1">IFERROR(__xludf.DUMMYFUNCTION("GOOGLETRANSLATE(B3032:B3047,""RU"",""UK"")"),"Фреза кінцева М35к/хв")</f>
        <v>Фреза кінцева М35к/хв</v>
      </c>
      <c r="C264" s="59" t="s">
        <v>6</v>
      </c>
      <c r="D264" s="59">
        <v>23</v>
      </c>
      <c r="E264" s="91" t="s">
        <v>53</v>
      </c>
    </row>
    <row r="265" spans="1:5">
      <c r="A265" s="21">
        <f t="shared" si="5"/>
        <v>65</v>
      </c>
      <c r="B265" s="85" t="str">
        <f ca="1">IFERROR(__xludf.DUMMYFUNCTION("GOOGLETRANSLATE(B3033:B3048,""RU"",""UK"")"),"Фреза кінцева М35удл. к/хв")</f>
        <v>Фреза кінцева М35удл. к/хв</v>
      </c>
      <c r="C265" s="59" t="s">
        <v>6</v>
      </c>
      <c r="D265" s="59">
        <v>4</v>
      </c>
      <c r="E265" s="91" t="s">
        <v>100</v>
      </c>
    </row>
    <row r="266" spans="1:5">
      <c r="A266" s="21">
        <f t="shared" si="5"/>
        <v>66</v>
      </c>
      <c r="B266" s="85" t="str">
        <f ca="1">IFERROR(__xludf.DUMMYFUNCTION("GOOGLETRANSLATE(B3034:B3049,""RU"",""UK"")"),"Фреза кінцева М36к/хв.")</f>
        <v>Фреза кінцева М36к/хв.</v>
      </c>
      <c r="C266" s="59" t="s">
        <v>6</v>
      </c>
      <c r="D266" s="59">
        <v>112</v>
      </c>
      <c r="E266" s="91" t="s">
        <v>36</v>
      </c>
    </row>
    <row r="267" spans="1:5">
      <c r="A267" s="21">
        <f t="shared" si="5"/>
        <v>67</v>
      </c>
      <c r="B267" s="85" t="str">
        <f ca="1">IFERROR(__xludf.DUMMYFUNCTION("GOOGLETRANSLATE(B3035:B3050,""RU"",""UK"")"),"Фреза кінцева М36удл. к/хв")</f>
        <v>Фреза кінцева М36удл. к/хв</v>
      </c>
      <c r="C267" s="59" t="s">
        <v>6</v>
      </c>
      <c r="D267" s="59">
        <v>39</v>
      </c>
      <c r="E267" s="91" t="s">
        <v>100</v>
      </c>
    </row>
    <row r="268" spans="1:5">
      <c r="A268" s="21">
        <f t="shared" si="5"/>
        <v>68</v>
      </c>
      <c r="B268" s="85" t="str">
        <f ca="1">IFERROR(__xludf.DUMMYFUNCTION("GOOGLETRANSLATE(B3036:B3051,""RU"",""UK"")"),"Фреза кінцева М36х140удл. к/хв Z4")</f>
        <v>Фреза кінцева М36х140удл. к/хв Z4</v>
      </c>
      <c r="C268" s="59" t="s">
        <v>6</v>
      </c>
      <c r="D268" s="59">
        <v>2</v>
      </c>
      <c r="E268" s="91" t="s">
        <v>100</v>
      </c>
    </row>
    <row r="269" spans="1:5">
      <c r="A269" s="21">
        <f t="shared" si="5"/>
        <v>69</v>
      </c>
      <c r="B269" s="85" t="str">
        <f ca="1">IFERROR(__xludf.DUMMYFUNCTION("GOOGLETRANSLATE(B3037:B3052,""RU"",""UK"")"),"Фреза кінцева М36, 8х100удл. к/хв")</f>
        <v>Фреза кінцева М36, 8х100удл. к/хв</v>
      </c>
      <c r="C269" s="59" t="s">
        <v>6</v>
      </c>
      <c r="D269" s="59">
        <v>1</v>
      </c>
      <c r="E269" s="91" t="s">
        <v>100</v>
      </c>
    </row>
    <row r="270" spans="1:5">
      <c r="A270" s="21">
        <f t="shared" si="5"/>
        <v>70</v>
      </c>
      <c r="B270" s="85" t="str">
        <f ca="1">IFERROR(__xludf.DUMMYFUNCTION("GOOGLETRANSLATE(B3038:B3053,""RU"",""UK"")"),"Фреза кінцева М38 (225х100) удл. к/хв")</f>
        <v>Фреза кінцева М38 (225х100) удл. к/хв</v>
      </c>
      <c r="C270" s="59" t="s">
        <v>6</v>
      </c>
      <c r="D270" s="59">
        <v>2</v>
      </c>
      <c r="E270" s="91" t="s">
        <v>283</v>
      </c>
    </row>
    <row r="271" spans="1:5">
      <c r="A271" s="21">
        <f t="shared" si="5"/>
        <v>71</v>
      </c>
      <c r="B271" s="85" t="str">
        <f ca="1">IFERROR(__xludf.DUMMYFUNCTION("GOOGLETRANSLATE(B3039:B3054,""RU"",""UK"")"),"Фреза кінцева М40ц/хв")</f>
        <v>Фреза кінцева М40ц/хв</v>
      </c>
      <c r="C271" s="59" t="s">
        <v>6</v>
      </c>
      <c r="D271" s="160">
        <v>6</v>
      </c>
      <c r="E271" s="91">
        <v>570</v>
      </c>
    </row>
    <row r="272" spans="1:5">
      <c r="A272" s="21">
        <f t="shared" si="5"/>
        <v>72</v>
      </c>
      <c r="B272" s="85" t="str">
        <f ca="1">IFERROR(__xludf.DUMMYFUNCTION("GOOGLETRANSLATE(B3039:B3054,""RU"",""UK"")"),"Фреза кінцева М40к/хв")</f>
        <v>Фреза кінцева М40к/хв</v>
      </c>
      <c r="C272" s="59" t="s">
        <v>6</v>
      </c>
      <c r="D272" s="160">
        <v>29</v>
      </c>
      <c r="E272" s="91" t="s">
        <v>842</v>
      </c>
    </row>
    <row r="273" spans="1:5">
      <c r="A273" s="21">
        <f t="shared" ref="A273:A275" si="6">A272+1</f>
        <v>73</v>
      </c>
      <c r="B273" s="85" t="str">
        <f ca="1">IFERROR(__xludf.DUMMYFUNCTION("GOOGLETRANSLATE(B3040:B3055,""RU"",""UK"")"),"Фреза кінцева М40х100 к/хв")</f>
        <v>Фреза кінцева М40х100 к/хв</v>
      </c>
      <c r="C273" s="59" t="s">
        <v>6</v>
      </c>
      <c r="D273" s="59">
        <v>4</v>
      </c>
      <c r="E273" s="91" t="s">
        <v>1874</v>
      </c>
    </row>
    <row r="274" spans="1:5">
      <c r="A274" s="21">
        <f t="shared" si="6"/>
        <v>74</v>
      </c>
      <c r="B274" s="85" t="str">
        <f ca="1">IFERROR(__xludf.DUMMYFUNCTION("GOOGLETRANSLATE(B3040:B3055,""RU"",""UK"")"),"Фреза кінцева М40удл. к/хв ")</f>
        <v xml:space="preserve">Фреза кінцева М40удл. к/хв </v>
      </c>
      <c r="C274" s="59" t="s">
        <v>6</v>
      </c>
      <c r="D274" s="59">
        <v>50</v>
      </c>
      <c r="E274" s="91" t="s">
        <v>1874</v>
      </c>
    </row>
    <row r="275" spans="1:5">
      <c r="A275" s="21">
        <f t="shared" si="6"/>
        <v>75</v>
      </c>
      <c r="B275" s="85" t="str">
        <f ca="1">IFERROR(__xludf.DUMMYFUNCTION("GOOGLETRANSLATE(B3041:B3056,""RU"",""UK"")"),"Фреза кінцева М45к/хв")</f>
        <v>Фреза кінцева М45к/хв</v>
      </c>
      <c r="C275" s="59" t="s">
        <v>6</v>
      </c>
      <c r="D275" s="59">
        <v>105</v>
      </c>
      <c r="E275" s="91">
        <v>720</v>
      </c>
    </row>
    <row r="276" spans="1:5">
      <c r="A276" s="21">
        <f t="shared" ref="A276:A292" si="7">A275+1</f>
        <v>76</v>
      </c>
      <c r="B276" s="85" t="str">
        <f ca="1">IFERROR(__xludf.DUMMYFUNCTION("GOOGLETRANSLATE(B3042:B3057,""RU"",""UK"")"),"Фреза кінцева М45х70 Z6 КМ4 Р18")</f>
        <v>Фреза кінцева М45х70 Z6 КМ4 Р18</v>
      </c>
      <c r="C276" s="59" t="s">
        <v>6</v>
      </c>
      <c r="D276" s="59">
        <v>1</v>
      </c>
      <c r="E276" s="91" t="s">
        <v>100</v>
      </c>
    </row>
    <row r="277" spans="1:5">
      <c r="A277" s="21">
        <f t="shared" si="7"/>
        <v>77</v>
      </c>
      <c r="B277" s="85" t="str">
        <f ca="1">IFERROR(__xludf.DUMMYFUNCTION("GOOGLETRANSLATE(B3043:B3058,""RU"",""UK"")"),"Фреза кінцева М45удл. к/хв")</f>
        <v>Фреза кінцева М45удл. к/хв</v>
      </c>
      <c r="C277" s="59" t="s">
        <v>6</v>
      </c>
      <c r="D277" s="59">
        <v>38</v>
      </c>
      <c r="E277" s="91" t="s">
        <v>231</v>
      </c>
    </row>
    <row r="278" spans="1:5">
      <c r="A278" s="21">
        <f t="shared" si="7"/>
        <v>78</v>
      </c>
      <c r="B278" s="85" t="str">
        <f ca="1">IFERROR(__xludf.DUMMYFUNCTION("GOOGLETRANSLATE(B3044:B3059,""RU"",""UK"")"),"Фреза кінцева М48к/хв")</f>
        <v>Фреза кінцева М48к/хв</v>
      </c>
      <c r="C278" s="59" t="s">
        <v>6</v>
      </c>
      <c r="D278" s="59">
        <v>1</v>
      </c>
      <c r="E278" s="91" t="s">
        <v>283</v>
      </c>
    </row>
    <row r="279" spans="1:5">
      <c r="A279" s="21">
        <f t="shared" si="7"/>
        <v>79</v>
      </c>
      <c r="B279" s="85" t="str">
        <f ca="1">IFERROR(__xludf.DUMMYFUNCTION("GOOGLETRANSLATE(B3045:B3060,""RU"",""UK"")"),"Фреза кінцева М50 Z4 КМ4")</f>
        <v>Фреза кінцева М50 Z4 КМ4</v>
      </c>
      <c r="C279" s="59" t="s">
        <v>6</v>
      </c>
      <c r="D279" s="160">
        <v>1</v>
      </c>
      <c r="E279" s="91" t="s">
        <v>102</v>
      </c>
    </row>
    <row r="280" spans="1:5">
      <c r="A280" s="21">
        <f t="shared" si="7"/>
        <v>80</v>
      </c>
      <c r="B280" s="85" t="str">
        <f ca="1">IFERROR(__xludf.DUMMYFUNCTION("GOOGLETRANSLATE(B3045:B3060,""RU"",""UK"")"),"Фреза кінцева М50 Z6 КМ5")</f>
        <v>Фреза кінцева М50 Z6 КМ5</v>
      </c>
      <c r="C280" s="59" t="s">
        <v>6</v>
      </c>
      <c r="D280" s="160">
        <v>10</v>
      </c>
      <c r="E280" s="91" t="s">
        <v>102</v>
      </c>
    </row>
    <row r="281" spans="1:5">
      <c r="A281" s="21">
        <f t="shared" si="7"/>
        <v>81</v>
      </c>
      <c r="B281" s="85" t="str">
        <f ca="1">IFERROR(__xludf.DUMMYFUNCTION("GOOGLETRANSLATE(B3046:B3061,""RU"",""UK"")"),"Фреза кінцева М50х80мм удл. КМ5")</f>
        <v>Фреза кінцева М50х80мм удл. КМ5</v>
      </c>
      <c r="C281" s="59" t="s">
        <v>6</v>
      </c>
      <c r="D281" s="59">
        <v>4</v>
      </c>
      <c r="E281" s="91" t="s">
        <v>80</v>
      </c>
    </row>
    <row r="282" spans="1:5">
      <c r="A282" s="21">
        <f t="shared" si="7"/>
        <v>82</v>
      </c>
      <c r="B282" s="85" t="str">
        <f ca="1">IFERROR(__xludf.DUMMYFUNCTION("GOOGLETRANSLATE(B3047:B3062,""RU"",""UK"")"),"Фреза кінцева М50х200 удл. КМ5")</f>
        <v>Фреза кінцева М50х200 удл. КМ5</v>
      </c>
      <c r="C282" s="59" t="s">
        <v>6</v>
      </c>
      <c r="D282" s="59">
        <v>1</v>
      </c>
      <c r="E282" s="91" t="s">
        <v>80</v>
      </c>
    </row>
    <row r="283" spans="1:5">
      <c r="A283" s="21">
        <f t="shared" si="7"/>
        <v>83</v>
      </c>
      <c r="B283" s="85" t="str">
        <f ca="1">IFERROR(__xludf.DUMMYFUNCTION("GOOGLETRANSLATE(B3047:B3062,""RU"",""UK"")"),"Фреза кінцева М50х300(90раб) удл. КМ5")</f>
        <v>Фреза кінцева М50х300(90раб) удл. КМ5</v>
      </c>
      <c r="C283" s="59" t="s">
        <v>6</v>
      </c>
      <c r="D283" s="59">
        <v>1</v>
      </c>
      <c r="E283" s="91" t="s">
        <v>80</v>
      </c>
    </row>
    <row r="284" spans="1:5">
      <c r="A284" s="21">
        <f t="shared" si="7"/>
        <v>84</v>
      </c>
      <c r="B284" s="85" t="str">
        <f ca="1">IFERROR(__xludf.DUMMYFUNCTION("GOOGLETRANSLATE(B3048:B3063,""RU"",""UK"")"),"Фреза кінцева М50х260(110раб) Z5 удл. КМ5")</f>
        <v>Фреза кінцева М50х260(110раб) Z5 удл. КМ5</v>
      </c>
      <c r="C284" s="59" t="s">
        <v>6</v>
      </c>
      <c r="D284" s="59">
        <v>1</v>
      </c>
      <c r="E284" s="91" t="s">
        <v>88</v>
      </c>
    </row>
    <row r="285" spans="1:5">
      <c r="A285" s="21">
        <f t="shared" si="7"/>
        <v>85</v>
      </c>
      <c r="B285" s="85" t="str">
        <f ca="1">IFERROR(__xludf.DUMMYFUNCTION("GOOGLETRANSLATE(B3049:B3064,""RU"",""UK"")"),"Фреза кінцева М50х360(200раб) Z8 удл. КМ4")</f>
        <v>Фреза кінцева М50х360(200раб) Z8 удл. КМ4</v>
      </c>
      <c r="C285" s="59" t="s">
        <v>6</v>
      </c>
      <c r="D285" s="59">
        <v>1</v>
      </c>
      <c r="E285" s="91" t="s">
        <v>80</v>
      </c>
    </row>
    <row r="286" spans="1:5">
      <c r="A286" s="21">
        <f t="shared" si="7"/>
        <v>86</v>
      </c>
      <c r="B286" s="85" t="str">
        <f ca="1">IFERROR(__xludf.DUMMYFUNCTION("GOOGLETRANSLATE(B3050:B3065,""RU"",""UK"")"),"Фреза кінцева М50х390(200раб) Z6 удл. КМ5")</f>
        <v>Фреза кінцева М50х390(200раб) Z6 удл. КМ5</v>
      </c>
      <c r="C286" s="59" t="s">
        <v>6</v>
      </c>
      <c r="D286" s="59">
        <v>1</v>
      </c>
      <c r="E286" s="91" t="s">
        <v>80</v>
      </c>
    </row>
    <row r="287" spans="1:5">
      <c r="A287" s="21">
        <f t="shared" si="7"/>
        <v>87</v>
      </c>
      <c r="B287" s="85" t="str">
        <f ca="1">IFERROR(__xludf.DUMMYFUNCTION("GOOGLETRANSLATE(B3051:B3066,""RU"",""UK"")"),"Фреза кінцева М55удл.к/хв")</f>
        <v>Фреза кінцева М55удл.к/хв</v>
      </c>
      <c r="C287" s="59" t="s">
        <v>6</v>
      </c>
      <c r="D287" s="59">
        <v>2</v>
      </c>
      <c r="E287" s="91" t="s">
        <v>1113</v>
      </c>
    </row>
    <row r="288" spans="1:5">
      <c r="A288" s="21">
        <f t="shared" si="7"/>
        <v>88</v>
      </c>
      <c r="B288" s="85" t="str">
        <f ca="1">IFERROR(__xludf.DUMMYFUNCTION("GOOGLETRANSLATE(B3052:B3067,""RU"",""UK"")"),"Фреза кінцева М55к/хв")</f>
        <v>Фреза кінцева М55к/хв</v>
      </c>
      <c r="C288" s="59" t="s">
        <v>6</v>
      </c>
      <c r="D288" s="59">
        <v>4</v>
      </c>
      <c r="E288" s="91" t="s">
        <v>88</v>
      </c>
    </row>
    <row r="289" spans="1:5">
      <c r="A289" s="21">
        <f t="shared" si="7"/>
        <v>89</v>
      </c>
      <c r="B289" s="85" t="str">
        <f ca="1">IFERROR(__xludf.DUMMYFUNCTION("GOOGLETRANSLATE(B3053:B3068,""RU"",""UK"")"),"Фреза кінцева М59х80удл Z8 КМ5")</f>
        <v>Фреза кінцева М59х80удл Z8 КМ5</v>
      </c>
      <c r="C289" s="37" t="s">
        <v>6</v>
      </c>
      <c r="D289" s="37">
        <v>1</v>
      </c>
      <c r="E289" s="92" t="s">
        <v>4064</v>
      </c>
    </row>
    <row r="290" spans="1:5">
      <c r="A290" s="21">
        <f t="shared" si="7"/>
        <v>90</v>
      </c>
      <c r="B290" s="164" t="str">
        <f ca="1">IFERROR(__xludf.DUMMYFUNCTION("GOOGLETRANSLATE(B3054:B3069,""RU"",""UK"")"),"Фреза кінцева М60х70удл Z5 КМ5")</f>
        <v>Фреза кінцева М60х70удл Z5 КМ5</v>
      </c>
      <c r="C290" s="37" t="s">
        <v>6</v>
      </c>
      <c r="D290" s="37">
        <v>0</v>
      </c>
      <c r="E290" s="92" t="s">
        <v>1088</v>
      </c>
    </row>
    <row r="291" spans="1:5">
      <c r="A291" s="21">
        <f t="shared" si="7"/>
        <v>91</v>
      </c>
      <c r="B291" s="85" t="str">
        <f ca="1">IFERROR(__xludf.DUMMYFUNCTION("GOOGLETRANSLATE(B3055:B3070,""RU"",""UK"")"),"Фреза кінцева М65 КМ5")</f>
        <v>Фреза кінцева М65 КМ5</v>
      </c>
      <c r="C291" s="59" t="s">
        <v>6</v>
      </c>
      <c r="D291" s="59">
        <v>1</v>
      </c>
      <c r="E291" s="91" t="s">
        <v>80</v>
      </c>
    </row>
    <row r="292" spans="1:5">
      <c r="A292" s="21">
        <f t="shared" si="7"/>
        <v>92</v>
      </c>
      <c r="B292" s="85" t="str">
        <f ca="1">IFERROR(__xludf.DUMMYFUNCTION("GOOGLETRANSLATE(B3056:B3071,""RU"",""UK"")"),"Фреза кінцева М70удл.")</f>
        <v>Фреза кінцева М70удл.</v>
      </c>
      <c r="C292" s="59" t="s">
        <v>6</v>
      </c>
      <c r="D292" s="59">
        <v>2</v>
      </c>
      <c r="E292" s="91" t="s">
        <v>4068</v>
      </c>
    </row>
    <row r="293" spans="1:5">
      <c r="A293" s="68"/>
      <c r="B293" s="110" t="s">
        <v>6234</v>
      </c>
      <c r="C293" s="69"/>
      <c r="D293" s="69"/>
      <c r="E293" s="106"/>
    </row>
    <row r="294" spans="1:5">
      <c r="A294" s="21">
        <v>1</v>
      </c>
      <c r="B294" s="85" t="str">
        <f ca="1">IFERROR(__xludf.DUMMYFUNCTION("GOOGLETRANSLATE(B3058:B3073,""RU"",""UK"")"),"Фреза 3-х стор. 40х7 Р6М5")</f>
        <v>Фреза 3-х стор. 40х7 Р6М5</v>
      </c>
      <c r="C294" s="59" t="s">
        <v>6</v>
      </c>
      <c r="D294" s="59">
        <v>1</v>
      </c>
      <c r="E294" s="91">
        <v>102</v>
      </c>
    </row>
    <row r="295" spans="1:5">
      <c r="A295" s="21">
        <v>2</v>
      </c>
      <c r="B295" s="85" t="str">
        <f ca="1">IFERROR(__xludf.DUMMYFUNCTION("GOOGLETRANSLATE(B3058:B3073,""RU"",""UK"")"),"Фреза 3-х стор. 50х5 Р6М5")</f>
        <v>Фреза 3-х стор. 50х5 Р6М5</v>
      </c>
      <c r="C295" s="59" t="s">
        <v>6</v>
      </c>
      <c r="D295" s="59">
        <v>13</v>
      </c>
      <c r="E295" s="91" t="s">
        <v>567</v>
      </c>
    </row>
    <row r="296" spans="1:5">
      <c r="A296" s="21">
        <v>3</v>
      </c>
      <c r="B296" s="85" t="str">
        <f ca="1">IFERROR(__xludf.DUMMYFUNCTION("GOOGLETRANSLATE(B3058:B3073,""RU"",""UK"")"),"Фреза 3-х стор. 50х5х16 Р18")</f>
        <v>Фреза 3-х стор. 50х5х16 Р18</v>
      </c>
      <c r="C296" s="59" t="s">
        <v>6</v>
      </c>
      <c r="D296" s="59">
        <v>3</v>
      </c>
      <c r="E296" s="91">
        <v>175</v>
      </c>
    </row>
    <row r="297" spans="1:5">
      <c r="A297" s="21">
        <v>4</v>
      </c>
      <c r="B297" s="85" t="str">
        <f ca="1">IFERROR(__xludf.DUMMYFUNCTION("GOOGLETRANSLATE(B3058:B3073,""RU"",""UK"")"),"Фреза 3-х стор. 50х6 Р6М5")</f>
        <v>Фреза 3-х стор. 50х6 Р6М5</v>
      </c>
      <c r="C297" s="59" t="s">
        <v>6</v>
      </c>
      <c r="D297" s="59">
        <v>23</v>
      </c>
      <c r="E297" s="91">
        <v>160</v>
      </c>
    </row>
    <row r="298" spans="1:5">
      <c r="A298" s="21">
        <v>5</v>
      </c>
      <c r="B298" s="85" t="str">
        <f ca="1">IFERROR(__xludf.DUMMYFUNCTION("GOOGLETRANSLATE(B3060:B3075,""RU"",""UK"")"),"Фреза 3-х стор. 50х12х22")</f>
        <v>Фреза 3-х стор. 50х12х22</v>
      </c>
      <c r="C298" s="59" t="s">
        <v>6</v>
      </c>
      <c r="D298" s="59">
        <v>2</v>
      </c>
      <c r="E298" s="91" t="s">
        <v>327</v>
      </c>
    </row>
    <row r="299" spans="1:5">
      <c r="A299" s="21">
        <v>6</v>
      </c>
      <c r="B299" s="85" t="str">
        <f ca="1">IFERROR(__xludf.DUMMYFUNCTION("GOOGLETRANSLATE(B3060:B3075,""RU"",""UK"")"),"Фреза 3-х стор. 60х6х22 Р18")</f>
        <v>Фреза 3-х стор. 60х6х22 Р18</v>
      </c>
      <c r="C299" s="59" t="s">
        <v>6</v>
      </c>
      <c r="D299" s="160">
        <v>1</v>
      </c>
      <c r="E299" s="91" t="s">
        <v>327</v>
      </c>
    </row>
    <row r="300" spans="1:5">
      <c r="A300" s="21">
        <v>7</v>
      </c>
      <c r="B300" s="85" t="str">
        <f ca="1">IFERROR(__xludf.DUMMYFUNCTION("GOOGLETRANSLATE(B3060:B3075,""RU"",""UK"")"),"Фреза 3-х стор. 60х10х22 Р6М5")</f>
        <v>Фреза 3-х стор. 60х10х22 Р6М5</v>
      </c>
      <c r="C300" s="59" t="s">
        <v>6</v>
      </c>
      <c r="D300" s="160">
        <v>3</v>
      </c>
      <c r="E300" s="91" t="s">
        <v>327</v>
      </c>
    </row>
    <row r="301" spans="1:5">
      <c r="A301" s="21">
        <v>8</v>
      </c>
      <c r="B301" s="85" t="str">
        <f ca="1">IFERROR(__xludf.DUMMYFUNCTION("GOOGLETRANSLATE(B3060:B3075,""RU"",""UK"")"),"Фреза 3-х стор. 60х10х22 Р9")</f>
        <v>Фреза 3-х стор. 60х10х22 Р9</v>
      </c>
      <c r="C301" s="59" t="s">
        <v>6</v>
      </c>
      <c r="D301" s="160">
        <v>2</v>
      </c>
      <c r="E301" s="91" t="s">
        <v>327</v>
      </c>
    </row>
    <row r="302" spans="1:5">
      <c r="A302" s="21">
        <v>9</v>
      </c>
      <c r="B302" s="85" t="str">
        <f ca="1">IFERROR(__xludf.DUMMYFUNCTION("GOOGLETRANSLATE(B3060:B3075,""RU"",""UK"")"),"Фреза 3-х стор. 60х12х22 Р9")</f>
        <v>Фреза 3-х стор. 60х12х22 Р9</v>
      </c>
      <c r="C302" s="59" t="s">
        <v>6</v>
      </c>
      <c r="D302" s="59">
        <v>2</v>
      </c>
      <c r="E302" s="91" t="s">
        <v>327</v>
      </c>
    </row>
    <row r="303" spans="1:5">
      <c r="A303" s="21">
        <v>10</v>
      </c>
      <c r="B303" s="85" t="str">
        <f ca="1">IFERROR(__xludf.DUMMYFUNCTION("GOOGLETRANSLATE(B3060:B3075,""RU"",""UK"")"),"Фреза 3-х стор. 60х12х27 Р6М5")</f>
        <v>Фреза 3-х стор. 60х12х27 Р6М5</v>
      </c>
      <c r="C303" s="59" t="s">
        <v>6</v>
      </c>
      <c r="D303" s="59">
        <v>6</v>
      </c>
      <c r="E303" s="91" t="s">
        <v>327</v>
      </c>
    </row>
    <row r="304" spans="1:5">
      <c r="A304" s="21">
        <v>12</v>
      </c>
      <c r="B304" s="85" t="s">
        <v>6098</v>
      </c>
      <c r="C304" s="59" t="s">
        <v>6</v>
      </c>
      <c r="D304" s="59">
        <v>1</v>
      </c>
      <c r="E304" s="91">
        <v>240</v>
      </c>
    </row>
    <row r="305" spans="1:5">
      <c r="A305" s="21">
        <v>13</v>
      </c>
      <c r="B305" s="85" t="str">
        <f ca="1">IFERROR(__xludf.DUMMYFUNCTION("GOOGLETRANSLATE(B3059:B3074,""RU"",""UK"")"),"Фреза 3-х стор. 63х6")</f>
        <v>Фреза 3-х стор. 63х6</v>
      </c>
      <c r="C305" s="59" t="s">
        <v>6</v>
      </c>
      <c r="D305" s="59">
        <v>28</v>
      </c>
      <c r="E305" s="91" t="s">
        <v>119</v>
      </c>
    </row>
    <row r="306" spans="1:5">
      <c r="A306" s="21">
        <v>12</v>
      </c>
      <c r="B306" s="85" t="str">
        <f ca="1">IFERROR(__xludf.DUMMYFUNCTION("GOOGLETRANSLATE(B3059:B3074,""RU"",""UK"")"),"Фреза 3-х стор. 63х8")</f>
        <v>Фреза 3-х стор. 63х8</v>
      </c>
      <c r="C306" s="59" t="s">
        <v>6</v>
      </c>
      <c r="D306" s="59">
        <v>157</v>
      </c>
      <c r="E306" s="91" t="s">
        <v>119</v>
      </c>
    </row>
    <row r="307" spans="1:5">
      <c r="A307" s="21">
        <v>13</v>
      </c>
      <c r="B307" s="85" t="str">
        <f ca="1">IFERROR(__xludf.DUMMYFUNCTION("GOOGLETRANSLATE(B3059:B3074,""RU"",""UK"")"),"Фреза 3-х стор. 63х8х22 Р18")</f>
        <v>Фреза 3-х стор. 63х8х22 Р18</v>
      </c>
      <c r="C307" s="59" t="s">
        <v>6</v>
      </c>
      <c r="D307" s="59">
        <v>1</v>
      </c>
      <c r="E307" s="91" t="s">
        <v>119</v>
      </c>
    </row>
    <row r="308" spans="1:5">
      <c r="A308" s="21">
        <v>14</v>
      </c>
      <c r="B308" s="85" t="str">
        <f ca="1">IFERROR(__xludf.DUMMYFUNCTION("GOOGLETRANSLATE(B3060:B3075,""RU"",""UK"")"),"Фреза 3-х стор. 63х10х22 Р6М5")</f>
        <v>Фреза 3-х стор. 63х10х22 Р6М5</v>
      </c>
      <c r="C308" s="59" t="s">
        <v>6</v>
      </c>
      <c r="D308" s="59">
        <v>73</v>
      </c>
      <c r="E308" s="91" t="s">
        <v>327</v>
      </c>
    </row>
    <row r="309" spans="1:5">
      <c r="A309" s="21">
        <v>15</v>
      </c>
      <c r="B309" s="85" t="str">
        <f ca="1">IFERROR(__xludf.DUMMYFUNCTION("GOOGLETRANSLATE(B3060:B3075,""RU"",""UK"")"),"Фреза 3-х стор. 63х12")</f>
        <v>Фреза 3-х стор. 63х12</v>
      </c>
      <c r="C309" s="59" t="s">
        <v>6</v>
      </c>
      <c r="D309" s="59">
        <v>105</v>
      </c>
      <c r="E309" s="91" t="s">
        <v>327</v>
      </c>
    </row>
    <row r="310" spans="1:5">
      <c r="A310" s="21">
        <v>16</v>
      </c>
      <c r="B310" s="85" t="str">
        <f ca="1">IFERROR(__xludf.DUMMYFUNCTION("GOOGLETRANSLATE(B3061:B3076,""RU"",""UK"")"),"Фреза 3-х стор. 75х8")</f>
        <v>Фреза 3-х стор. 75х8</v>
      </c>
      <c r="C310" s="59" t="s">
        <v>6</v>
      </c>
      <c r="D310" s="59">
        <v>14</v>
      </c>
      <c r="E310" s="91" t="s">
        <v>519</v>
      </c>
    </row>
    <row r="311" spans="1:5">
      <c r="A311" s="21">
        <v>17</v>
      </c>
      <c r="B311" s="85" t="str">
        <f ca="1">IFERROR(__xludf.DUMMYFUNCTION("GOOGLETRANSLATE(B3061:B3076,""RU"",""UK"")"),"Фреза 3-х стор. 75х14")</f>
        <v>Фреза 3-х стор. 75х14</v>
      </c>
      <c r="C311" s="59" t="s">
        <v>6</v>
      </c>
      <c r="D311" s="59">
        <v>1</v>
      </c>
      <c r="E311" s="91" t="s">
        <v>519</v>
      </c>
    </row>
    <row r="312" spans="1:5">
      <c r="A312" s="21">
        <v>18</v>
      </c>
      <c r="B312" s="85" t="str">
        <f ca="1">IFERROR(__xludf.DUMMYFUNCTION("GOOGLETRANSLATE(B3063:B3078,""RU"",""UK"")"),"Фреза 3-х стор. 80х8х27")</f>
        <v>Фреза 3-х стор. 80х8х27</v>
      </c>
      <c r="C312" s="59" t="s">
        <v>6</v>
      </c>
      <c r="D312" s="59">
        <v>67</v>
      </c>
      <c r="E312" s="91" t="s">
        <v>20</v>
      </c>
    </row>
    <row r="313" spans="1:5">
      <c r="A313" s="21">
        <v>19</v>
      </c>
      <c r="B313" s="85" t="str">
        <f ca="1">IFERROR(__xludf.DUMMYFUNCTION("GOOGLETRANSLATE(B3063:B3078,""RU"",""UK"")"),"Фреза 3-х стор. 80х10")</f>
        <v>Фреза 3-х стор. 80х10</v>
      </c>
      <c r="C313" s="59" t="s">
        <v>6</v>
      </c>
      <c r="D313" s="59">
        <v>43</v>
      </c>
      <c r="E313" s="91" t="s">
        <v>20</v>
      </c>
    </row>
    <row r="314" spans="1:5">
      <c r="A314" s="21">
        <v>20</v>
      </c>
      <c r="B314" s="85" t="str">
        <f ca="1">IFERROR(__xludf.DUMMYFUNCTION("GOOGLETRANSLATE(B3064:B3079,""RU"",""UK"")"),"Фреза 3-х стор. 80х12х27 Р6М5")</f>
        <v>Фреза 3-х стор. 80х12х27 Р6М5</v>
      </c>
      <c r="C314" s="59" t="s">
        <v>6</v>
      </c>
      <c r="D314" s="59">
        <v>82</v>
      </c>
      <c r="E314" s="91" t="s">
        <v>24</v>
      </c>
    </row>
    <row r="315" spans="1:5">
      <c r="A315" s="21">
        <v>21</v>
      </c>
      <c r="B315" s="85" t="str">
        <f ca="1">IFERROR(__xludf.DUMMYFUNCTION("GOOGLETRANSLATE(B3064:B3079,""RU"",""UK"")"),"Фреза 3-х стор. 80х14")</f>
        <v>Фреза 3-х стор. 80х14</v>
      </c>
      <c r="C315" s="59" t="s">
        <v>6</v>
      </c>
      <c r="D315" s="59">
        <v>14</v>
      </c>
      <c r="E315" s="91" t="s">
        <v>24</v>
      </c>
    </row>
    <row r="316" spans="1:5">
      <c r="A316" s="21">
        <v>22</v>
      </c>
      <c r="B316" s="85" t="str">
        <f ca="1">IFERROR(__xludf.DUMMYFUNCTION("GOOGLETRANSLATE(B3065:B3080,""RU"",""UK"")"),"Фреза 3-х стор. 90х16 вст.ножи Р6М5")</f>
        <v>Фреза 3-х стор. 90х16 вст.ножи Р6М5</v>
      </c>
      <c r="C316" s="59" t="s">
        <v>6</v>
      </c>
      <c r="D316" s="59">
        <v>2</v>
      </c>
      <c r="E316" s="91" t="s">
        <v>162</v>
      </c>
    </row>
    <row r="317" spans="1:5">
      <c r="A317" s="21">
        <v>23</v>
      </c>
      <c r="B317" s="85" t="str">
        <f ca="1">IFERROR(__xludf.DUMMYFUNCTION("GOOGLETRANSLATE(B3065:B3080,""RU"",""UK"")"),"Фреза 3-х стор. 90х18 вст.ножі Р6М5")</f>
        <v>Фреза 3-х стор. 90х18 вст.ножі Р6М5</v>
      </c>
      <c r="C317" s="59" t="s">
        <v>6</v>
      </c>
      <c r="D317" s="59">
        <v>1</v>
      </c>
      <c r="E317" s="91" t="s">
        <v>162</v>
      </c>
    </row>
    <row r="318" spans="1:5">
      <c r="A318" s="21">
        <v>24</v>
      </c>
      <c r="B318" s="85" t="str">
        <f ca="1">IFERROR(__xludf.DUMMYFUNCTION("GOOGLETRANSLATE(B3066:B3081,""RU"",""UK"")"),"Фреза 3-х стор. 90х22 вст.ножи Р6М5")</f>
        <v>Фреза 3-х стор. 90х22 вст.ножи Р6М5</v>
      </c>
      <c r="C318" s="59" t="s">
        <v>6</v>
      </c>
      <c r="D318" s="59">
        <v>1</v>
      </c>
      <c r="E318" s="91" t="s">
        <v>16</v>
      </c>
    </row>
    <row r="319" spans="1:5">
      <c r="A319" s="21">
        <v>25</v>
      </c>
      <c r="B319" s="85" t="str">
        <f ca="1">IFERROR(__xludf.DUMMYFUNCTION("GOOGLETRANSLATE(B3067:B3082,""RU"",""UK"")"),"Фреза 2-х стор. 94х7 монол. Р6М5")</f>
        <v>Фреза 2-х стор. 94х7 монол. Р6М5</v>
      </c>
      <c r="C319" s="59" t="s">
        <v>6</v>
      </c>
      <c r="D319" s="59">
        <v>14</v>
      </c>
      <c r="E319" s="91" t="s">
        <v>1740</v>
      </c>
    </row>
    <row r="320" spans="1:5">
      <c r="A320" s="21">
        <v>26</v>
      </c>
      <c r="B320" s="164" t="str">
        <f ca="1">IFERROR(__xludf.DUMMYFUNCTION("GOOGLETRANSLATE(B3068:B3083,""RU"",""UK"")"),"Фреза 3-х стор. 100х10 монол. Р6М5")</f>
        <v>Фреза 3-х стор. 100х10 монол. Р6М5</v>
      </c>
      <c r="C320" s="59" t="s">
        <v>6</v>
      </c>
      <c r="D320" s="59">
        <v>0</v>
      </c>
      <c r="E320" s="91" t="s">
        <v>413</v>
      </c>
    </row>
    <row r="321" spans="1:5">
      <c r="A321" s="21">
        <f t="shared" ref="A321:A351" si="8">A320+1</f>
        <v>27</v>
      </c>
      <c r="B321" s="85" t="str">
        <f ca="1">IFERROR(__xludf.DUMMYFUNCTION("GOOGLETRANSLATE(B3069:B3084,""RU"",""UK"")"),"Фреза 3-х стор. 100х12 монол. Р6М5")</f>
        <v>Фреза 3-х стор. 100х12 монол. Р6М5</v>
      </c>
      <c r="C321" s="59" t="s">
        <v>6</v>
      </c>
      <c r="D321" s="160">
        <v>5</v>
      </c>
      <c r="E321" s="91" t="s">
        <v>413</v>
      </c>
    </row>
    <row r="322" spans="1:5">
      <c r="A322" s="21">
        <f t="shared" si="8"/>
        <v>28</v>
      </c>
      <c r="B322" s="198" t="str">
        <f ca="1">IFERROR(__xludf.DUMMYFUNCTION("GOOGLETRANSLATE(B3069:B3084,""RU"",""UK"")"),"Фреза 3-х стор. 100х14 монол. Р6М5")</f>
        <v>Фреза 3-х стор. 100х14 монол. Р6М5</v>
      </c>
      <c r="C322" s="59" t="s">
        <v>6</v>
      </c>
      <c r="D322" s="160">
        <v>24</v>
      </c>
      <c r="E322" s="91" t="s">
        <v>413</v>
      </c>
    </row>
    <row r="323" spans="1:5">
      <c r="A323" s="21">
        <f t="shared" si="8"/>
        <v>29</v>
      </c>
      <c r="B323" s="198" t="str">
        <f ca="1">IFERROR(__xludf.DUMMYFUNCTION("GOOGLETRANSLATE(B3071:B3086,""RU"",""UK"")"),"Фреза 3-х стор. 100х14вст.ножі Р6М5")</f>
        <v>Фреза 3-х стор. 100х14вст.ножі Р6М5</v>
      </c>
      <c r="C323" s="59" t="s">
        <v>6</v>
      </c>
      <c r="D323" s="59">
        <v>2</v>
      </c>
      <c r="E323" s="91">
        <v>300</v>
      </c>
    </row>
    <row r="324" spans="1:5">
      <c r="A324" s="21">
        <f t="shared" si="8"/>
        <v>30</v>
      </c>
      <c r="B324" s="85" t="str">
        <f ca="1">IFERROR(__xludf.DUMMYFUNCTION("GOOGLETRANSLATE(B3071:B3086,""RU"",""UK"")"),"Фреза 3-х стор. 100х15 вст.ножі Р6М5")</f>
        <v>Фреза 3-х стор. 100х15 вст.ножі Р6М5</v>
      </c>
      <c r="C324" s="59" t="s">
        <v>6</v>
      </c>
      <c r="D324" s="59">
        <v>1</v>
      </c>
      <c r="E324" s="91">
        <v>300</v>
      </c>
    </row>
    <row r="325" spans="1:5">
      <c r="A325" s="21">
        <f t="shared" si="8"/>
        <v>31</v>
      </c>
      <c r="B325" s="85" t="str">
        <f ca="1">IFERROR(__xludf.DUMMYFUNCTION("GOOGLETRANSLATE(B3070:B3085,""RU"",""UK"")"),"Фреза 3-х стор. 100х16х32 монол. Р6М5")</f>
        <v>Фреза 3-х стор. 100х16х32 монол. Р6М5</v>
      </c>
      <c r="C325" s="59" t="s">
        <v>6</v>
      </c>
      <c r="D325" s="59">
        <v>81</v>
      </c>
      <c r="E325" s="91" t="s">
        <v>53</v>
      </c>
    </row>
    <row r="326" spans="1:5">
      <c r="A326" s="21">
        <f t="shared" si="8"/>
        <v>32</v>
      </c>
      <c r="B326" s="198" t="str">
        <f ca="1">IFERROR(__xludf.DUMMYFUNCTION("GOOGLETRANSLATE(B3072:B3087,""RU"",""UK"")"),"Фреза 3-х стор. 100х18х32 вст.ножи Р6М5")</f>
        <v>Фреза 3-х стор. 100х18х32 вст.ножи Р6М5</v>
      </c>
      <c r="C326" s="59" t="s">
        <v>6</v>
      </c>
      <c r="D326" s="59">
        <v>11</v>
      </c>
      <c r="E326" s="91">
        <v>300</v>
      </c>
    </row>
    <row r="327" spans="1:5">
      <c r="A327" s="21">
        <f t="shared" si="8"/>
        <v>33</v>
      </c>
      <c r="B327" s="85" t="str">
        <f ca="1">IFERROR(__xludf.DUMMYFUNCTION("GOOGLETRANSLATE(B3070:B3085,""RU"",""UK"")"),"Фреза 3-х стор. 100х20 монол. Р6М5")</f>
        <v>Фреза 3-х стор. 100х20 монол. Р6М5</v>
      </c>
      <c r="C327" s="59" t="s">
        <v>6</v>
      </c>
      <c r="D327" s="59">
        <v>2</v>
      </c>
      <c r="E327" s="91" t="s">
        <v>53</v>
      </c>
    </row>
    <row r="328" spans="1:5">
      <c r="A328" s="21">
        <f t="shared" si="8"/>
        <v>34</v>
      </c>
      <c r="B328" s="198" t="str">
        <f ca="1">IFERROR(__xludf.DUMMYFUNCTION("GOOGLETRANSLATE(B3072:B3087,""RU"",""UK"")"),"Фреза 3-х стор. 100х28 вст.ножи Р6М5")</f>
        <v>Фреза 3-х стор. 100х28 вст.ножи Р6М5</v>
      </c>
      <c r="C328" s="59" t="s">
        <v>6</v>
      </c>
      <c r="D328" s="59">
        <v>2</v>
      </c>
      <c r="E328" s="91">
        <v>350</v>
      </c>
    </row>
    <row r="329" spans="1:5">
      <c r="A329" s="21">
        <f t="shared" si="8"/>
        <v>35</v>
      </c>
      <c r="B329" s="85" t="str">
        <f ca="1">IFERROR(__xludf.DUMMYFUNCTION("GOOGLETRANSLATE(B3073:B3088,""RU"",""UK"")"),"Фреза 3-х стор. 105х14 монол. Р6М5")</f>
        <v>Фреза 3-х стор. 105х14 монол. Р6М5</v>
      </c>
      <c r="C329" s="59" t="s">
        <v>6</v>
      </c>
      <c r="D329" s="59">
        <v>1</v>
      </c>
      <c r="E329" s="91" t="s">
        <v>53</v>
      </c>
    </row>
    <row r="330" spans="1:5">
      <c r="A330" s="21">
        <f t="shared" si="8"/>
        <v>36</v>
      </c>
      <c r="B330" s="85" t="str">
        <f ca="1">IFERROR(__xludf.DUMMYFUNCTION("GOOGLETRANSLATE(B3074:B3089,""RU"",""UK"")"),"Фреза 3-х стор. 110х12 вст.ножі Р6М5")</f>
        <v>Фреза 3-х стор. 110х12 вст.ножі Р6М5</v>
      </c>
      <c r="C330" s="59" t="s">
        <v>6</v>
      </c>
      <c r="D330" s="59">
        <v>3</v>
      </c>
      <c r="E330" s="91" t="s">
        <v>36</v>
      </c>
    </row>
    <row r="331" spans="1:5">
      <c r="A331" s="21">
        <f t="shared" si="8"/>
        <v>37</v>
      </c>
      <c r="B331" s="85" t="str">
        <f ca="1">IFERROR(__xludf.DUMMYFUNCTION("GOOGLETRANSLATE(B3075:B3090,""RU"",""UK"")"),"Фреза 3-х стор. 110х14 вст.ножі Р6М5")</f>
        <v>Фреза 3-х стор. 110х14 вст.ножі Р6М5</v>
      </c>
      <c r="C331" s="59" t="s">
        <v>6</v>
      </c>
      <c r="D331" s="59">
        <v>5</v>
      </c>
      <c r="E331" s="91" t="s">
        <v>27</v>
      </c>
    </row>
    <row r="332" spans="1:5">
      <c r="A332" s="21">
        <f t="shared" si="8"/>
        <v>38</v>
      </c>
      <c r="B332" s="85" t="str">
        <f ca="1">IFERROR(__xludf.DUMMYFUNCTION("GOOGLETRANSLATE(B3075:B3090,""RU"",""UK"")"),"Фреза 3-х стор. 110х16 вст.ножі Р6М5")</f>
        <v>Фреза 3-х стор. 110х16 вст.ножі Р6М5</v>
      </c>
      <c r="C332" s="59" t="s">
        <v>6</v>
      </c>
      <c r="D332" s="59">
        <v>1</v>
      </c>
      <c r="E332" s="91" t="s">
        <v>27</v>
      </c>
    </row>
    <row r="333" spans="1:5">
      <c r="A333" s="21">
        <f t="shared" si="8"/>
        <v>39</v>
      </c>
      <c r="B333" s="85" t="str">
        <f ca="1">IFERROR(__xludf.DUMMYFUNCTION("GOOGLETRANSLATE(B3076:B3091,""RU"",""UK"")"),"Фреза 3-х стор. 120х8 монол. Р6М5")</f>
        <v>Фреза 3-х стор. 120х8 монол. Р6М5</v>
      </c>
      <c r="C333" s="59" t="s">
        <v>6</v>
      </c>
      <c r="D333" s="59">
        <v>2</v>
      </c>
      <c r="E333" s="91" t="s">
        <v>27</v>
      </c>
    </row>
    <row r="334" spans="1:5">
      <c r="A334" s="21">
        <f t="shared" si="8"/>
        <v>40</v>
      </c>
      <c r="B334" s="85" t="str">
        <f ca="1">IFERROR(__xludf.DUMMYFUNCTION("GOOGLETRANSLATE(B3077:B3092,""RU"",""UK"")"),"Фреза 3-х стор. 125х9 монол. Р6М5")</f>
        <v>Фреза 3-х стор. 125х9 монол. Р6М5</v>
      </c>
      <c r="C334" s="59" t="s">
        <v>6</v>
      </c>
      <c r="D334" s="59">
        <v>1</v>
      </c>
      <c r="E334" s="91" t="s">
        <v>100</v>
      </c>
    </row>
    <row r="335" spans="1:5">
      <c r="A335" s="21">
        <f t="shared" si="8"/>
        <v>41</v>
      </c>
      <c r="B335" s="85" t="str">
        <f ca="1">IFERROR(__xludf.DUMMYFUNCTION("GOOGLETRANSLATE(B3077:B3092,""RU"",""UK"")"),"Фреза 3-х стор. 125х14 монол. Р6М5")</f>
        <v>Фреза 3-х стор. 125х14 монол. Р6М5</v>
      </c>
      <c r="C335" s="59" t="s">
        <v>6</v>
      </c>
      <c r="D335" s="59">
        <v>1</v>
      </c>
      <c r="E335" s="91" t="s">
        <v>100</v>
      </c>
    </row>
    <row r="336" spans="1:5">
      <c r="A336" s="21">
        <f t="shared" si="8"/>
        <v>42</v>
      </c>
      <c r="B336" s="85" t="str">
        <f ca="1">IFERROR(__xludf.DUMMYFUNCTION("GOOGLETRANSLATE(B3078:B3093,""RU"",""UK"")"),"Фреза 3-х стор. 125х25 монол. Р6М5")</f>
        <v>Фреза 3-х стор. 125х25 монол. Р6М5</v>
      </c>
      <c r="C336" s="59" t="s">
        <v>6</v>
      </c>
      <c r="D336" s="59">
        <v>1</v>
      </c>
      <c r="E336" s="91" t="s">
        <v>102</v>
      </c>
    </row>
    <row r="337" spans="1:5">
      <c r="A337" s="21">
        <f t="shared" si="8"/>
        <v>43</v>
      </c>
      <c r="B337" s="85" t="str">
        <f ca="1">IFERROR(__xludf.DUMMYFUNCTION("GOOGLETRANSLATE(B3079:B3094,""RU"",""UK"")"),"Фреза 3-х стор. 125х12 вст.ножи Р6М5")</f>
        <v>Фреза 3-х стор. 125х12 вст.ножи Р6М5</v>
      </c>
      <c r="C337" s="59" t="s">
        <v>6</v>
      </c>
      <c r="D337" s="59">
        <v>22</v>
      </c>
      <c r="E337" s="91" t="s">
        <v>22</v>
      </c>
    </row>
    <row r="338" spans="1:5">
      <c r="A338" s="21">
        <f t="shared" si="8"/>
        <v>44</v>
      </c>
      <c r="B338" s="85" t="str">
        <f ca="1">IFERROR(__xludf.DUMMYFUNCTION("GOOGLETRANSLATE(B3080:B3095,""RU"",""UK"")"),"Фреза 3-х стор. 125х16 вст.ножи Р6М5")</f>
        <v>Фреза 3-х стор. 125х16 вст.ножи Р6М5</v>
      </c>
      <c r="C338" s="59" t="s">
        <v>6</v>
      </c>
      <c r="D338" s="59">
        <v>26</v>
      </c>
      <c r="E338" s="91" t="s">
        <v>272</v>
      </c>
    </row>
    <row r="339" spans="1:5">
      <c r="A339" s="21">
        <f t="shared" si="8"/>
        <v>45</v>
      </c>
      <c r="B339" s="85" t="str">
        <f ca="1">IFERROR(__xludf.DUMMYFUNCTION("GOOGLETRANSLATE(B3081:B3096,""RU"",""UK"")"),"Фреза 3-х стор. 125х19 вст.ножі Р6М5")</f>
        <v>Фреза 3-х стор. 125х19 вст.ножі Р6М5</v>
      </c>
      <c r="C339" s="59" t="s">
        <v>6</v>
      </c>
      <c r="D339" s="59">
        <v>1</v>
      </c>
      <c r="E339" s="91" t="s">
        <v>18</v>
      </c>
    </row>
    <row r="340" spans="1:5">
      <c r="A340" s="21">
        <f t="shared" si="8"/>
        <v>46</v>
      </c>
      <c r="B340" s="85" t="str">
        <f ca="1">IFERROR(__xludf.DUMMYFUNCTION("GOOGLETRANSLATE(B3081:B3096,""RU"",""UK"")"),"Фреза 3-х стор. 125х20 вст.ножі Р6М5")</f>
        <v>Фреза 3-х стор. 125х20 вст.ножі Р6М5</v>
      </c>
      <c r="C340" s="59" t="s">
        <v>6</v>
      </c>
      <c r="D340" s="59">
        <v>4</v>
      </c>
      <c r="E340" s="91" t="s">
        <v>18</v>
      </c>
    </row>
    <row r="341" spans="1:5">
      <c r="A341" s="21">
        <f t="shared" si="8"/>
        <v>47</v>
      </c>
      <c r="B341" s="85" t="str">
        <f ca="1">IFERROR(__xludf.DUMMYFUNCTION("GOOGLETRANSLATE(B3082:B3097,""RU"",""UK"")"),"Фреза 3-х стор. 130х20 вст.ножі Р18")</f>
        <v>Фреза 3-х стор. 130х20 вст.ножі Р18</v>
      </c>
      <c r="C341" s="59" t="s">
        <v>6</v>
      </c>
      <c r="D341" s="59">
        <v>1</v>
      </c>
      <c r="E341" s="91" t="s">
        <v>53</v>
      </c>
    </row>
    <row r="342" spans="1:5">
      <c r="A342" s="21">
        <f t="shared" si="8"/>
        <v>48</v>
      </c>
      <c r="B342" s="85" t="str">
        <f ca="1">IFERROR(__xludf.DUMMYFUNCTION("GOOGLETRANSLATE(B3083:B3098,""RU"",""UK"")"),"Фреза 3-х стор. 150х15 монол. Р6М5")</f>
        <v>Фреза 3-х стор. 150х15 монол. Р6М5</v>
      </c>
      <c r="C342" s="59" t="s">
        <v>6</v>
      </c>
      <c r="D342" s="59">
        <v>12</v>
      </c>
      <c r="E342" s="91" t="s">
        <v>80</v>
      </c>
    </row>
    <row r="343" spans="1:5">
      <c r="A343" s="21">
        <f t="shared" si="8"/>
        <v>49</v>
      </c>
      <c r="B343" s="85" t="str">
        <f ca="1">IFERROR(__xludf.DUMMYFUNCTION("GOOGLETRANSLATE(B3084:B3099,""RU"",""UK"")"),"Фреза 3-х стор. 150х16 ​​вст.ножи Р6М5")</f>
        <v>Фреза 3-х стор. 150х16 ​​вст.ножи Р6М5</v>
      </c>
      <c r="C343" s="59" t="s">
        <v>6</v>
      </c>
      <c r="D343" s="59">
        <v>2</v>
      </c>
      <c r="E343" s="91" t="s">
        <v>413</v>
      </c>
    </row>
    <row r="344" spans="1:5">
      <c r="A344" s="21">
        <f t="shared" si="8"/>
        <v>50</v>
      </c>
      <c r="B344" s="85" t="str">
        <f ca="1">IFERROR(__xludf.DUMMYFUNCTION("GOOGLETRANSLATE(B3085:B3100,""RU"",""UK"")"),"Фреза 3-х стор. 150х24 вст.ніж Р18")</f>
        <v>Фреза 3-х стор. 150х24 вст.ніж Р18</v>
      </c>
      <c r="C344" s="59" t="s">
        <v>6</v>
      </c>
      <c r="D344" s="59">
        <v>1</v>
      </c>
      <c r="E344" s="91" t="s">
        <v>53</v>
      </c>
    </row>
    <row r="345" spans="1:5">
      <c r="A345" s="21">
        <f t="shared" si="8"/>
        <v>51</v>
      </c>
      <c r="B345" s="85" t="str">
        <f ca="1">IFERROR(__xludf.DUMMYFUNCTION("GOOGLETRANSLATE(B3086:B3101,""RU"",""UK"")"),"Фреза 3-х стор. 160х18 вст.ножи Р6М5")</f>
        <v>Фреза 3-х стор. 160х18 вст.ножи Р6М5</v>
      </c>
      <c r="C345" s="59" t="s">
        <v>6</v>
      </c>
      <c r="D345" s="59">
        <v>4</v>
      </c>
      <c r="E345" s="91" t="s">
        <v>36</v>
      </c>
    </row>
    <row r="346" spans="1:5">
      <c r="A346" s="21">
        <f t="shared" si="8"/>
        <v>52</v>
      </c>
      <c r="B346" s="85" t="str">
        <f ca="1">IFERROR(__xludf.DUMMYFUNCTION("GOOGLETRANSLATE(B3087:B3102,""RU"",""UK"")"),"Фреза 3-х стор. 160х22х40 вст.ножи Р6М5")</f>
        <v>Фреза 3-х стор. 160х22х40 вст.ножи Р6М5</v>
      </c>
      <c r="C346" s="59" t="s">
        <v>6</v>
      </c>
      <c r="D346" s="59">
        <v>1</v>
      </c>
      <c r="E346" s="91" t="s">
        <v>27</v>
      </c>
    </row>
    <row r="347" spans="1:5">
      <c r="A347" s="21">
        <f t="shared" si="8"/>
        <v>53</v>
      </c>
      <c r="B347" s="85" t="str">
        <f ca="1">IFERROR(__xludf.DUMMYFUNCTION("GOOGLETRANSLATE(B3088:B3103,""RU"",""UK"")"),"Фреза 3-х стор. 160х28 вст.ножи Р6М5")</f>
        <v>Фреза 3-х стор. 160х28 вст.ножи Р6М5</v>
      </c>
      <c r="C347" s="59" t="s">
        <v>6</v>
      </c>
      <c r="D347" s="59">
        <v>24</v>
      </c>
      <c r="E347" s="91" t="s">
        <v>842</v>
      </c>
    </row>
    <row r="348" spans="1:5">
      <c r="A348" s="21">
        <f t="shared" si="8"/>
        <v>54</v>
      </c>
      <c r="B348" s="85" t="str">
        <f ca="1">IFERROR(__xludf.DUMMYFUNCTION("GOOGLETRANSLATE(B3089:B3104,""RU"",""UK"")"),"Фреза 3-х стор. 160х53 вст.ножи Р6М5")</f>
        <v>Фреза 3-х стор. 160х53 вст.ножи Р6М5</v>
      </c>
      <c r="C348" s="59" t="s">
        <v>6</v>
      </c>
      <c r="D348" s="59">
        <v>1</v>
      </c>
      <c r="E348" s="91" t="s">
        <v>63</v>
      </c>
    </row>
    <row r="349" spans="1:5">
      <c r="A349" s="21">
        <f t="shared" si="8"/>
        <v>55</v>
      </c>
      <c r="B349" s="85" t="str">
        <f ca="1">IFERROR(__xludf.DUMMYFUNCTION("GOOGLETRANSLATE(B3090:B3105,""RU"",""UK"")"),"Фреза 3-х стор. 200х16х50 вст.ножи Р6М5")</f>
        <v>Фреза 3-х стор. 200х16х50 вст.ножи Р6М5</v>
      </c>
      <c r="C349" s="59" t="s">
        <v>6</v>
      </c>
      <c r="D349" s="59">
        <v>1</v>
      </c>
      <c r="E349" s="91" t="s">
        <v>63</v>
      </c>
    </row>
    <row r="350" spans="1:5">
      <c r="A350" s="21">
        <f t="shared" si="8"/>
        <v>56</v>
      </c>
      <c r="B350" s="85" t="str">
        <f ca="1">IFERROR(__xludf.DUMMYFUNCTION("GOOGLETRANSLATE(B3091:B3106,""RU"",""UK"")"),"Фреза 3-х стор. 200х20х50 вст.ножі Р18")</f>
        <v>Фреза 3-х стор. 200х20х50 вст.ножі Р18</v>
      </c>
      <c r="C350" s="59" t="s">
        <v>6</v>
      </c>
      <c r="D350" s="59">
        <v>2</v>
      </c>
      <c r="E350" s="91" t="s">
        <v>283</v>
      </c>
    </row>
    <row r="351" spans="1:5">
      <c r="A351" s="21">
        <f t="shared" si="8"/>
        <v>57</v>
      </c>
      <c r="B351" s="85" t="str">
        <f ca="1">IFERROR(__xludf.DUMMYFUNCTION("GOOGLETRANSLATE(B3092:B3107,""RU"",""UK"")"),"Фреза 3-х стор. 200х32х50 вст.ножи Р6М5")</f>
        <v>Фреза 3-х стор. 200х32х50 вст.ножи Р6М5</v>
      </c>
      <c r="C351" s="59" t="s">
        <v>6</v>
      </c>
      <c r="D351" s="59">
        <v>3</v>
      </c>
      <c r="E351" s="91" t="s">
        <v>102</v>
      </c>
    </row>
    <row r="352" spans="1:5">
      <c r="A352" s="68"/>
      <c r="B352" s="110" t="s">
        <v>6045</v>
      </c>
      <c r="C352" s="69"/>
      <c r="D352" s="69"/>
      <c r="E352" s="106"/>
    </row>
    <row r="353" spans="1:5">
      <c r="A353" s="21">
        <v>1</v>
      </c>
      <c r="B353" s="164" t="str">
        <f ca="1">IFERROR(__xludf.DUMMYFUNCTION("GOOGLETRANSLATE(B3094:B3109,""RU"",""UK"")"),"Фреза дискова (набірна 8шт) М0,7")</f>
        <v>Фреза дискова (набірна 8шт) М0,7</v>
      </c>
      <c r="C353" s="59" t="s">
        <v>378</v>
      </c>
      <c r="D353" s="59">
        <v>0</v>
      </c>
      <c r="E353" s="91" t="s">
        <v>88</v>
      </c>
    </row>
    <row r="354" spans="1:5">
      <c r="A354" s="21">
        <f>A353+1</f>
        <v>2</v>
      </c>
      <c r="B354" s="200" t="str">
        <f ca="1">IFERROR(__xludf.DUMMYFUNCTION("GOOGLETRANSLATE(B3095:B3110,""RU"",""UK"")"),"Фреза дискова (набірна 8шт) М1")</f>
        <v>Фреза дискова (набірна 8шт) М1</v>
      </c>
      <c r="C354" s="59" t="s">
        <v>378</v>
      </c>
      <c r="D354" s="37">
        <v>0</v>
      </c>
      <c r="E354" s="91" t="s">
        <v>71</v>
      </c>
    </row>
    <row r="355" spans="1:5">
      <c r="A355" s="21">
        <f t="shared" ref="A355:A366" si="9">A354+1</f>
        <v>3</v>
      </c>
      <c r="B355" s="200" t="str">
        <f ca="1">IFERROR(__xludf.DUMMYFUNCTION("GOOGLETRANSLATE(B3095:B3110,""RU"",""UK"")"),"Фреза дискова (набірна 8шт) М1,25")</f>
        <v>Фреза дискова (набірна 8шт) М1,25</v>
      </c>
      <c r="C355" s="59" t="s">
        <v>378</v>
      </c>
      <c r="D355" s="37">
        <v>0</v>
      </c>
      <c r="E355" s="91" t="s">
        <v>71</v>
      </c>
    </row>
    <row r="356" spans="1:5">
      <c r="A356" s="21">
        <f t="shared" si="9"/>
        <v>4</v>
      </c>
      <c r="B356" s="164" t="str">
        <f ca="1">IFERROR(__xludf.DUMMYFUNCTION("GOOGLETRANSLATE(B3096:B3111,""RU"",""UK"")"),"Фреза дискова (набірна 8шт) М1.5")</f>
        <v>Фреза дискова (набірна 8шт) М1.5</v>
      </c>
      <c r="C356" s="59" t="s">
        <v>378</v>
      </c>
      <c r="D356" s="37">
        <v>0</v>
      </c>
      <c r="E356" s="91">
        <v>1900</v>
      </c>
    </row>
    <row r="357" spans="1:5">
      <c r="A357" s="21">
        <f t="shared" si="9"/>
        <v>5</v>
      </c>
      <c r="B357" s="85" t="str">
        <f ca="1">IFERROR(__xludf.DUMMYFUNCTION("GOOGLETRANSLATE(B3096:B3111,""RU"",""UK"")"),"Фреза дискова (набірна 8шт) М1,75")</f>
        <v>Фреза дискова (набірна 8шт) М1,75</v>
      </c>
      <c r="C357" s="59" t="s">
        <v>378</v>
      </c>
      <c r="D357" s="37">
        <v>2</v>
      </c>
      <c r="E357" s="91">
        <v>1900</v>
      </c>
    </row>
    <row r="358" spans="1:5">
      <c r="A358" s="21">
        <f t="shared" si="9"/>
        <v>6</v>
      </c>
      <c r="B358" s="200" t="str">
        <f ca="1">IFERROR(__xludf.DUMMYFUNCTION("GOOGLETRANSLATE(B3097:B3112,""RU"",""UK"")"),"Фреза дискова (набірна 8шт) М2,0")</f>
        <v>Фреза дискова (набірна 8шт) М2,0</v>
      </c>
      <c r="C358" s="59" t="s">
        <v>378</v>
      </c>
      <c r="D358" s="37">
        <v>0</v>
      </c>
      <c r="E358" s="91">
        <v>2000</v>
      </c>
    </row>
    <row r="359" spans="1:5">
      <c r="A359" s="21">
        <f t="shared" si="9"/>
        <v>7</v>
      </c>
      <c r="B359" s="85" t="str">
        <f ca="1">IFERROR(__xludf.DUMMYFUNCTION("GOOGLETRANSLATE(B3098:B3113,""RU"",""UK"")"),"Фреза дискова (набірна 8шт) М2,25")</f>
        <v>Фреза дискова (набірна 8шт) М2,25</v>
      </c>
      <c r="C359" s="59" t="s">
        <v>378</v>
      </c>
      <c r="D359" s="59">
        <v>2</v>
      </c>
      <c r="E359" s="91">
        <v>1900</v>
      </c>
    </row>
    <row r="360" spans="1:5">
      <c r="A360" s="21">
        <f t="shared" si="9"/>
        <v>8</v>
      </c>
      <c r="B360" s="200" t="str">
        <f ca="1">IFERROR(__xludf.DUMMYFUNCTION("GOOGLETRANSLATE(B3098:B3113,""RU"",""UK"")"),"Фреза дискова (набірна 8шт) М2,5")</f>
        <v>Фреза дискова (набірна 8шт) М2,5</v>
      </c>
      <c r="C360" s="59" t="s">
        <v>378</v>
      </c>
      <c r="D360" s="59">
        <v>0</v>
      </c>
      <c r="E360" s="91">
        <v>1900</v>
      </c>
    </row>
    <row r="361" spans="1:5">
      <c r="A361" s="21">
        <f t="shared" si="9"/>
        <v>9</v>
      </c>
      <c r="B361" s="85" t="str">
        <f ca="1">IFERROR(__xludf.DUMMYFUNCTION("GOOGLETRANSLATE(B3099:B3114,""RU"",""UK"")"),"Фреза дискова (набірна 8шт) М2.75")</f>
        <v>Фреза дискова (набірна 8шт) М2.75</v>
      </c>
      <c r="C361" s="59" t="s">
        <v>378</v>
      </c>
      <c r="D361" s="59">
        <v>3</v>
      </c>
      <c r="E361" s="91">
        <v>1900</v>
      </c>
    </row>
    <row r="362" spans="1:5">
      <c r="A362" s="21">
        <f t="shared" si="9"/>
        <v>10</v>
      </c>
      <c r="B362" s="85" t="str">
        <f ca="1">IFERROR(__xludf.DUMMYFUNCTION("GOOGLETRANSLATE(B3100:B3115,""RU"",""UK"")"),"Фреза дискова (набірна 8шт) М3,0")</f>
        <v>Фреза дискова (набірна 8шт) М3,0</v>
      </c>
      <c r="C362" s="59" t="s">
        <v>378</v>
      </c>
      <c r="D362" s="59">
        <v>3</v>
      </c>
      <c r="E362" s="91">
        <v>1930</v>
      </c>
    </row>
    <row r="363" spans="1:5">
      <c r="A363" s="21">
        <f t="shared" si="9"/>
        <v>11</v>
      </c>
      <c r="B363" s="85" t="str">
        <f ca="1">IFERROR(__xludf.DUMMYFUNCTION("GOOGLETRANSLATE(B3101:B3116,""RU"",""UK"")"),"Фреза дискова (набірна 8шт) М3,25")</f>
        <v>Фреза дискова (набірна 8шт) М3,25</v>
      </c>
      <c r="C363" s="59" t="s">
        <v>378</v>
      </c>
      <c r="D363" s="59">
        <v>3</v>
      </c>
      <c r="E363" s="91" t="s">
        <v>3538</v>
      </c>
    </row>
    <row r="364" spans="1:5">
      <c r="A364" s="21">
        <f t="shared" si="9"/>
        <v>12</v>
      </c>
      <c r="B364" s="85" t="str">
        <f ca="1">IFERROR(__xludf.DUMMYFUNCTION("GOOGLETRANSLATE(B3102:B3117,""RU"",""UK"")"),"Фреза дискова (набірна 8шт) М3,5")</f>
        <v>Фреза дискова (набірна 8шт) М3,5</v>
      </c>
      <c r="C364" s="59" t="s">
        <v>378</v>
      </c>
      <c r="D364" s="59">
        <v>1</v>
      </c>
      <c r="E364" s="91" t="s">
        <v>38</v>
      </c>
    </row>
    <row r="365" spans="1:5">
      <c r="A365" s="21">
        <f t="shared" si="9"/>
        <v>13</v>
      </c>
      <c r="B365" s="85" t="str">
        <f ca="1">IFERROR(__xludf.DUMMYFUNCTION("GOOGLETRANSLATE(B3102:B3117,""RU"",""UK"")"),"Фреза дискова (набірна 8шт) М3,75")</f>
        <v>Фреза дискова (набірна 8шт) М3,75</v>
      </c>
      <c r="C365" s="59" t="s">
        <v>378</v>
      </c>
      <c r="D365" s="59">
        <v>4</v>
      </c>
      <c r="E365" s="91" t="s">
        <v>38</v>
      </c>
    </row>
    <row r="366" spans="1:5">
      <c r="A366" s="21">
        <f t="shared" si="9"/>
        <v>14</v>
      </c>
      <c r="B366" s="85" t="str">
        <f ca="1">IFERROR(__xludf.DUMMYFUNCTION("GOOGLETRANSLATE(B3103:B3118,""RU"",""UK"")"),"Фреза дискова (набірна 8шт) М4,0")</f>
        <v>Фреза дискова (набірна 8шт) М4,0</v>
      </c>
      <c r="C366" s="59" t="s">
        <v>378</v>
      </c>
      <c r="D366" s="59">
        <v>2</v>
      </c>
      <c r="E366" s="91" t="s">
        <v>3445</v>
      </c>
    </row>
    <row r="367" spans="1:5">
      <c r="A367" s="21">
        <f t="shared" ref="A367:A611" si="10">A366+1</f>
        <v>15</v>
      </c>
      <c r="B367" s="85" t="str">
        <f ca="1">IFERROR(__xludf.DUMMYFUNCTION("GOOGLETRANSLATE(B3104:B3119,""RU"",""UK"")"),"Фреза дискова (набірна 8шт) М4,5")</f>
        <v>Фреза дискова (набірна 8шт) М4,5</v>
      </c>
      <c r="C367" s="59" t="s">
        <v>378</v>
      </c>
      <c r="D367" s="59">
        <v>9</v>
      </c>
      <c r="E367" s="91" t="s">
        <v>3325</v>
      </c>
    </row>
    <row r="368" spans="1:5">
      <c r="A368" s="21">
        <f t="shared" si="10"/>
        <v>16</v>
      </c>
      <c r="B368" s="85" t="str">
        <f ca="1">IFERROR(__xludf.DUMMYFUNCTION("GOOGLETRANSLATE(B3105:B3120,""RU"",""UK"")"),"Фреза дискова (набірна 8шт) М5")</f>
        <v>Фреза дискова (набірна 8шт) М5</v>
      </c>
      <c r="C368" s="59" t="s">
        <v>378</v>
      </c>
      <c r="D368" s="59">
        <v>5</v>
      </c>
      <c r="E368" s="91" t="s">
        <v>3476</v>
      </c>
    </row>
    <row r="369" spans="1:5">
      <c r="A369" s="21">
        <f t="shared" si="10"/>
        <v>17</v>
      </c>
      <c r="B369" s="85" t="str">
        <f ca="1">IFERROR(__xludf.DUMMYFUNCTION("GOOGLETRANSLATE(B3105:B3120,""RU"",""UK"")"),"Фреза дискова (набірна 8шт) М5,5")</f>
        <v>Фреза дискова (набірна 8шт) М5,5</v>
      </c>
      <c r="C369" s="59" t="s">
        <v>378</v>
      </c>
      <c r="D369" s="59">
        <v>2</v>
      </c>
      <c r="E369" s="91" t="s">
        <v>3476</v>
      </c>
    </row>
    <row r="370" spans="1:5">
      <c r="A370" s="21">
        <f t="shared" si="10"/>
        <v>18</v>
      </c>
      <c r="B370" s="85" t="str">
        <f ca="1">IFERROR(__xludf.DUMMYFUNCTION("GOOGLETRANSLATE(B3106:B3121,""RU"",""UK"")"),"Фреза дискова (набірна 8шт) М6")</f>
        <v>Фреза дискова (набірна 8шт) М6</v>
      </c>
      <c r="C370" s="59" t="s">
        <v>378</v>
      </c>
      <c r="D370" s="59">
        <v>1</v>
      </c>
      <c r="E370" s="91" t="s">
        <v>97</v>
      </c>
    </row>
    <row r="371" spans="1:5">
      <c r="A371" s="21">
        <f t="shared" si="10"/>
        <v>19</v>
      </c>
      <c r="B371" s="85" t="str">
        <f ca="1">IFERROR(__xludf.DUMMYFUNCTION("GOOGLETRANSLATE(B3105:B3120,""RU"",""UK"")"),"Фреза дискова (набірна 8шт) М6,5")</f>
        <v>Фреза дискова (набірна 8шт) М6,5</v>
      </c>
      <c r="C371" s="59" t="s">
        <v>378</v>
      </c>
      <c r="D371" s="59">
        <v>1</v>
      </c>
      <c r="E371" s="91">
        <v>2970</v>
      </c>
    </row>
    <row r="372" spans="1:5">
      <c r="A372" s="21">
        <f t="shared" si="10"/>
        <v>20</v>
      </c>
      <c r="B372" s="85" t="str">
        <f ca="1">IFERROR(__xludf.DUMMYFUNCTION("GOOGLETRANSLATE(B3106:B3121,""RU"",""UK"")"),"Фреза дискова (набірна 8шт) М7")</f>
        <v>Фреза дискова (набірна 8шт) М7</v>
      </c>
      <c r="C372" s="59" t="s">
        <v>378</v>
      </c>
      <c r="D372" s="59">
        <v>1</v>
      </c>
      <c r="E372" s="91" t="s">
        <v>97</v>
      </c>
    </row>
    <row r="373" spans="1:5">
      <c r="A373" s="21">
        <f t="shared" si="10"/>
        <v>21</v>
      </c>
      <c r="B373" s="85" t="str">
        <f ca="1">IFERROR(__xludf.DUMMYFUNCTION("GOOGLETRANSLATE(B3107:B3122,""RU"",""UK"")"),"Фреза дискова (набірна 8шт) М8")</f>
        <v>Фреза дискова (набірна 8шт) М8</v>
      </c>
      <c r="C373" s="59" t="s">
        <v>378</v>
      </c>
      <c r="D373" s="59">
        <v>2</v>
      </c>
      <c r="E373" s="91">
        <v>3300</v>
      </c>
    </row>
    <row r="374" spans="1:5">
      <c r="A374" s="21">
        <f t="shared" si="10"/>
        <v>22</v>
      </c>
      <c r="B374" s="85" t="str">
        <f ca="1">IFERROR(__xludf.DUMMYFUNCTION("GOOGLETRANSLATE(B3095:B3110,""RU"",""UK"")"),"Фреза дискова набірна М0,8 №8")</f>
        <v>Фреза дискова набірна М0,8 №8</v>
      </c>
      <c r="C374" s="59" t="s">
        <v>6</v>
      </c>
      <c r="D374" s="37">
        <v>1</v>
      </c>
      <c r="E374" s="91">
        <v>150</v>
      </c>
    </row>
    <row r="375" spans="1:5">
      <c r="A375" s="21">
        <f t="shared" si="10"/>
        <v>23</v>
      </c>
      <c r="B375" s="85" t="str">
        <f ca="1">IFERROR(__xludf.DUMMYFUNCTION("GOOGLETRANSLATE(B3095:B3110,""RU"",""UK"")"),"Фреза дискова набірна М1 №2")</f>
        <v>Фреза дискова набірна М1 №2</v>
      </c>
      <c r="C375" s="59" t="s">
        <v>6</v>
      </c>
      <c r="D375" s="37">
        <v>5</v>
      </c>
      <c r="E375" s="91">
        <v>180</v>
      </c>
    </row>
    <row r="376" spans="1:5">
      <c r="A376" s="21">
        <f t="shared" si="10"/>
        <v>24</v>
      </c>
      <c r="B376" s="85" t="str">
        <f ca="1">IFERROR(__xludf.DUMMYFUNCTION("GOOGLETRANSLATE(B3095:B3110,""RU"",""UK"")"),"Фреза дискова набірна М1 №3")</f>
        <v>Фреза дискова набірна М1 №3</v>
      </c>
      <c r="C376" s="59" t="s">
        <v>6</v>
      </c>
      <c r="D376" s="37">
        <v>5</v>
      </c>
      <c r="E376" s="91">
        <v>180</v>
      </c>
    </row>
    <row r="377" spans="1:5">
      <c r="A377" s="21">
        <f t="shared" si="10"/>
        <v>25</v>
      </c>
      <c r="B377" s="85" t="str">
        <f ca="1">IFERROR(__xludf.DUMMYFUNCTION("GOOGLETRANSLATE(B3095:B3110,""RU"",""UK"")"),"Фреза дискова набірна М1 №4")</f>
        <v>Фреза дискова набірна М1 №4</v>
      </c>
      <c r="C377" s="59" t="s">
        <v>6</v>
      </c>
      <c r="D377" s="37">
        <v>1</v>
      </c>
      <c r="E377" s="91">
        <v>180</v>
      </c>
    </row>
    <row r="378" spans="1:5">
      <c r="A378" s="21">
        <f t="shared" si="10"/>
        <v>26</v>
      </c>
      <c r="B378" s="85" t="str">
        <f ca="1">IFERROR(__xludf.DUMMYFUNCTION("GOOGLETRANSLATE(B3095:B3110,""RU"",""UK"")"),"Фреза дискова набірна М1 №5")</f>
        <v>Фреза дискова набірна М1 №5</v>
      </c>
      <c r="C378" s="59" t="s">
        <v>6</v>
      </c>
      <c r="D378" s="37">
        <v>7</v>
      </c>
      <c r="E378" s="91">
        <v>180</v>
      </c>
    </row>
    <row r="379" spans="1:5">
      <c r="A379" s="21">
        <f t="shared" si="10"/>
        <v>27</v>
      </c>
      <c r="B379" s="85" t="str">
        <f ca="1">IFERROR(__xludf.DUMMYFUNCTION("GOOGLETRANSLATE(B3095:B3110,""RU"",""UK"")"),"Фреза дискова набірна М1 №6")</f>
        <v>Фреза дискова набірна М1 №6</v>
      </c>
      <c r="C379" s="59" t="s">
        <v>6</v>
      </c>
      <c r="D379" s="37">
        <v>4</v>
      </c>
      <c r="E379" s="91">
        <v>180</v>
      </c>
    </row>
    <row r="380" spans="1:5">
      <c r="A380" s="21">
        <f t="shared" si="10"/>
        <v>28</v>
      </c>
      <c r="B380" s="85" t="str">
        <f ca="1">IFERROR(__xludf.DUMMYFUNCTION("GOOGLETRANSLATE(B3095:B3110,""RU"",""UK"")"),"Фреза дискова набірна М1 №7")</f>
        <v>Фреза дискова набірна М1 №7</v>
      </c>
      <c r="C380" s="59" t="s">
        <v>6</v>
      </c>
      <c r="D380" s="37">
        <v>5</v>
      </c>
      <c r="E380" s="91">
        <v>180</v>
      </c>
    </row>
    <row r="381" spans="1:5">
      <c r="A381" s="21">
        <f t="shared" si="10"/>
        <v>29</v>
      </c>
      <c r="B381" s="164" t="str">
        <f ca="1">IFERROR(__xludf.DUMMYFUNCTION("GOOGLETRANSLATE(B3095:B3110,""RU"",""UK"")"),"Фреза дискова набірна М1 №8")</f>
        <v>Фреза дискова набірна М1 №8</v>
      </c>
      <c r="C381" s="59" t="s">
        <v>6</v>
      </c>
      <c r="D381" s="37">
        <v>0</v>
      </c>
      <c r="E381" s="91">
        <v>180</v>
      </c>
    </row>
    <row r="382" spans="1:5">
      <c r="A382" s="21">
        <f t="shared" si="10"/>
        <v>30</v>
      </c>
      <c r="B382" s="85" t="str">
        <f ca="1">IFERROR(__xludf.DUMMYFUNCTION("GOOGLETRANSLATE(B3095:B3110,""RU"",""UK"")"),"Фреза дискова набірна М1,25 №1")</f>
        <v>Фреза дискова набірна М1,25 №1</v>
      </c>
      <c r="C382" s="59" t="s">
        <v>6</v>
      </c>
      <c r="D382" s="37">
        <v>2</v>
      </c>
      <c r="E382" s="91">
        <v>210</v>
      </c>
    </row>
    <row r="383" spans="1:5">
      <c r="A383" s="21">
        <f t="shared" si="10"/>
        <v>31</v>
      </c>
      <c r="B383" s="85" t="str">
        <f ca="1">IFERROR(__xludf.DUMMYFUNCTION("GOOGLETRANSLATE(B3095:B3110,""RU"",""UK"")"),"Фреза дискова набірна М1,25 №2")</f>
        <v>Фреза дискова набірна М1,25 №2</v>
      </c>
      <c r="C383" s="59" t="s">
        <v>6</v>
      </c>
      <c r="D383" s="37">
        <v>3</v>
      </c>
      <c r="E383" s="91">
        <v>210</v>
      </c>
    </row>
    <row r="384" spans="1:5">
      <c r="A384" s="21">
        <f t="shared" si="10"/>
        <v>32</v>
      </c>
      <c r="B384" s="85" t="str">
        <f ca="1">IFERROR(__xludf.DUMMYFUNCTION("GOOGLETRANSLATE(B3095:B3110,""RU"",""UK"")"),"Фреза дискова набірна М1,25 №4")</f>
        <v>Фреза дискова набірна М1,25 №4</v>
      </c>
      <c r="C384" s="59" t="s">
        <v>6</v>
      </c>
      <c r="D384" s="37">
        <v>4</v>
      </c>
      <c r="E384" s="91">
        <v>210</v>
      </c>
    </row>
    <row r="385" spans="1:5">
      <c r="A385" s="21">
        <f t="shared" si="10"/>
        <v>33</v>
      </c>
      <c r="B385" s="85" t="str">
        <f ca="1">IFERROR(__xludf.DUMMYFUNCTION("GOOGLETRANSLATE(B3095:B3110,""RU"",""UK"")"),"Фреза дискова набірна М1,25 №6")</f>
        <v>Фреза дискова набірна М1,25 №6</v>
      </c>
      <c r="C385" s="59" t="s">
        <v>6</v>
      </c>
      <c r="D385" s="37">
        <v>3</v>
      </c>
      <c r="E385" s="91">
        <v>210</v>
      </c>
    </row>
    <row r="386" spans="1:5">
      <c r="A386" s="21">
        <f t="shared" si="10"/>
        <v>34</v>
      </c>
      <c r="B386" s="85" t="str">
        <f ca="1">IFERROR(__xludf.DUMMYFUNCTION("GOOGLETRANSLATE(B3095:B3110,""RU"",""UK"")"),"Фреза дискова набірна М1,25 №8")</f>
        <v>Фреза дискова набірна М1,25 №8</v>
      </c>
      <c r="C386" s="59" t="s">
        <v>6</v>
      </c>
      <c r="D386" s="37">
        <v>2</v>
      </c>
      <c r="E386" s="91">
        <v>210</v>
      </c>
    </row>
    <row r="387" spans="1:5">
      <c r="A387" s="21">
        <f t="shared" si="10"/>
        <v>35</v>
      </c>
      <c r="B387" s="85" t="str">
        <f ca="1">IFERROR(__xludf.DUMMYFUNCTION("GOOGLETRANSLATE(B3095:B3110,""RU"",""UK"")"),"Фреза дискова набірна М1,5 №1")</f>
        <v>Фреза дискова набірна М1,5 №1</v>
      </c>
      <c r="C387" s="59" t="s">
        <v>6</v>
      </c>
      <c r="D387" s="37">
        <v>3</v>
      </c>
      <c r="E387" s="91">
        <v>240</v>
      </c>
    </row>
    <row r="388" spans="1:5">
      <c r="A388" s="21">
        <f t="shared" si="10"/>
        <v>36</v>
      </c>
      <c r="B388" s="85" t="str">
        <f ca="1">IFERROR(__xludf.DUMMYFUNCTION("GOOGLETRANSLATE(B3095:B3110,""RU"",""UK"")"),"Фреза дискова набірна М1,5 №2")</f>
        <v>Фреза дискова набірна М1,5 №2</v>
      </c>
      <c r="C388" s="59" t="s">
        <v>6</v>
      </c>
      <c r="D388" s="37">
        <v>2</v>
      </c>
      <c r="E388" s="91">
        <v>240</v>
      </c>
    </row>
    <row r="389" spans="1:5">
      <c r="A389" s="21">
        <f t="shared" si="10"/>
        <v>37</v>
      </c>
      <c r="B389" s="169" t="str">
        <f ca="1">IFERROR(__xludf.DUMMYFUNCTION("GOOGLETRANSLATE(B3095:B3110,""RU"",""UK"")"),"Фреза дискова набірна М1,5 №3")</f>
        <v>Фреза дискова набірна М1,5 №3</v>
      </c>
      <c r="C389" s="59" t="s">
        <v>6</v>
      </c>
      <c r="D389" s="37">
        <v>1</v>
      </c>
      <c r="E389" s="91">
        <v>240</v>
      </c>
    </row>
    <row r="390" spans="1:5">
      <c r="A390" s="21">
        <f t="shared" si="10"/>
        <v>38</v>
      </c>
      <c r="B390" s="85" t="str">
        <f ca="1">IFERROR(__xludf.DUMMYFUNCTION("GOOGLETRANSLATE(B3095:B3110,""RU"",""UK"")"),"Фреза дискова набірна М1,5 №4")</f>
        <v>Фреза дискова набірна М1,5 №4</v>
      </c>
      <c r="C390" s="59" t="s">
        <v>6</v>
      </c>
      <c r="D390" s="37">
        <v>1</v>
      </c>
      <c r="E390" s="91">
        <v>240</v>
      </c>
    </row>
    <row r="391" spans="1:5">
      <c r="A391" s="21">
        <f t="shared" si="10"/>
        <v>39</v>
      </c>
      <c r="B391" s="85" t="str">
        <f ca="1">IFERROR(__xludf.DUMMYFUNCTION("GOOGLETRANSLATE(B3095:B3110,""RU"",""UK"")"),"Фреза дискова набірна М1,5 №5")</f>
        <v>Фреза дискова набірна М1,5 №5</v>
      </c>
      <c r="C391" s="59" t="s">
        <v>6</v>
      </c>
      <c r="D391" s="37">
        <v>1</v>
      </c>
      <c r="E391" s="91">
        <v>240</v>
      </c>
    </row>
    <row r="392" spans="1:5">
      <c r="A392" s="21">
        <f t="shared" si="10"/>
        <v>40</v>
      </c>
      <c r="B392" s="85" t="str">
        <f ca="1">IFERROR(__xludf.DUMMYFUNCTION("GOOGLETRANSLATE(B3095:B3110,""RU"",""UK"")"),"Фреза дискова набірна М1,5 №6")</f>
        <v>Фреза дискова набірна М1,5 №6</v>
      </c>
      <c r="C392" s="59" t="s">
        <v>6</v>
      </c>
      <c r="D392" s="37">
        <v>2</v>
      </c>
      <c r="E392" s="91">
        <v>240</v>
      </c>
    </row>
    <row r="393" spans="1:5">
      <c r="A393" s="21">
        <f t="shared" si="10"/>
        <v>41</v>
      </c>
      <c r="B393" s="85" t="str">
        <f ca="1">IFERROR(__xludf.DUMMYFUNCTION("GOOGLETRANSLATE(B3095:B3110,""RU"",""UK"")"),"Фреза дискова набірна М1,5 №8")</f>
        <v>Фреза дискова набірна М1,5 №8</v>
      </c>
      <c r="C393" s="59" t="s">
        <v>6</v>
      </c>
      <c r="D393" s="37">
        <v>1</v>
      </c>
      <c r="E393" s="91">
        <v>240</v>
      </c>
    </row>
    <row r="394" spans="1:5">
      <c r="A394" s="21">
        <f t="shared" si="10"/>
        <v>42</v>
      </c>
      <c r="B394" s="85" t="str">
        <f ca="1">IFERROR(__xludf.DUMMYFUNCTION("GOOGLETRANSLATE(B3095:B3110,""RU"",""UK"")"),"Фреза дискова набірна М1,75 №3")</f>
        <v>Фреза дискова набірна М1,75 №3</v>
      </c>
      <c r="C394" s="59" t="s">
        <v>6</v>
      </c>
      <c r="D394" s="37">
        <v>2</v>
      </c>
      <c r="E394" s="91">
        <v>240</v>
      </c>
    </row>
    <row r="395" spans="1:5">
      <c r="A395" s="21">
        <f t="shared" si="10"/>
        <v>43</v>
      </c>
      <c r="B395" s="85" t="str">
        <f ca="1">IFERROR(__xludf.DUMMYFUNCTION("GOOGLETRANSLATE(B3095:B3110,""RU"",""UK"")"),"Фреза дискова набірна М1,75 №4")</f>
        <v>Фреза дискова набірна М1,75 №4</v>
      </c>
      <c r="C395" s="59" t="s">
        <v>6</v>
      </c>
      <c r="D395" s="37">
        <v>2</v>
      </c>
      <c r="E395" s="91">
        <v>240</v>
      </c>
    </row>
    <row r="396" spans="1:5">
      <c r="A396" s="21">
        <f t="shared" si="10"/>
        <v>44</v>
      </c>
      <c r="B396" s="85" t="str">
        <f ca="1">IFERROR(__xludf.DUMMYFUNCTION("GOOGLETRANSLATE(B3095:B3110,""RU"",""UK"")"),"Фреза дискова набірна М1,75 №5")</f>
        <v>Фреза дискова набірна М1,75 №5</v>
      </c>
      <c r="C396" s="59" t="s">
        <v>6</v>
      </c>
      <c r="D396" s="37">
        <v>3</v>
      </c>
      <c r="E396" s="91">
        <v>240</v>
      </c>
    </row>
    <row r="397" spans="1:5">
      <c r="A397" s="21">
        <f t="shared" si="10"/>
        <v>45</v>
      </c>
      <c r="B397" s="85" t="str">
        <f ca="1">IFERROR(__xludf.DUMMYFUNCTION("GOOGLETRANSLATE(B3095:B3110,""RU"",""UK"")"),"Фреза дискова набірна М1,75 №6")</f>
        <v>Фреза дискова набірна М1,75 №6</v>
      </c>
      <c r="C397" s="59" t="s">
        <v>6</v>
      </c>
      <c r="D397" s="37">
        <v>2</v>
      </c>
      <c r="E397" s="91">
        <v>240</v>
      </c>
    </row>
    <row r="398" spans="1:5">
      <c r="A398" s="21">
        <f t="shared" si="10"/>
        <v>46</v>
      </c>
      <c r="B398" s="85" t="str">
        <f ca="1">IFERROR(__xludf.DUMMYFUNCTION("GOOGLETRANSLATE(B3095:B3110,""RU"",""UK"")"),"Фреза дискова набірна М1,75 №8")</f>
        <v>Фреза дискова набірна М1,75 №8</v>
      </c>
      <c r="C398" s="59" t="s">
        <v>6</v>
      </c>
      <c r="D398" s="37">
        <v>1</v>
      </c>
      <c r="E398" s="91">
        <v>240</v>
      </c>
    </row>
    <row r="399" spans="1:5">
      <c r="A399" s="21">
        <f t="shared" si="10"/>
        <v>47</v>
      </c>
      <c r="B399" s="85" t="str">
        <f ca="1">IFERROR(__xludf.DUMMYFUNCTION("GOOGLETRANSLATE(B3095:B3110,""RU"",""UK"")"),"Фреза дискова набірна М2 №1")</f>
        <v>Фреза дискова набірна М2 №1</v>
      </c>
      <c r="C399" s="59" t="s">
        <v>6</v>
      </c>
      <c r="D399" s="37">
        <v>4</v>
      </c>
      <c r="E399" s="91">
        <v>270</v>
      </c>
    </row>
    <row r="400" spans="1:5">
      <c r="A400" s="21">
        <f t="shared" si="10"/>
        <v>48</v>
      </c>
      <c r="B400" s="85" t="str">
        <f ca="1">IFERROR(__xludf.DUMMYFUNCTION("GOOGLETRANSLATE(B3095:B3110,""RU"",""UK"")"),"Фреза дискова набірна М2 №3")</f>
        <v>Фреза дискова набірна М2 №3</v>
      </c>
      <c r="C400" s="59" t="s">
        <v>6</v>
      </c>
      <c r="D400" s="37">
        <v>4</v>
      </c>
      <c r="E400" s="91">
        <v>270</v>
      </c>
    </row>
    <row r="401" spans="1:5">
      <c r="A401" s="21">
        <f t="shared" si="10"/>
        <v>49</v>
      </c>
      <c r="B401" s="85" t="str">
        <f ca="1">IFERROR(__xludf.DUMMYFUNCTION("GOOGLETRANSLATE(B3095:B3110,""RU"",""UK"")"),"Фреза дискова набірна М2 №4")</f>
        <v>Фреза дискова набірна М2 №4</v>
      </c>
      <c r="C401" s="59" t="s">
        <v>6</v>
      </c>
      <c r="D401" s="37">
        <v>2</v>
      </c>
      <c r="E401" s="91">
        <v>270</v>
      </c>
    </row>
    <row r="402" spans="1:5">
      <c r="A402" s="21">
        <f t="shared" si="10"/>
        <v>50</v>
      </c>
      <c r="B402" s="85" t="str">
        <f ca="1">IFERROR(__xludf.DUMMYFUNCTION("GOOGLETRANSLATE(B3095:B3110,""RU"",""UK"")"),"Фреза дискова набірна М2 №5")</f>
        <v>Фреза дискова набірна М2 №5</v>
      </c>
      <c r="C402" s="59" t="s">
        <v>6</v>
      </c>
      <c r="D402" s="37">
        <v>5</v>
      </c>
      <c r="E402" s="91">
        <v>270</v>
      </c>
    </row>
    <row r="403" spans="1:5">
      <c r="A403" s="21">
        <f t="shared" si="10"/>
        <v>51</v>
      </c>
      <c r="B403" s="164" t="str">
        <f ca="1">IFERROR(__xludf.DUMMYFUNCTION("GOOGLETRANSLATE(B3095:B3110,""RU"",""UK"")"),"Фреза дискова набірна М2 №7")</f>
        <v>Фреза дискова набірна М2 №7</v>
      </c>
      <c r="C403" s="59" t="s">
        <v>6</v>
      </c>
      <c r="D403" s="37">
        <v>0</v>
      </c>
      <c r="E403" s="91">
        <v>270</v>
      </c>
    </row>
    <row r="404" spans="1:5">
      <c r="A404" s="21">
        <f t="shared" si="10"/>
        <v>52</v>
      </c>
      <c r="B404" s="85" t="str">
        <f ca="1">IFERROR(__xludf.DUMMYFUNCTION("GOOGLETRANSLATE(B3095:B3110,""RU"",""UK"")"),"Фреза дискова набірна М2 №8")</f>
        <v>Фреза дискова набірна М2 №8</v>
      </c>
      <c r="C404" s="59" t="s">
        <v>6</v>
      </c>
      <c r="D404" s="37">
        <v>2</v>
      </c>
      <c r="E404" s="91">
        <v>270</v>
      </c>
    </row>
    <row r="405" spans="1:5">
      <c r="A405" s="21">
        <f t="shared" si="10"/>
        <v>53</v>
      </c>
      <c r="B405" s="85" t="str">
        <f ca="1">IFERROR(__xludf.DUMMYFUNCTION("GOOGLETRANSLATE(B3095:B3110,""RU"",""UK"")"),"Фреза дискова набірна М2,25 №1")</f>
        <v>Фреза дискова набірна М2,25 №1</v>
      </c>
      <c r="C405" s="59" t="s">
        <v>6</v>
      </c>
      <c r="D405" s="37">
        <v>3</v>
      </c>
      <c r="E405" s="91">
        <v>270</v>
      </c>
    </row>
    <row r="406" spans="1:5">
      <c r="A406" s="21">
        <f t="shared" si="10"/>
        <v>54</v>
      </c>
      <c r="B406" s="85" t="str">
        <f ca="1">IFERROR(__xludf.DUMMYFUNCTION("GOOGLETRANSLATE(B3095:B3110,""RU"",""UK"")"),"Фреза дискова набірна М2,25 №2")</f>
        <v>Фреза дискова набірна М2,25 №2</v>
      </c>
      <c r="C406" s="59" t="s">
        <v>6</v>
      </c>
      <c r="D406" s="37">
        <v>1</v>
      </c>
      <c r="E406" s="91">
        <v>270</v>
      </c>
    </row>
    <row r="407" spans="1:5">
      <c r="A407" s="21">
        <f t="shared" si="10"/>
        <v>55</v>
      </c>
      <c r="B407" s="85" t="str">
        <f ca="1">IFERROR(__xludf.DUMMYFUNCTION("GOOGLETRANSLATE(B3095:B3110,""RU"",""UK"")"),"Фреза дискова набірна М2,25 №3")</f>
        <v>Фреза дискова набірна М2,25 №3</v>
      </c>
      <c r="C407" s="59" t="s">
        <v>6</v>
      </c>
      <c r="D407" s="37">
        <v>2</v>
      </c>
      <c r="E407" s="91">
        <v>270</v>
      </c>
    </row>
    <row r="408" spans="1:5">
      <c r="A408" s="21">
        <f t="shared" si="10"/>
        <v>56</v>
      </c>
      <c r="B408" s="85" t="str">
        <f ca="1">IFERROR(__xludf.DUMMYFUNCTION("GOOGLETRANSLATE(B3095:B3110,""RU"",""UK"")"),"Фреза дискова набірна М2,25 №5")</f>
        <v>Фреза дискова набірна М2,25 №5</v>
      </c>
      <c r="C408" s="59" t="s">
        <v>6</v>
      </c>
      <c r="D408" s="37">
        <v>1</v>
      </c>
      <c r="E408" s="91">
        <v>270</v>
      </c>
    </row>
    <row r="409" spans="1:5">
      <c r="A409" s="21">
        <f t="shared" si="10"/>
        <v>57</v>
      </c>
      <c r="B409" s="85" t="str">
        <f ca="1">IFERROR(__xludf.DUMMYFUNCTION("GOOGLETRANSLATE(B3095:B3110,""RU"",""UK"")"),"Фреза дискова набірна М2,25 №7")</f>
        <v>Фреза дискова набірна М2,25 №7</v>
      </c>
      <c r="C409" s="59" t="s">
        <v>6</v>
      </c>
      <c r="D409" s="37">
        <v>1</v>
      </c>
      <c r="E409" s="91">
        <v>270</v>
      </c>
    </row>
    <row r="410" spans="1:5">
      <c r="A410" s="21">
        <f t="shared" si="10"/>
        <v>58</v>
      </c>
      <c r="B410" s="85" t="str">
        <f ca="1">IFERROR(__xludf.DUMMYFUNCTION("GOOGLETRANSLATE(B3095:B3110,""RU"",""UK"")"),"Фреза дискова набірна М2,25 №8")</f>
        <v>Фреза дискова набірна М2,25 №8</v>
      </c>
      <c r="C410" s="59" t="s">
        <v>6</v>
      </c>
      <c r="D410" s="37">
        <v>3</v>
      </c>
      <c r="E410" s="91">
        <v>270</v>
      </c>
    </row>
    <row r="411" spans="1:5">
      <c r="A411" s="21">
        <f t="shared" si="10"/>
        <v>59</v>
      </c>
      <c r="B411" s="85" t="str">
        <f ca="1">IFERROR(__xludf.DUMMYFUNCTION("GOOGLETRANSLATE(B3095:B3110,""RU"",""UK"")"),"Фреза дискова набірна М2,5 №1")</f>
        <v>Фреза дискова набірна М2,5 №1</v>
      </c>
      <c r="C411" s="59" t="s">
        <v>6</v>
      </c>
      <c r="D411" s="37">
        <v>8</v>
      </c>
      <c r="E411" s="91">
        <v>300</v>
      </c>
    </row>
    <row r="412" spans="1:5">
      <c r="A412" s="21">
        <f t="shared" si="10"/>
        <v>60</v>
      </c>
      <c r="B412" s="85" t="str">
        <f ca="1">IFERROR(__xludf.DUMMYFUNCTION("GOOGLETRANSLATE(B3095:B3110,""RU"",""UK"")"),"Фреза дискова набірна М2,5 №2")</f>
        <v>Фреза дискова набірна М2,5 №2</v>
      </c>
      <c r="C412" s="59" t="s">
        <v>6</v>
      </c>
      <c r="D412" s="37">
        <v>7</v>
      </c>
      <c r="E412" s="91">
        <v>300</v>
      </c>
    </row>
    <row r="413" spans="1:5">
      <c r="A413" s="21">
        <f t="shared" si="10"/>
        <v>61</v>
      </c>
      <c r="B413" s="85" t="str">
        <f ca="1">IFERROR(__xludf.DUMMYFUNCTION("GOOGLETRANSLATE(B3095:B3110,""RU"",""UK"")"),"Фреза дискова набірна М2,5 №3")</f>
        <v>Фреза дискова набірна М2,5 №3</v>
      </c>
      <c r="C413" s="59" t="s">
        <v>6</v>
      </c>
      <c r="D413" s="37">
        <v>4</v>
      </c>
      <c r="E413" s="91">
        <v>300</v>
      </c>
    </row>
    <row r="414" spans="1:5">
      <c r="A414" s="21">
        <f t="shared" si="10"/>
        <v>62</v>
      </c>
      <c r="B414" s="85" t="str">
        <f ca="1">IFERROR(__xludf.DUMMYFUNCTION("GOOGLETRANSLATE(B3095:B3110,""RU"",""UK"")"),"Фреза дискова набірна М2,5 №4")</f>
        <v>Фреза дискова набірна М2,5 №4</v>
      </c>
      <c r="C414" s="59" t="s">
        <v>6</v>
      </c>
      <c r="D414" s="37">
        <v>2</v>
      </c>
      <c r="E414" s="91">
        <v>300</v>
      </c>
    </row>
    <row r="415" spans="1:5">
      <c r="A415" s="21">
        <f t="shared" si="10"/>
        <v>63</v>
      </c>
      <c r="B415" s="85" t="str">
        <f ca="1">IFERROR(__xludf.DUMMYFUNCTION("GOOGLETRANSLATE(B3095:B3110,""RU"",""UK"")"),"Фреза дискова набірна М2,5 №6")</f>
        <v>Фреза дискова набірна М2,5 №6</v>
      </c>
      <c r="C415" s="59" t="s">
        <v>6</v>
      </c>
      <c r="D415" s="37">
        <v>2</v>
      </c>
      <c r="E415" s="91">
        <v>300</v>
      </c>
    </row>
    <row r="416" spans="1:5">
      <c r="A416" s="21">
        <f t="shared" si="10"/>
        <v>64</v>
      </c>
      <c r="B416" s="85" t="str">
        <f ca="1">IFERROR(__xludf.DUMMYFUNCTION("GOOGLETRANSLATE(B3095:B3110,""RU"",""UK"")"),"Фреза дискова набірна М2,5 №7")</f>
        <v>Фреза дискова набірна М2,5 №7</v>
      </c>
      <c r="C416" s="59" t="s">
        <v>6</v>
      </c>
      <c r="D416" s="37">
        <v>3</v>
      </c>
      <c r="E416" s="91">
        <v>300</v>
      </c>
    </row>
    <row r="417" spans="1:5">
      <c r="A417" s="21">
        <f t="shared" si="10"/>
        <v>65</v>
      </c>
      <c r="B417" s="85" t="str">
        <f ca="1">IFERROR(__xludf.DUMMYFUNCTION("GOOGLETRANSLATE(B3095:B3110,""RU"",""UK"")"),"Фреза дискова набірна М2,5 №8")</f>
        <v>Фреза дискова набірна М2,5 №8</v>
      </c>
      <c r="C417" s="59" t="s">
        <v>6</v>
      </c>
      <c r="D417" s="37">
        <v>6</v>
      </c>
      <c r="E417" s="91">
        <v>300</v>
      </c>
    </row>
    <row r="418" spans="1:5">
      <c r="A418" s="21">
        <f t="shared" si="10"/>
        <v>66</v>
      </c>
      <c r="B418" s="85" t="str">
        <f ca="1">IFERROR(__xludf.DUMMYFUNCTION("GOOGLETRANSLATE(B3095:B3110,""RU"",""UK"")"),"Фреза дискова набірна М2,75 №1")</f>
        <v>Фреза дискова набірна М2,75 №1</v>
      </c>
      <c r="C418" s="59" t="s">
        <v>6</v>
      </c>
      <c r="D418" s="37">
        <v>2</v>
      </c>
      <c r="E418" s="91">
        <v>300</v>
      </c>
    </row>
    <row r="419" spans="1:5">
      <c r="A419" s="21">
        <f t="shared" si="10"/>
        <v>67</v>
      </c>
      <c r="B419" s="85" t="str">
        <f ca="1">IFERROR(__xludf.DUMMYFUNCTION("GOOGLETRANSLATE(B3095:B3110,""RU"",""UK"")"),"Фреза дискова набірна М2,75 №2")</f>
        <v>Фреза дискова набірна М2,75 №2</v>
      </c>
      <c r="C419" s="59" t="s">
        <v>6</v>
      </c>
      <c r="D419" s="37">
        <v>1</v>
      </c>
      <c r="E419" s="91">
        <v>300</v>
      </c>
    </row>
    <row r="420" spans="1:5">
      <c r="A420" s="21">
        <f t="shared" si="10"/>
        <v>68</v>
      </c>
      <c r="B420" s="85" t="str">
        <f ca="1">IFERROR(__xludf.DUMMYFUNCTION("GOOGLETRANSLATE(B3095:B3110,""RU"",""UK"")"),"Фреза дискова набірна М2,75 №3")</f>
        <v>Фреза дискова набірна М2,75 №3</v>
      </c>
      <c r="C420" s="59" t="s">
        <v>6</v>
      </c>
      <c r="D420" s="37">
        <v>2</v>
      </c>
      <c r="E420" s="91">
        <v>300</v>
      </c>
    </row>
    <row r="421" spans="1:5">
      <c r="A421" s="21">
        <f t="shared" si="10"/>
        <v>69</v>
      </c>
      <c r="B421" s="85" t="str">
        <f ca="1">IFERROR(__xludf.DUMMYFUNCTION("GOOGLETRANSLATE(B3095:B3110,""RU"",""UK"")"),"Фреза дискова набірна М2,75 №6")</f>
        <v>Фреза дискова набірна М2,75 №6</v>
      </c>
      <c r="C421" s="59" t="s">
        <v>6</v>
      </c>
      <c r="D421" s="37">
        <v>1</v>
      </c>
      <c r="E421" s="91">
        <v>300</v>
      </c>
    </row>
    <row r="422" spans="1:5">
      <c r="A422" s="21">
        <f t="shared" si="10"/>
        <v>70</v>
      </c>
      <c r="B422" s="85" t="str">
        <f ca="1">IFERROR(__xludf.DUMMYFUNCTION("GOOGLETRANSLATE(B3095:B3110,""RU"",""UK"")"),"Фреза дискова набірна М2,75 №7")</f>
        <v>Фреза дискова набірна М2,75 №7</v>
      </c>
      <c r="C422" s="59" t="s">
        <v>6</v>
      </c>
      <c r="D422" s="37">
        <v>3</v>
      </c>
      <c r="E422" s="91">
        <v>300</v>
      </c>
    </row>
    <row r="423" spans="1:5">
      <c r="A423" s="21">
        <f t="shared" si="10"/>
        <v>71</v>
      </c>
      <c r="B423" s="85" t="str">
        <f ca="1">IFERROR(__xludf.DUMMYFUNCTION("GOOGLETRANSLATE(B3095:B3110,""RU"",""UK"")"),"Фреза дискова набірна М2,75 №8")</f>
        <v>Фреза дискова набірна М2,75 №8</v>
      </c>
      <c r="C423" s="59" t="s">
        <v>6</v>
      </c>
      <c r="D423" s="37">
        <v>2</v>
      </c>
      <c r="E423" s="91">
        <v>300</v>
      </c>
    </row>
    <row r="424" spans="1:5">
      <c r="A424" s="21">
        <f t="shared" si="10"/>
        <v>72</v>
      </c>
      <c r="B424" s="85" t="str">
        <f ca="1">IFERROR(__xludf.DUMMYFUNCTION("GOOGLETRANSLATE(B3095:B3110,""RU"",""UK"")"),"Фреза дискова набірна М3 №1")</f>
        <v>Фреза дискова набірна М3 №1</v>
      </c>
      <c r="C424" s="59" t="s">
        <v>6</v>
      </c>
      <c r="D424" s="37">
        <v>2</v>
      </c>
      <c r="E424" s="91">
        <v>330</v>
      </c>
    </row>
    <row r="425" spans="1:5">
      <c r="A425" s="21">
        <f t="shared" si="10"/>
        <v>73</v>
      </c>
      <c r="B425" s="85" t="str">
        <f ca="1">IFERROR(__xludf.DUMMYFUNCTION("GOOGLETRANSLATE(B3095:B3110,""RU"",""UK"")"),"Фреза дискова набірна М3 №4")</f>
        <v>Фреза дискова набірна М3 №4</v>
      </c>
      <c r="C425" s="59" t="s">
        <v>6</v>
      </c>
      <c r="D425" s="37">
        <v>3</v>
      </c>
      <c r="E425" s="91">
        <v>330</v>
      </c>
    </row>
    <row r="426" spans="1:5">
      <c r="A426" s="21">
        <f t="shared" si="10"/>
        <v>74</v>
      </c>
      <c r="B426" s="85" t="str">
        <f ca="1">IFERROR(__xludf.DUMMYFUNCTION("GOOGLETRANSLATE(B3095:B3110,""RU"",""UK"")"),"Фреза дискова набірна М3 №5")</f>
        <v>Фреза дискова набірна М3 №5</v>
      </c>
      <c r="C426" s="59" t="s">
        <v>6</v>
      </c>
      <c r="D426" s="37">
        <v>2</v>
      </c>
      <c r="E426" s="91">
        <v>330</v>
      </c>
    </row>
    <row r="427" spans="1:5">
      <c r="A427" s="21">
        <f t="shared" si="10"/>
        <v>75</v>
      </c>
      <c r="B427" s="85" t="str">
        <f ca="1">IFERROR(__xludf.DUMMYFUNCTION("GOOGLETRANSLATE(B3095:B3110,""RU"",""UK"")"),"Фреза дискова набірна М3 №6")</f>
        <v>Фреза дискова набірна М3 №6</v>
      </c>
      <c r="C427" s="59" t="s">
        <v>6</v>
      </c>
      <c r="D427" s="37">
        <v>1</v>
      </c>
      <c r="E427" s="91">
        <v>330</v>
      </c>
    </row>
    <row r="428" spans="1:5">
      <c r="A428" s="21">
        <f t="shared" si="10"/>
        <v>76</v>
      </c>
      <c r="B428" s="85" t="str">
        <f ca="1">IFERROR(__xludf.DUMMYFUNCTION("GOOGLETRANSLATE(B3095:B3110,""RU"",""UK"")"),"Фреза дискова набірна М3 №7")</f>
        <v>Фреза дискова набірна М3 №7</v>
      </c>
      <c r="C428" s="59" t="s">
        <v>6</v>
      </c>
      <c r="D428" s="37">
        <v>3</v>
      </c>
      <c r="E428" s="91">
        <v>330</v>
      </c>
    </row>
    <row r="429" spans="1:5">
      <c r="A429" s="21">
        <f t="shared" si="10"/>
        <v>77</v>
      </c>
      <c r="B429" s="85" t="str">
        <f ca="1">IFERROR(__xludf.DUMMYFUNCTION("GOOGLETRANSLATE(B3095:B3110,""RU"",""UK"")"),"Фреза дискова набірна М3 №8")</f>
        <v>Фреза дискова набірна М3 №8</v>
      </c>
      <c r="C429" s="59" t="s">
        <v>6</v>
      </c>
      <c r="D429" s="37">
        <v>2</v>
      </c>
      <c r="E429" s="91">
        <v>330</v>
      </c>
    </row>
    <row r="430" spans="1:5">
      <c r="A430" s="21">
        <f t="shared" si="10"/>
        <v>78</v>
      </c>
      <c r="B430" s="85" t="str">
        <f ca="1">IFERROR(__xludf.DUMMYFUNCTION("GOOGLETRANSLATE(B3095:B3110,""RU"",""UK"")"),"Фреза дискова набірна М3,25 №1")</f>
        <v>Фреза дискова набірна М3,25 №1</v>
      </c>
      <c r="C430" s="59" t="s">
        <v>6</v>
      </c>
      <c r="D430" s="37">
        <v>1</v>
      </c>
      <c r="E430" s="91">
        <v>330</v>
      </c>
    </row>
    <row r="431" spans="1:5">
      <c r="A431" s="21">
        <f t="shared" si="10"/>
        <v>79</v>
      </c>
      <c r="B431" s="85" t="str">
        <f ca="1">IFERROR(__xludf.DUMMYFUNCTION("GOOGLETRANSLATE(B3095:B3110,""RU"",""UK"")"),"Фреза дискова набірна М3,25 №2")</f>
        <v>Фреза дискова набірна М3,25 №2</v>
      </c>
      <c r="C431" s="59" t="s">
        <v>6</v>
      </c>
      <c r="D431" s="37">
        <v>1</v>
      </c>
      <c r="E431" s="91">
        <v>330</v>
      </c>
    </row>
    <row r="432" spans="1:5">
      <c r="A432" s="21">
        <f t="shared" si="10"/>
        <v>80</v>
      </c>
      <c r="B432" s="85" t="str">
        <f ca="1">IFERROR(__xludf.DUMMYFUNCTION("GOOGLETRANSLATE(B3095:B3110,""RU"",""UK"")"),"Фреза дискова набірна М3,25 №4")</f>
        <v>Фреза дискова набірна М3,25 №4</v>
      </c>
      <c r="C432" s="59" t="s">
        <v>6</v>
      </c>
      <c r="D432" s="37">
        <v>1</v>
      </c>
      <c r="E432" s="91">
        <v>330</v>
      </c>
    </row>
    <row r="433" spans="1:5">
      <c r="A433" s="21">
        <f t="shared" si="10"/>
        <v>81</v>
      </c>
      <c r="B433" s="85" t="str">
        <f ca="1">IFERROR(__xludf.DUMMYFUNCTION("GOOGLETRANSLATE(B3095:B3110,""RU"",""UK"")"),"Фреза дискова набірна М3,25 №5")</f>
        <v>Фреза дискова набірна М3,25 №5</v>
      </c>
      <c r="C433" s="59" t="s">
        <v>6</v>
      </c>
      <c r="D433" s="37">
        <v>1</v>
      </c>
      <c r="E433" s="91">
        <v>330</v>
      </c>
    </row>
    <row r="434" spans="1:5">
      <c r="A434" s="21">
        <f t="shared" si="10"/>
        <v>82</v>
      </c>
      <c r="B434" s="85" t="str">
        <f ca="1">IFERROR(__xludf.DUMMYFUNCTION("GOOGLETRANSLATE(B3095:B3110,""RU"",""UK"")"),"Фреза дискова набірна М3,25 №6")</f>
        <v>Фреза дискова набірна М3,25 №6</v>
      </c>
      <c r="C434" s="59" t="s">
        <v>6</v>
      </c>
      <c r="D434" s="37">
        <v>2</v>
      </c>
      <c r="E434" s="91">
        <v>330</v>
      </c>
    </row>
    <row r="435" spans="1:5">
      <c r="A435" s="21">
        <f t="shared" si="10"/>
        <v>83</v>
      </c>
      <c r="B435" s="85" t="str">
        <f ca="1">IFERROR(__xludf.DUMMYFUNCTION("GOOGLETRANSLATE(B3095:B3110,""RU"",""UK"")"),"Фреза дискова набірна М3,25 №7")</f>
        <v>Фреза дискова набірна М3,25 №7</v>
      </c>
      <c r="C435" s="59" t="s">
        <v>6</v>
      </c>
      <c r="D435" s="37">
        <v>1</v>
      </c>
      <c r="E435" s="91">
        <v>330</v>
      </c>
    </row>
    <row r="436" spans="1:5">
      <c r="A436" s="21">
        <f t="shared" si="10"/>
        <v>84</v>
      </c>
      <c r="B436" s="85" t="str">
        <f ca="1">IFERROR(__xludf.DUMMYFUNCTION("GOOGLETRANSLATE(B3095:B3110,""RU"",""UK"")"),"Фреза дискова набірна М3,25 №8")</f>
        <v>Фреза дискова набірна М3,25 №8</v>
      </c>
      <c r="C436" s="59" t="s">
        <v>6</v>
      </c>
      <c r="D436" s="37">
        <v>1</v>
      </c>
      <c r="E436" s="91">
        <v>330</v>
      </c>
    </row>
    <row r="437" spans="1:5">
      <c r="A437" s="21">
        <f t="shared" si="10"/>
        <v>85</v>
      </c>
      <c r="B437" s="85" t="str">
        <f ca="1">IFERROR(__xludf.DUMMYFUNCTION("GOOGLETRANSLATE(B3095:B3110,""RU"",""UK"")"),"Фреза дискова набірна М3,5 №2")</f>
        <v>Фреза дискова набірна М3,5 №2</v>
      </c>
      <c r="C437" s="59" t="s">
        <v>6</v>
      </c>
      <c r="D437" s="37">
        <v>1</v>
      </c>
      <c r="E437" s="91">
        <v>330</v>
      </c>
    </row>
    <row r="438" spans="1:5">
      <c r="A438" s="21">
        <f t="shared" si="10"/>
        <v>86</v>
      </c>
      <c r="B438" s="85" t="str">
        <f ca="1">IFERROR(__xludf.DUMMYFUNCTION("GOOGLETRANSLATE(B3095:B3110,""RU"",""UK"")"),"Фреза дискова набірна М3,5 №4")</f>
        <v>Фреза дискова набірна М3,5 №4</v>
      </c>
      <c r="C438" s="59" t="s">
        <v>6</v>
      </c>
      <c r="D438" s="37">
        <v>2</v>
      </c>
      <c r="E438" s="91">
        <v>330</v>
      </c>
    </row>
    <row r="439" spans="1:5">
      <c r="A439" s="21">
        <f t="shared" si="10"/>
        <v>87</v>
      </c>
      <c r="B439" s="85" t="str">
        <f ca="1">IFERROR(__xludf.DUMMYFUNCTION("GOOGLETRANSLATE(B3095:B3110,""RU"",""UK"")"),"Фреза дискова набірна М3,5 №5")</f>
        <v>Фреза дискова набірна М3,5 №5</v>
      </c>
      <c r="C439" s="59" t="s">
        <v>6</v>
      </c>
      <c r="D439" s="37">
        <v>1</v>
      </c>
      <c r="E439" s="91">
        <v>330</v>
      </c>
    </row>
    <row r="440" spans="1:5">
      <c r="A440" s="21">
        <f>A439+1</f>
        <v>88</v>
      </c>
      <c r="B440" s="85" t="str">
        <f ca="1">IFERROR(__xludf.DUMMYFUNCTION("GOOGLETRANSLATE(B3095:B3110,""RU"",""UK"")"),"Фреза дискова набірна М3,5 №8")</f>
        <v>Фреза дискова набірна М3,5 №8</v>
      </c>
      <c r="C440" s="59" t="s">
        <v>6</v>
      </c>
      <c r="D440" s="37">
        <v>2</v>
      </c>
      <c r="E440" s="91">
        <v>330</v>
      </c>
    </row>
    <row r="441" spans="1:5">
      <c r="A441" s="21">
        <f t="shared" si="10"/>
        <v>89</v>
      </c>
      <c r="B441" s="85" t="str">
        <f ca="1">IFERROR(__xludf.DUMMYFUNCTION("GOOGLETRANSLATE(B3095:B3110,""RU"",""UK"")"),"Фреза дискова набірна М3,75 №1")</f>
        <v>Фреза дискова набірна М3,75 №1</v>
      </c>
      <c r="C441" s="59" t="s">
        <v>6</v>
      </c>
      <c r="D441" s="37">
        <v>2</v>
      </c>
      <c r="E441" s="91">
        <v>330</v>
      </c>
    </row>
    <row r="442" spans="1:5">
      <c r="A442" s="21">
        <f t="shared" si="10"/>
        <v>90</v>
      </c>
      <c r="B442" s="85" t="str">
        <f ca="1">IFERROR(__xludf.DUMMYFUNCTION("GOOGLETRANSLATE(B3095:B3110,""RU"",""UK"")"),"Фреза дискова набірна М3,75 №2")</f>
        <v>Фреза дискова набірна М3,75 №2</v>
      </c>
      <c r="C442" s="59" t="s">
        <v>6</v>
      </c>
      <c r="D442" s="37">
        <v>3</v>
      </c>
      <c r="E442" s="91">
        <v>330</v>
      </c>
    </row>
    <row r="443" spans="1:5">
      <c r="A443" s="21">
        <f t="shared" si="10"/>
        <v>91</v>
      </c>
      <c r="B443" s="85" t="str">
        <f ca="1">IFERROR(__xludf.DUMMYFUNCTION("GOOGLETRANSLATE(B3095:B3110,""RU"",""UK"")"),"Фреза дискова набірна М3,75 №3")</f>
        <v>Фреза дискова набірна М3,75 №3</v>
      </c>
      <c r="C443" s="59" t="s">
        <v>6</v>
      </c>
      <c r="D443" s="37">
        <v>2</v>
      </c>
      <c r="E443" s="91">
        <v>330</v>
      </c>
    </row>
    <row r="444" spans="1:5">
      <c r="A444" s="21">
        <f t="shared" si="10"/>
        <v>92</v>
      </c>
      <c r="B444" s="85" t="str">
        <f ca="1">IFERROR(__xludf.DUMMYFUNCTION("GOOGLETRANSLATE(B3095:B3110,""RU"",""UK"")"),"Фреза дискова набірна М3,75 №4")</f>
        <v>Фреза дискова набірна М3,75 №4</v>
      </c>
      <c r="C444" s="59" t="s">
        <v>6</v>
      </c>
      <c r="D444" s="37">
        <v>2</v>
      </c>
      <c r="E444" s="91">
        <v>330</v>
      </c>
    </row>
    <row r="445" spans="1:5">
      <c r="A445" s="21">
        <f t="shared" si="10"/>
        <v>93</v>
      </c>
      <c r="B445" s="85" t="str">
        <f ca="1">IFERROR(__xludf.DUMMYFUNCTION("GOOGLETRANSLATE(B3095:B3110,""RU"",""UK"")"),"Фреза дискова набірна М3,75 №5")</f>
        <v>Фреза дискова набірна М3,75 №5</v>
      </c>
      <c r="C445" s="59" t="s">
        <v>6</v>
      </c>
      <c r="D445" s="37">
        <v>1</v>
      </c>
      <c r="E445" s="91">
        <v>330</v>
      </c>
    </row>
    <row r="446" spans="1:5">
      <c r="A446" s="21">
        <f t="shared" si="10"/>
        <v>94</v>
      </c>
      <c r="B446" s="85" t="str">
        <f ca="1">IFERROR(__xludf.DUMMYFUNCTION("GOOGLETRANSLATE(B3095:B3110,""RU"",""UK"")"),"Фреза дискова набірна М3,75 №6")</f>
        <v>Фреза дискова набірна М3,75 №6</v>
      </c>
      <c r="C446" s="59" t="s">
        <v>6</v>
      </c>
      <c r="D446" s="37">
        <v>1</v>
      </c>
      <c r="E446" s="91">
        <v>330</v>
      </c>
    </row>
    <row r="447" spans="1:5">
      <c r="A447" s="21">
        <f t="shared" si="10"/>
        <v>95</v>
      </c>
      <c r="B447" s="85" t="str">
        <f ca="1">IFERROR(__xludf.DUMMYFUNCTION("GOOGLETRANSLATE(B3095:B3110,""RU"",""UK"")"),"Фреза дискова набірна М3,75 №8")</f>
        <v>Фреза дискова набірна М3,75 №8</v>
      </c>
      <c r="C447" s="59" t="s">
        <v>6</v>
      </c>
      <c r="D447" s="37">
        <v>2</v>
      </c>
      <c r="E447" s="91">
        <v>330</v>
      </c>
    </row>
    <row r="448" spans="1:5">
      <c r="A448" s="21">
        <f t="shared" si="10"/>
        <v>96</v>
      </c>
      <c r="B448" s="85" t="str">
        <f ca="1">IFERROR(__xludf.DUMMYFUNCTION("GOOGLETRANSLATE(B3095:B3110,""RU"",""UK"")"),"Фреза дискова набірна М4 №1")</f>
        <v>Фреза дискова набірна М4 №1</v>
      </c>
      <c r="C448" s="59" t="s">
        <v>6</v>
      </c>
      <c r="D448" s="37">
        <v>3</v>
      </c>
      <c r="E448" s="91">
        <v>350</v>
      </c>
    </row>
    <row r="449" spans="1:5">
      <c r="A449" s="21">
        <f t="shared" si="10"/>
        <v>97</v>
      </c>
      <c r="B449" s="85" t="str">
        <f ca="1">IFERROR(__xludf.DUMMYFUNCTION("GOOGLETRANSLATE(B3095:B3110,""RU"",""UK"")"),"Фреза дискова набірна М4 №2")</f>
        <v>Фреза дискова набірна М4 №2</v>
      </c>
      <c r="C449" s="59" t="s">
        <v>6</v>
      </c>
      <c r="D449" s="37">
        <v>1</v>
      </c>
      <c r="E449" s="91">
        <v>350</v>
      </c>
    </row>
    <row r="450" spans="1:5">
      <c r="A450" s="21">
        <f t="shared" si="10"/>
        <v>98</v>
      </c>
      <c r="B450" s="85" t="str">
        <f ca="1">IFERROR(__xludf.DUMMYFUNCTION("GOOGLETRANSLATE(B3095:B3110,""RU"",""UK"")"),"Фреза дискова набірна М4 №3")</f>
        <v>Фреза дискова набірна М4 №3</v>
      </c>
      <c r="C450" s="59" t="s">
        <v>6</v>
      </c>
      <c r="D450" s="37">
        <v>1</v>
      </c>
      <c r="E450" s="91">
        <v>350</v>
      </c>
    </row>
    <row r="451" spans="1:5">
      <c r="A451" s="21">
        <f t="shared" si="10"/>
        <v>99</v>
      </c>
      <c r="B451" s="85" t="str">
        <f ca="1">IFERROR(__xludf.DUMMYFUNCTION("GOOGLETRANSLATE(B3095:B3110,""RU"",""UK"")"),"Фреза дискова набірна М4 №4")</f>
        <v>Фреза дискова набірна М4 №4</v>
      </c>
      <c r="C451" s="59" t="s">
        <v>6</v>
      </c>
      <c r="D451" s="37">
        <v>3</v>
      </c>
      <c r="E451" s="91">
        <v>350</v>
      </c>
    </row>
    <row r="452" spans="1:5">
      <c r="A452" s="21">
        <f t="shared" si="10"/>
        <v>100</v>
      </c>
      <c r="B452" s="85" t="str">
        <f ca="1">IFERROR(__xludf.DUMMYFUNCTION("GOOGLETRANSLATE(B3095:B3110,""RU"",""UK"")"),"Фреза дискова набірна М4 №5")</f>
        <v>Фреза дискова набірна М4 №5</v>
      </c>
      <c r="C452" s="59" t="s">
        <v>6</v>
      </c>
      <c r="D452" s="37">
        <v>1</v>
      </c>
      <c r="E452" s="91">
        <v>350</v>
      </c>
    </row>
    <row r="453" spans="1:5">
      <c r="A453" s="21">
        <f t="shared" si="10"/>
        <v>101</v>
      </c>
      <c r="B453" s="85" t="str">
        <f ca="1">IFERROR(__xludf.DUMMYFUNCTION("GOOGLETRANSLATE(B3095:B3110,""RU"",""UK"")"),"Фреза дискова набірна М4 №6")</f>
        <v>Фреза дискова набірна М4 №6</v>
      </c>
      <c r="C453" s="59" t="s">
        <v>6</v>
      </c>
      <c r="D453" s="37">
        <v>1</v>
      </c>
      <c r="E453" s="91">
        <v>350</v>
      </c>
    </row>
    <row r="454" spans="1:5">
      <c r="A454" s="21">
        <f t="shared" si="10"/>
        <v>102</v>
      </c>
      <c r="B454" s="85" t="str">
        <f ca="1">IFERROR(__xludf.DUMMYFUNCTION("GOOGLETRANSLATE(B3095:B3110,""RU"",""UK"")"),"Фреза дискова набірна М4 №7")</f>
        <v>Фреза дискова набірна М4 №7</v>
      </c>
      <c r="C454" s="59" t="s">
        <v>6</v>
      </c>
      <c r="D454" s="37">
        <v>1</v>
      </c>
      <c r="E454" s="91">
        <v>350</v>
      </c>
    </row>
    <row r="455" spans="1:5">
      <c r="A455" s="21">
        <f t="shared" si="10"/>
        <v>103</v>
      </c>
      <c r="B455" s="85" t="str">
        <f ca="1">IFERROR(__xludf.DUMMYFUNCTION("GOOGLETRANSLATE(B3095:B3110,""RU"",""UK"")"),"Фреза дискова набірна М4,25 №1")</f>
        <v>Фреза дискова набірна М4,25 №1</v>
      </c>
      <c r="C455" s="59" t="s">
        <v>6</v>
      </c>
      <c r="D455" s="37">
        <v>1</v>
      </c>
      <c r="E455" s="91">
        <v>370</v>
      </c>
    </row>
    <row r="456" spans="1:5">
      <c r="A456" s="21">
        <f t="shared" si="10"/>
        <v>104</v>
      </c>
      <c r="B456" s="85" t="str">
        <f ca="1">IFERROR(__xludf.DUMMYFUNCTION("GOOGLETRANSLATE(B3095:B3110,""RU"",""UK"")"),"Фреза дискова набірна М4,25 №3")</f>
        <v>Фреза дискова набірна М4,25 №3</v>
      </c>
      <c r="C456" s="59" t="s">
        <v>6</v>
      </c>
      <c r="D456" s="37">
        <v>2</v>
      </c>
      <c r="E456" s="91">
        <v>370</v>
      </c>
    </row>
    <row r="457" spans="1:5">
      <c r="A457" s="21">
        <f t="shared" si="10"/>
        <v>105</v>
      </c>
      <c r="B457" s="85" t="str">
        <f ca="1">IFERROR(__xludf.DUMMYFUNCTION("GOOGLETRANSLATE(B3095:B3110,""RU"",""UK"")"),"Фреза дискова набірна М4,25 №5")</f>
        <v>Фреза дискова набірна М4,25 №5</v>
      </c>
      <c r="C457" s="59" t="s">
        <v>6</v>
      </c>
      <c r="D457" s="37">
        <v>2</v>
      </c>
      <c r="E457" s="91">
        <v>370</v>
      </c>
    </row>
    <row r="458" spans="1:5">
      <c r="A458" s="21">
        <f t="shared" si="10"/>
        <v>106</v>
      </c>
      <c r="B458" s="85" t="str">
        <f ca="1">IFERROR(__xludf.DUMMYFUNCTION("GOOGLETRANSLATE(B3095:B3110,""RU"",""UK"")"),"Фреза дискова набірна М4,25 №6")</f>
        <v>Фреза дискова набірна М4,25 №6</v>
      </c>
      <c r="C458" s="59" t="s">
        <v>6</v>
      </c>
      <c r="D458" s="37">
        <v>2</v>
      </c>
      <c r="E458" s="91">
        <v>370</v>
      </c>
    </row>
    <row r="459" spans="1:5">
      <c r="A459" s="21">
        <f t="shared" si="10"/>
        <v>107</v>
      </c>
      <c r="B459" s="85" t="str">
        <f ca="1">IFERROR(__xludf.DUMMYFUNCTION("GOOGLETRANSLATE(B3095:B3110,""RU"",""UK"")"),"Фреза дискова набірна М4,25 №7")</f>
        <v>Фреза дискова набірна М4,25 №7</v>
      </c>
      <c r="C459" s="59" t="s">
        <v>6</v>
      </c>
      <c r="D459" s="37">
        <v>2</v>
      </c>
      <c r="E459" s="91">
        <v>370</v>
      </c>
    </row>
    <row r="460" spans="1:5">
      <c r="A460" s="21">
        <f t="shared" si="10"/>
        <v>108</v>
      </c>
      <c r="B460" s="85" t="str">
        <f ca="1">IFERROR(__xludf.DUMMYFUNCTION("GOOGLETRANSLATE(B3095:B3110,""RU"",""UK"")"),"Фреза дискова набірна М4,25 №8")</f>
        <v>Фреза дискова набірна М4,25 №8</v>
      </c>
      <c r="C460" s="59" t="s">
        <v>6</v>
      </c>
      <c r="D460" s="37">
        <v>2</v>
      </c>
      <c r="E460" s="91">
        <v>370</v>
      </c>
    </row>
    <row r="461" spans="1:5">
      <c r="A461" s="21">
        <f t="shared" si="10"/>
        <v>109</v>
      </c>
      <c r="B461" s="85" t="str">
        <f ca="1">IFERROR(__xludf.DUMMYFUNCTION("GOOGLETRANSLATE(B3095:B3110,""RU"",""UK"")"),"Фреза дискова набірна М4,5 №2")</f>
        <v>Фреза дискова набірна М4,5 №2</v>
      </c>
      <c r="C461" s="59" t="s">
        <v>6</v>
      </c>
      <c r="D461" s="37">
        <v>1</v>
      </c>
      <c r="E461" s="91">
        <v>370</v>
      </c>
    </row>
    <row r="462" spans="1:5">
      <c r="A462" s="21">
        <f t="shared" si="10"/>
        <v>110</v>
      </c>
      <c r="B462" s="85" t="str">
        <f ca="1">IFERROR(__xludf.DUMMYFUNCTION("GOOGLETRANSLATE(B3095:B3110,""RU"",""UK"")"),"Фреза дискова набірна М4,5 №3")</f>
        <v>Фреза дискова набірна М4,5 №3</v>
      </c>
      <c r="C462" s="59" t="s">
        <v>6</v>
      </c>
      <c r="D462" s="37">
        <v>1</v>
      </c>
      <c r="E462" s="91">
        <v>370</v>
      </c>
    </row>
    <row r="463" spans="1:5">
      <c r="A463" s="21">
        <f t="shared" si="10"/>
        <v>111</v>
      </c>
      <c r="B463" s="85" t="str">
        <f ca="1">IFERROR(__xludf.DUMMYFUNCTION("GOOGLETRANSLATE(B3095:B3110,""RU"",""UK"")"),"Фреза дискова набірна М4,5 №4")</f>
        <v>Фреза дискова набірна М4,5 №4</v>
      </c>
      <c r="C463" s="59" t="s">
        <v>6</v>
      </c>
      <c r="D463" s="37">
        <v>5</v>
      </c>
      <c r="E463" s="91">
        <v>370</v>
      </c>
    </row>
    <row r="464" spans="1:5">
      <c r="A464" s="21">
        <f t="shared" si="10"/>
        <v>112</v>
      </c>
      <c r="B464" s="85" t="str">
        <f ca="1">IFERROR(__xludf.DUMMYFUNCTION("GOOGLETRANSLATE(B3095:B3110,""RU"",""UK"")"),"Фреза дискова набірна М4,5 №5")</f>
        <v>Фреза дискова набірна М4,5 №5</v>
      </c>
      <c r="C464" s="59" t="s">
        <v>6</v>
      </c>
      <c r="D464" s="37">
        <v>1</v>
      </c>
      <c r="E464" s="91">
        <v>370</v>
      </c>
    </row>
    <row r="465" spans="1:5">
      <c r="A465" s="21">
        <f t="shared" si="10"/>
        <v>113</v>
      </c>
      <c r="B465" s="85" t="str">
        <f ca="1">IFERROR(__xludf.DUMMYFUNCTION("GOOGLETRANSLATE(B3095:B3110,""RU"",""UK"")"),"Фреза дискова набірна М4,5 №6")</f>
        <v>Фреза дискова набірна М4,5 №6</v>
      </c>
      <c r="C465" s="59" t="s">
        <v>6</v>
      </c>
      <c r="D465" s="37">
        <v>6</v>
      </c>
      <c r="E465" s="91">
        <v>370</v>
      </c>
    </row>
    <row r="466" spans="1:5">
      <c r="A466" s="21">
        <f t="shared" si="10"/>
        <v>114</v>
      </c>
      <c r="B466" s="85" t="str">
        <f ca="1">IFERROR(__xludf.DUMMYFUNCTION("GOOGLETRANSLATE(B3095:B3110,""RU"",""UK"")"),"Фреза дискова набірна М4,5 №8")</f>
        <v>Фреза дискова набірна М4,5 №8</v>
      </c>
      <c r="C466" s="59" t="s">
        <v>6</v>
      </c>
      <c r="D466" s="37">
        <v>1</v>
      </c>
      <c r="E466" s="91">
        <v>370</v>
      </c>
    </row>
    <row r="467" spans="1:5">
      <c r="A467" s="21">
        <f t="shared" si="10"/>
        <v>115</v>
      </c>
      <c r="B467" s="85" t="str">
        <f ca="1">IFERROR(__xludf.DUMMYFUNCTION("GOOGLETRANSLATE(B3095:B3110,""RU"",""UK"")"),"Фреза дискова набірна М5 №1")</f>
        <v>Фреза дискова набірна М5 №1</v>
      </c>
      <c r="C467" s="59" t="s">
        <v>6</v>
      </c>
      <c r="D467" s="37">
        <v>4</v>
      </c>
      <c r="E467" s="91">
        <v>400</v>
      </c>
    </row>
    <row r="468" spans="1:5">
      <c r="A468" s="21">
        <f t="shared" si="10"/>
        <v>116</v>
      </c>
      <c r="B468" s="169" t="str">
        <f ca="1">IFERROR(__xludf.DUMMYFUNCTION("GOOGLETRANSLATE(B3095:B3110,""RU"",""UK"")"),"Фреза дискова набірна М5 №2")</f>
        <v>Фреза дискова набірна М5 №2</v>
      </c>
      <c r="C468" s="59" t="s">
        <v>6</v>
      </c>
      <c r="D468" s="37">
        <v>1</v>
      </c>
      <c r="E468" s="91">
        <v>400</v>
      </c>
    </row>
    <row r="469" spans="1:5">
      <c r="A469" s="21">
        <f t="shared" si="10"/>
        <v>117</v>
      </c>
      <c r="B469" s="85" t="str">
        <f ca="1">IFERROR(__xludf.DUMMYFUNCTION("GOOGLETRANSLATE(B3095:B3110,""RU"",""UK"")"),"Фреза дискова набірна М5 №3")</f>
        <v>Фреза дискова набірна М5 №3</v>
      </c>
      <c r="C469" s="59" t="s">
        <v>6</v>
      </c>
      <c r="D469" s="37">
        <v>5</v>
      </c>
      <c r="E469" s="91">
        <v>400</v>
      </c>
    </row>
    <row r="470" spans="1:5">
      <c r="A470" s="21">
        <f t="shared" si="10"/>
        <v>118</v>
      </c>
      <c r="B470" s="85" t="str">
        <f ca="1">IFERROR(__xludf.DUMMYFUNCTION("GOOGLETRANSLATE(B3095:B3110,""RU"",""UK"")"),"Фреза дискова набірна М5 №4")</f>
        <v>Фреза дискова набірна М5 №4</v>
      </c>
      <c r="C470" s="59" t="s">
        <v>6</v>
      </c>
      <c r="D470" s="37">
        <v>4</v>
      </c>
      <c r="E470" s="91">
        <v>400</v>
      </c>
    </row>
    <row r="471" spans="1:5">
      <c r="A471" s="21">
        <f t="shared" si="10"/>
        <v>119</v>
      </c>
      <c r="B471" s="169" t="str">
        <f ca="1">IFERROR(__xludf.DUMMYFUNCTION("GOOGLETRANSLATE(B3095:B3110,""RU"",""UK"")"),"Фреза дискова набірна М5 №6")</f>
        <v>Фреза дискова набірна М5 №6</v>
      </c>
      <c r="C471" s="59" t="s">
        <v>6</v>
      </c>
      <c r="D471" s="37">
        <v>2</v>
      </c>
      <c r="E471" s="91">
        <v>400</v>
      </c>
    </row>
    <row r="472" spans="1:5">
      <c r="A472" s="21">
        <f t="shared" si="10"/>
        <v>120</v>
      </c>
      <c r="B472" s="85" t="str">
        <f ca="1">IFERROR(__xludf.DUMMYFUNCTION("GOOGLETRANSLATE(B3095:B3110,""RU"",""UK"")"),"Фреза дискова набірна М5 №7")</f>
        <v>Фреза дискова набірна М5 №7</v>
      </c>
      <c r="C472" s="59" t="s">
        <v>6</v>
      </c>
      <c r="D472" s="37">
        <v>3</v>
      </c>
      <c r="E472" s="91">
        <v>400</v>
      </c>
    </row>
    <row r="473" spans="1:5">
      <c r="A473" s="21">
        <f t="shared" si="10"/>
        <v>121</v>
      </c>
      <c r="B473" s="85" t="str">
        <f ca="1">IFERROR(__xludf.DUMMYFUNCTION("GOOGLETRANSLATE(B3095:B3110,""RU"",""UK"")"),"Фреза дискова набірна М5,5 №1")</f>
        <v>Фреза дискова набірна М5,5 №1</v>
      </c>
      <c r="C473" s="59" t="s">
        <v>6</v>
      </c>
      <c r="D473" s="37">
        <v>1</v>
      </c>
      <c r="E473" s="91">
        <v>420</v>
      </c>
    </row>
    <row r="474" spans="1:5">
      <c r="A474" s="21">
        <f t="shared" si="10"/>
        <v>122</v>
      </c>
      <c r="B474" s="85" t="str">
        <f ca="1">IFERROR(__xludf.DUMMYFUNCTION("GOOGLETRANSLATE(B3095:B3110,""RU"",""UK"")"),"Фреза дискова набірна М5,5 №2")</f>
        <v>Фреза дискова набірна М5,5 №2</v>
      </c>
      <c r="C474" s="59" t="s">
        <v>6</v>
      </c>
      <c r="D474" s="37">
        <v>1</v>
      </c>
      <c r="E474" s="91">
        <v>420</v>
      </c>
    </row>
    <row r="475" spans="1:5">
      <c r="A475" s="21">
        <f t="shared" si="10"/>
        <v>123</v>
      </c>
      <c r="B475" s="85" t="str">
        <f ca="1">IFERROR(__xludf.DUMMYFUNCTION("GOOGLETRANSLATE(B3095:B3110,""RU"",""UK"")"),"Фреза дискова набірна М5,5 №3")</f>
        <v>Фреза дискова набірна М5,5 №3</v>
      </c>
      <c r="C475" s="59" t="s">
        <v>6</v>
      </c>
      <c r="D475" s="37">
        <v>2</v>
      </c>
      <c r="E475" s="91">
        <v>420</v>
      </c>
    </row>
    <row r="476" spans="1:5">
      <c r="A476" s="21">
        <f t="shared" si="10"/>
        <v>124</v>
      </c>
      <c r="B476" s="85" t="str">
        <f ca="1">IFERROR(__xludf.DUMMYFUNCTION("GOOGLETRANSLATE(B3095:B3110,""RU"",""UK"")"),"Фреза дискова набірна М5,5 №4")</f>
        <v>Фреза дискова набірна М5,5 №4</v>
      </c>
      <c r="C476" s="59" t="s">
        <v>6</v>
      </c>
      <c r="D476" s="37">
        <v>1</v>
      </c>
      <c r="E476" s="91">
        <v>420</v>
      </c>
    </row>
    <row r="477" spans="1:5">
      <c r="A477" s="21">
        <f t="shared" si="10"/>
        <v>125</v>
      </c>
      <c r="B477" s="85" t="str">
        <f ca="1">IFERROR(__xludf.DUMMYFUNCTION("GOOGLETRANSLATE(B3095:B3110,""RU"",""UK"")"),"Фреза дискова набірна М5,5 №6")</f>
        <v>Фреза дискова набірна М5,5 №6</v>
      </c>
      <c r="C477" s="59" t="s">
        <v>6</v>
      </c>
      <c r="D477" s="37">
        <v>1</v>
      </c>
      <c r="E477" s="91">
        <v>420</v>
      </c>
    </row>
    <row r="478" spans="1:5">
      <c r="A478" s="21">
        <f t="shared" si="10"/>
        <v>126</v>
      </c>
      <c r="B478" s="85" t="str">
        <f ca="1">IFERROR(__xludf.DUMMYFUNCTION("GOOGLETRANSLATE(B3095:B3110,""RU"",""UK"")"),"Фреза дискова набірна М5,5 №7")</f>
        <v>Фреза дискова набірна М5,5 №7</v>
      </c>
      <c r="C478" s="59" t="s">
        <v>6</v>
      </c>
      <c r="D478" s="37">
        <v>3</v>
      </c>
      <c r="E478" s="91">
        <v>420</v>
      </c>
    </row>
    <row r="479" spans="1:5">
      <c r="A479" s="21">
        <f t="shared" si="10"/>
        <v>127</v>
      </c>
      <c r="B479" s="85" t="str">
        <f ca="1">IFERROR(__xludf.DUMMYFUNCTION("GOOGLETRANSLATE(B3095:B3110,""RU"",""UK"")"),"Фреза дискова набірна М5,5 №8")</f>
        <v>Фреза дискова набірна М5,5 №8</v>
      </c>
      <c r="C479" s="59" t="s">
        <v>6</v>
      </c>
      <c r="D479" s="37">
        <v>1</v>
      </c>
      <c r="E479" s="91">
        <v>420</v>
      </c>
    </row>
    <row r="480" spans="1:5">
      <c r="A480" s="21">
        <f t="shared" si="10"/>
        <v>128</v>
      </c>
      <c r="B480" s="85" t="str">
        <f ca="1">IFERROR(__xludf.DUMMYFUNCTION("GOOGLETRANSLATE(B3095:B3110,""RU"",""UK"")"),"Фреза дискова набірна М6 №1")</f>
        <v>Фреза дискова набірна М6 №1</v>
      </c>
      <c r="C480" s="59" t="s">
        <v>6</v>
      </c>
      <c r="D480" s="37">
        <v>3</v>
      </c>
      <c r="E480" s="91">
        <v>450</v>
      </c>
    </row>
    <row r="481" spans="1:5">
      <c r="A481" s="21">
        <f t="shared" si="10"/>
        <v>129</v>
      </c>
      <c r="B481" s="85" t="str">
        <f ca="1">IFERROR(__xludf.DUMMYFUNCTION("GOOGLETRANSLATE(B3095:B3110,""RU"",""UK"")"),"Фреза дискова набірна М6 №2")</f>
        <v>Фреза дискова набірна М6 №2</v>
      </c>
      <c r="C481" s="59" t="s">
        <v>6</v>
      </c>
      <c r="D481" s="37">
        <v>1</v>
      </c>
      <c r="E481" s="91">
        <v>450</v>
      </c>
    </row>
    <row r="482" spans="1:5">
      <c r="A482" s="21">
        <f t="shared" si="10"/>
        <v>130</v>
      </c>
      <c r="B482" s="85" t="str">
        <f ca="1">IFERROR(__xludf.DUMMYFUNCTION("GOOGLETRANSLATE(B3095:B3110,""RU"",""UK"")"),"Фреза дискова набірна М6 №4")</f>
        <v>Фреза дискова набірна М6 №4</v>
      </c>
      <c r="C482" s="59" t="s">
        <v>6</v>
      </c>
      <c r="D482" s="37">
        <v>3</v>
      </c>
      <c r="E482" s="91">
        <v>450</v>
      </c>
    </row>
    <row r="483" spans="1:5">
      <c r="A483" s="21">
        <f t="shared" si="10"/>
        <v>131</v>
      </c>
      <c r="B483" s="85" t="str">
        <f ca="1">IFERROR(__xludf.DUMMYFUNCTION("GOOGLETRANSLATE(B3095:B3110,""RU"",""UK"")"),"Фреза дискова набірна М6 №5")</f>
        <v>Фреза дискова набірна М6 №5</v>
      </c>
      <c r="C483" s="59" t="s">
        <v>6</v>
      </c>
      <c r="D483" s="37">
        <v>3</v>
      </c>
      <c r="E483" s="91">
        <v>450</v>
      </c>
    </row>
    <row r="484" spans="1:5">
      <c r="A484" s="21">
        <f t="shared" si="10"/>
        <v>132</v>
      </c>
      <c r="B484" s="85" t="str">
        <f ca="1">IFERROR(__xludf.DUMMYFUNCTION("GOOGLETRANSLATE(B3095:B3110,""RU"",""UK"")"),"Фреза дискова набірна М6 №6")</f>
        <v>Фреза дискова набірна М6 №6</v>
      </c>
      <c r="C484" s="59" t="s">
        <v>6</v>
      </c>
      <c r="D484" s="37">
        <v>4</v>
      </c>
      <c r="E484" s="91">
        <v>450</v>
      </c>
    </row>
    <row r="485" spans="1:5">
      <c r="A485" s="21">
        <f t="shared" si="10"/>
        <v>133</v>
      </c>
      <c r="B485" s="85" t="str">
        <f ca="1">IFERROR(__xludf.DUMMYFUNCTION("GOOGLETRANSLATE(B3095:B3110,""RU"",""UK"")"),"Фреза дискова набірна М6 №7")</f>
        <v>Фреза дискова набірна М6 №7</v>
      </c>
      <c r="C485" s="59" t="s">
        <v>6</v>
      </c>
      <c r="D485" s="37">
        <v>4</v>
      </c>
      <c r="E485" s="91">
        <v>450</v>
      </c>
    </row>
    <row r="486" spans="1:5">
      <c r="A486" s="21">
        <f t="shared" si="10"/>
        <v>134</v>
      </c>
      <c r="B486" s="85" t="str">
        <f ca="1">IFERROR(__xludf.DUMMYFUNCTION("GOOGLETRANSLATE(B3095:B3110,""RU"",""UK"")"),"Фреза дискова набірна М6 №8")</f>
        <v>Фреза дискова набірна М6 №8</v>
      </c>
      <c r="C486" s="59" t="s">
        <v>6</v>
      </c>
      <c r="D486" s="37">
        <v>3</v>
      </c>
      <c r="E486" s="91">
        <v>450</v>
      </c>
    </row>
    <row r="487" spans="1:5">
      <c r="A487" s="21">
        <f t="shared" si="10"/>
        <v>135</v>
      </c>
      <c r="B487" s="85" t="str">
        <f ca="1">IFERROR(__xludf.DUMMYFUNCTION("GOOGLETRANSLATE(B3095:B3110,""RU"",""UK"")"),"Фреза дискова набірна М6,5 №2")</f>
        <v>Фреза дискова набірна М6,5 №2</v>
      </c>
      <c r="C487" s="59" t="s">
        <v>6</v>
      </c>
      <c r="D487" s="37">
        <v>1</v>
      </c>
      <c r="E487" s="91">
        <v>462</v>
      </c>
    </row>
    <row r="488" spans="1:5">
      <c r="A488" s="21">
        <f t="shared" si="10"/>
        <v>136</v>
      </c>
      <c r="B488" s="85" t="str">
        <f ca="1">IFERROR(__xludf.DUMMYFUNCTION("GOOGLETRANSLATE(B3095:B3110,""RU"",""UK"")"),"Фреза дискова набірна М6,5 №3")</f>
        <v>Фреза дискова набірна М6,5 №3</v>
      </c>
      <c r="C488" s="59" t="s">
        <v>6</v>
      </c>
      <c r="D488" s="37">
        <v>1</v>
      </c>
      <c r="E488" s="91">
        <v>462</v>
      </c>
    </row>
    <row r="489" spans="1:5">
      <c r="A489" s="21">
        <f t="shared" si="10"/>
        <v>137</v>
      </c>
      <c r="B489" s="85" t="str">
        <f ca="1">IFERROR(__xludf.DUMMYFUNCTION("GOOGLETRANSLATE(B3095:B3110,""RU"",""UK"")"),"Фреза дискова набірна М6,5 №4")</f>
        <v>Фреза дискова набірна М6,5 №4</v>
      </c>
      <c r="C489" s="59" t="s">
        <v>6</v>
      </c>
      <c r="D489" s="37">
        <v>1</v>
      </c>
      <c r="E489" s="91">
        <v>462</v>
      </c>
    </row>
    <row r="490" spans="1:5">
      <c r="A490" s="21">
        <f t="shared" si="10"/>
        <v>138</v>
      </c>
      <c r="B490" s="85" t="str">
        <f ca="1">IFERROR(__xludf.DUMMYFUNCTION("GOOGLETRANSLATE(B3095:B3110,""RU"",""UK"")"),"Фреза дискова набірна М6,5 №5")</f>
        <v>Фреза дискова набірна М6,5 №5</v>
      </c>
      <c r="C490" s="59" t="s">
        <v>6</v>
      </c>
      <c r="D490" s="37">
        <v>1</v>
      </c>
      <c r="E490" s="91">
        <v>462</v>
      </c>
    </row>
    <row r="491" spans="1:5">
      <c r="A491" s="21">
        <f t="shared" si="10"/>
        <v>139</v>
      </c>
      <c r="B491" s="85" t="str">
        <f ca="1">IFERROR(__xludf.DUMMYFUNCTION("GOOGLETRANSLATE(B3095:B3110,""RU"",""UK"")"),"Фреза дискова набірна М6,5 №7")</f>
        <v>Фреза дискова набірна М6,5 №7</v>
      </c>
      <c r="C491" s="59" t="s">
        <v>6</v>
      </c>
      <c r="D491" s="37">
        <v>1</v>
      </c>
      <c r="E491" s="91">
        <v>462</v>
      </c>
    </row>
    <row r="492" spans="1:5">
      <c r="A492" s="21">
        <f t="shared" si="10"/>
        <v>140</v>
      </c>
      <c r="B492" s="85" t="str">
        <f ca="1">IFERROR(__xludf.DUMMYFUNCTION("GOOGLETRANSLATE(B3095:B3110,""RU"",""UK"")"),"Фреза дискова набірна М6,5 №8")</f>
        <v>Фреза дискова набірна М6,5 №8</v>
      </c>
      <c r="C492" s="59" t="s">
        <v>6</v>
      </c>
      <c r="D492" s="37">
        <v>1</v>
      </c>
      <c r="E492" s="91">
        <v>462</v>
      </c>
    </row>
    <row r="493" spans="1:5">
      <c r="A493" s="21">
        <f t="shared" si="10"/>
        <v>141</v>
      </c>
      <c r="B493" s="85" t="str">
        <f ca="1">IFERROR(__xludf.DUMMYFUNCTION("GOOGLETRANSLATE(B3095:B3110,""RU"",""UK"")"),"Фреза дискова набірна М6,5 №2")</f>
        <v>Фреза дискова набірна М6,5 №2</v>
      </c>
      <c r="C493" s="59" t="s">
        <v>6</v>
      </c>
      <c r="D493" s="37">
        <v>1</v>
      </c>
      <c r="E493" s="91">
        <v>462</v>
      </c>
    </row>
    <row r="494" spans="1:5">
      <c r="A494" s="21">
        <f t="shared" si="10"/>
        <v>142</v>
      </c>
      <c r="B494" s="85" t="str">
        <f ca="1">IFERROR(__xludf.DUMMYFUNCTION("GOOGLETRANSLATE(B3095:B3110,""RU"",""UK"")"),"Фреза дискова набірна М7 №5")</f>
        <v>Фреза дискова набірна М7 №5</v>
      </c>
      <c r="C494" s="59" t="s">
        <v>6</v>
      </c>
      <c r="D494" s="37">
        <v>1</v>
      </c>
      <c r="E494" s="91">
        <v>480</v>
      </c>
    </row>
    <row r="495" spans="1:5">
      <c r="A495" s="21">
        <f t="shared" si="10"/>
        <v>143</v>
      </c>
      <c r="B495" s="85" t="str">
        <f ca="1">IFERROR(__xludf.DUMMYFUNCTION("GOOGLETRANSLATE(B3095:B3110,""RU"",""UK"")"),"Фреза дискова набірна М7 №7")</f>
        <v>Фреза дискова набірна М7 №7</v>
      </c>
      <c r="C495" s="59" t="s">
        <v>6</v>
      </c>
      <c r="D495" s="37">
        <v>2</v>
      </c>
      <c r="E495" s="91">
        <v>480</v>
      </c>
    </row>
    <row r="496" spans="1:5">
      <c r="A496" s="21">
        <f t="shared" si="10"/>
        <v>144</v>
      </c>
      <c r="B496" s="85" t="str">
        <f ca="1">IFERROR(__xludf.DUMMYFUNCTION("GOOGLETRANSLATE(B3095:B3110,""RU"",""UK"")"),"Фреза дискова набірна М7 №8")</f>
        <v>Фреза дискова набірна М7 №8</v>
      </c>
      <c r="C496" s="59" t="s">
        <v>6</v>
      </c>
      <c r="D496" s="37">
        <v>1</v>
      </c>
      <c r="E496" s="91">
        <v>480</v>
      </c>
    </row>
    <row r="497" spans="1:5">
      <c r="A497" s="21">
        <f t="shared" si="10"/>
        <v>145</v>
      </c>
      <c r="B497" s="85" t="str">
        <f ca="1">IFERROR(__xludf.DUMMYFUNCTION("GOOGLETRANSLATE(B3095:B3110,""RU"",""UK"")"),"Фреза дискова набірна М8 №1")</f>
        <v>Фреза дискова набірна М8 №1</v>
      </c>
      <c r="C497" s="59" t="s">
        <v>6</v>
      </c>
      <c r="D497" s="37">
        <v>1</v>
      </c>
      <c r="E497" s="91">
        <v>600</v>
      </c>
    </row>
    <row r="498" spans="1:5">
      <c r="A498" s="21">
        <f t="shared" si="10"/>
        <v>146</v>
      </c>
      <c r="B498" s="85" t="str">
        <f ca="1">IFERROR(__xludf.DUMMYFUNCTION("GOOGLETRANSLATE(B3095:B3110,""RU"",""UK"")"),"Фреза дискова набірна М8 №2")</f>
        <v>Фреза дискова набірна М8 №2</v>
      </c>
      <c r="C498" s="59" t="s">
        <v>6</v>
      </c>
      <c r="D498" s="37">
        <v>1</v>
      </c>
      <c r="E498" s="91">
        <v>600</v>
      </c>
    </row>
    <row r="499" spans="1:5">
      <c r="A499" s="21">
        <f t="shared" si="10"/>
        <v>147</v>
      </c>
      <c r="B499" s="85" t="str">
        <f ca="1">IFERROR(__xludf.DUMMYFUNCTION("GOOGLETRANSLATE(B3095:B3110,""RU"",""UK"")"),"Фреза дискова набірна М8 №3")</f>
        <v>Фреза дискова набірна М8 №3</v>
      </c>
      <c r="C499" s="59" t="s">
        <v>6</v>
      </c>
      <c r="D499" s="37">
        <v>1</v>
      </c>
      <c r="E499" s="91">
        <v>600</v>
      </c>
    </row>
    <row r="500" spans="1:5">
      <c r="A500" s="21">
        <f t="shared" si="10"/>
        <v>148</v>
      </c>
      <c r="B500" s="85" t="str">
        <f ca="1">IFERROR(__xludf.DUMMYFUNCTION("GOOGLETRANSLATE(B3095:B3110,""RU"",""UK"")"),"Фреза дискова набірна М8 №4")</f>
        <v>Фреза дискова набірна М8 №4</v>
      </c>
      <c r="C500" s="59" t="s">
        <v>6</v>
      </c>
      <c r="D500" s="37">
        <v>4</v>
      </c>
      <c r="E500" s="91">
        <v>600</v>
      </c>
    </row>
    <row r="501" spans="1:5">
      <c r="A501" s="21">
        <f t="shared" si="10"/>
        <v>149</v>
      </c>
      <c r="B501" s="85" t="str">
        <f ca="1">IFERROR(__xludf.DUMMYFUNCTION("GOOGLETRANSLATE(B3095:B3110,""RU"",""UK"")"),"Фреза дискова набірна М8 №5")</f>
        <v>Фреза дискова набірна М8 №5</v>
      </c>
      <c r="C501" s="59" t="s">
        <v>6</v>
      </c>
      <c r="D501" s="37">
        <v>1</v>
      </c>
      <c r="E501" s="91">
        <v>600</v>
      </c>
    </row>
    <row r="502" spans="1:5">
      <c r="A502" s="21">
        <f t="shared" si="10"/>
        <v>150</v>
      </c>
      <c r="B502" s="85" t="str">
        <f ca="1">IFERROR(__xludf.DUMMYFUNCTION("GOOGLETRANSLATE(B3095:B3110,""RU"",""UK"")"),"Фреза дискова набірна М8 №6")</f>
        <v>Фреза дискова набірна М8 №6</v>
      </c>
      <c r="C502" s="59" t="s">
        <v>6</v>
      </c>
      <c r="D502" s="37">
        <v>2</v>
      </c>
      <c r="E502" s="91">
        <v>600</v>
      </c>
    </row>
    <row r="503" spans="1:5">
      <c r="A503" s="21">
        <f t="shared" si="10"/>
        <v>151</v>
      </c>
      <c r="B503" s="85" t="str">
        <f ca="1">IFERROR(__xludf.DUMMYFUNCTION("GOOGLETRANSLATE(B3095:B3110,""RU"",""UK"")"),"Фреза дискова набірна М8 №7")</f>
        <v>Фреза дискова набірна М8 №7</v>
      </c>
      <c r="C503" s="59" t="s">
        <v>6</v>
      </c>
      <c r="D503" s="37">
        <v>1</v>
      </c>
      <c r="E503" s="91">
        <v>600</v>
      </c>
    </row>
    <row r="504" spans="1:5">
      <c r="A504" s="21">
        <f t="shared" si="10"/>
        <v>152</v>
      </c>
      <c r="B504" s="85" t="str">
        <f ca="1">IFERROR(__xludf.DUMMYFUNCTION("GOOGLETRANSLATE(B3095:B3110,""RU"",""UK"")"),"Фреза дискова набірна М9 №5 1/2")</f>
        <v>Фреза дискова набірна М9 №5 1/2</v>
      </c>
      <c r="C504" s="59" t="s">
        <v>6</v>
      </c>
      <c r="D504" s="37">
        <v>1</v>
      </c>
      <c r="E504" s="91">
        <v>600</v>
      </c>
    </row>
    <row r="505" spans="1:5">
      <c r="A505" s="21">
        <f t="shared" si="10"/>
        <v>153</v>
      </c>
      <c r="B505" s="85" t="str">
        <f ca="1">IFERROR(__xludf.DUMMYFUNCTION("GOOGLETRANSLATE(B3095:B3110,""RU"",""UK"")"),"Фреза дискова набірна М10 №1 1/2")</f>
        <v>Фреза дискова набірна М10 №1 1/2</v>
      </c>
      <c r="C505" s="59" t="s">
        <v>6</v>
      </c>
      <c r="D505" s="37">
        <v>1</v>
      </c>
      <c r="E505" s="91">
        <v>600</v>
      </c>
    </row>
    <row r="506" spans="1:5">
      <c r="A506" s="21">
        <f t="shared" si="10"/>
        <v>154</v>
      </c>
      <c r="B506" s="85" t="str">
        <f ca="1">IFERROR(__xludf.DUMMYFUNCTION("GOOGLETRANSLATE(B3095:B3110,""RU"",""UK"")"),"Фреза дискова набірна М10 №2 1/2")</f>
        <v>Фреза дискова набірна М10 №2 1/2</v>
      </c>
      <c r="C506" s="59" t="s">
        <v>6</v>
      </c>
      <c r="D506" s="37">
        <v>1</v>
      </c>
      <c r="E506" s="91">
        <v>600</v>
      </c>
    </row>
    <row r="507" spans="1:5">
      <c r="A507" s="21">
        <f t="shared" si="10"/>
        <v>155</v>
      </c>
      <c r="B507" s="85" t="str">
        <f ca="1">IFERROR(__xludf.DUMMYFUNCTION("GOOGLETRANSLATE(B3095:B3110,""RU"",""UK"")"),"Фреза дискова набірна М10 №4 1/2")</f>
        <v>Фреза дискова набірна М10 №4 1/2</v>
      </c>
      <c r="C507" s="59" t="s">
        <v>6</v>
      </c>
      <c r="D507" s="37">
        <v>2</v>
      </c>
      <c r="E507" s="91">
        <v>600</v>
      </c>
    </row>
    <row r="508" spans="1:5">
      <c r="A508" s="21">
        <f t="shared" si="10"/>
        <v>156</v>
      </c>
      <c r="B508" s="85" t="str">
        <f ca="1">IFERROR(__xludf.DUMMYFUNCTION("GOOGLETRANSLATE(B3095:B3110,""RU"",""UK"")"),"Фреза дискова набірна М10 №5 1/2")</f>
        <v>Фреза дискова набірна М10 №5 1/2</v>
      </c>
      <c r="C508" s="59" t="s">
        <v>6</v>
      </c>
      <c r="D508" s="37">
        <v>5</v>
      </c>
      <c r="E508" s="91">
        <v>600</v>
      </c>
    </row>
    <row r="509" spans="1:5">
      <c r="A509" s="21">
        <f t="shared" si="10"/>
        <v>157</v>
      </c>
      <c r="B509" s="85" t="str">
        <f ca="1">IFERROR(__xludf.DUMMYFUNCTION("GOOGLETRANSLATE(B3095:B3110,""RU"",""UK"")"),"Фреза дискова набірна М10 №7 1/2")</f>
        <v>Фреза дискова набірна М10 №7 1/2</v>
      </c>
      <c r="C509" s="59" t="s">
        <v>6</v>
      </c>
      <c r="D509" s="37">
        <v>7</v>
      </c>
      <c r="E509" s="91">
        <v>600</v>
      </c>
    </row>
    <row r="510" spans="1:5">
      <c r="A510" s="21">
        <f t="shared" si="10"/>
        <v>158</v>
      </c>
      <c r="B510" s="85" t="str">
        <f ca="1">IFERROR(__xludf.DUMMYFUNCTION("GOOGLETRANSLATE(B3095:B3110,""RU"",""UK"")"),"Фреза дискова набірна М11 №4 1/2")</f>
        <v>Фреза дискова набірна М11 №4 1/2</v>
      </c>
      <c r="C510" s="59" t="s">
        <v>6</v>
      </c>
      <c r="D510" s="37">
        <v>1</v>
      </c>
      <c r="E510" s="91">
        <v>600</v>
      </c>
    </row>
    <row r="511" spans="1:5">
      <c r="A511" s="21">
        <f t="shared" si="10"/>
        <v>159</v>
      </c>
      <c r="B511" s="85" t="str">
        <f ca="1">IFERROR(__xludf.DUMMYFUNCTION("GOOGLETRANSLATE(B3095:B3110,""RU"",""UK"")"),"Фреза дискова набірна М13 №3 1/2")</f>
        <v>Фреза дискова набірна М13 №3 1/2</v>
      </c>
      <c r="C511" s="59" t="s">
        <v>6</v>
      </c>
      <c r="D511" s="37">
        <v>1</v>
      </c>
      <c r="E511" s="91">
        <v>600</v>
      </c>
    </row>
    <row r="512" spans="1:5">
      <c r="A512" s="21">
        <f t="shared" si="10"/>
        <v>160</v>
      </c>
      <c r="B512" s="85" t="str">
        <f ca="1">IFERROR(__xludf.DUMMYFUNCTION("GOOGLETRANSLATE(B3095:B3110,""RU"",""UK"")"),"Фреза дискова набірна М13 №4 1/2")</f>
        <v>Фреза дискова набірна М13 №4 1/2</v>
      </c>
      <c r="C512" s="59" t="s">
        <v>6</v>
      </c>
      <c r="D512" s="37">
        <v>1</v>
      </c>
      <c r="E512" s="91">
        <v>600</v>
      </c>
    </row>
    <row r="513" spans="1:5">
      <c r="A513" s="21">
        <f t="shared" si="10"/>
        <v>161</v>
      </c>
      <c r="B513" s="85" t="str">
        <f ca="1">IFERROR(__xludf.DUMMYFUNCTION("GOOGLETRANSLATE(B3109:B3124,""RU"",""UK"")"),"Фреза дискова радіусна опукла 40R1,6")</f>
        <v>Фреза дискова радіусна опукла 40R1,6</v>
      </c>
      <c r="C513" s="59" t="s">
        <v>6</v>
      </c>
      <c r="D513" s="59">
        <v>1</v>
      </c>
      <c r="E513" s="91">
        <v>150</v>
      </c>
    </row>
    <row r="514" spans="1:5">
      <c r="A514" s="21">
        <f t="shared" si="10"/>
        <v>162</v>
      </c>
      <c r="B514" s="85" t="str">
        <f ca="1">IFERROR(__xludf.DUMMYFUNCTION("GOOGLETRANSLATE(B3109:B3124,""RU"",""UK"")"),"Фреза дискова радіусна опукла d50х22мм R1,5 Р6М5, Р18")</f>
        <v>Фреза дискова радіусна опукла d50х22мм R1,5 Р6М5, Р18</v>
      </c>
      <c r="C514" s="59" t="s">
        <v>6</v>
      </c>
      <c r="D514" s="59">
        <v>4</v>
      </c>
      <c r="E514" s="91" t="s">
        <v>119</v>
      </c>
    </row>
    <row r="515" spans="1:5">
      <c r="A515" s="21">
        <f t="shared" si="10"/>
        <v>163</v>
      </c>
      <c r="B515" s="85" t="str">
        <f ca="1">IFERROR(__xludf.DUMMYFUNCTION("GOOGLETRANSLATE(B3109:B3124,""RU"",""UK"")"),"Фреза дискова радіусна опукла d50x22мм R1,6 Р6М5")</f>
        <v>Фреза дискова радіусна опукла d50x22мм R1,6 Р6М5</v>
      </c>
      <c r="C515" s="59" t="s">
        <v>6</v>
      </c>
      <c r="D515" s="59">
        <v>9</v>
      </c>
      <c r="E515" s="91" t="s">
        <v>119</v>
      </c>
    </row>
    <row r="516" spans="1:5">
      <c r="A516" s="21">
        <f t="shared" si="10"/>
        <v>164</v>
      </c>
      <c r="B516" s="85" t="str">
        <f ca="1">IFERROR(__xludf.DUMMYFUNCTION("GOOGLETRANSLATE(B3110:B3125,""RU"",""UK"")"),"Фреза дискова радіусна опукла d50х22мм R2,0 Р6М5, Р18")</f>
        <v>Фреза дискова радіусна опукла d50х22мм R2,0 Р6М5, Р18</v>
      </c>
      <c r="C516" s="59" t="s">
        <v>6</v>
      </c>
      <c r="D516" s="59">
        <v>6</v>
      </c>
      <c r="E516" s="91" t="s">
        <v>327</v>
      </c>
    </row>
    <row r="517" spans="1:5">
      <c r="A517" s="21">
        <f t="shared" si="10"/>
        <v>165</v>
      </c>
      <c r="B517" s="85" t="str">
        <f ca="1">IFERROR(__xludf.DUMMYFUNCTION("GOOGLETRANSLATE(B3110:B3125,""RU"",""UK"")"),"Фреза дискова радіусна опукла d50х22мм R2,5 Р6М5")</f>
        <v>Фреза дискова радіусна опукла d50х22мм R2,5 Р6М5</v>
      </c>
      <c r="C517" s="59" t="s">
        <v>6</v>
      </c>
      <c r="D517" s="59">
        <v>2</v>
      </c>
      <c r="E517" s="91" t="s">
        <v>327</v>
      </c>
    </row>
    <row r="518" spans="1:5">
      <c r="A518" s="21">
        <f t="shared" si="10"/>
        <v>166</v>
      </c>
      <c r="B518" s="85" t="str">
        <f ca="1">IFERROR(__xludf.DUMMYFUNCTION("GOOGLETRANSLATE(B3111:B3126,""RU"",""UK"")"),"Фреза дискова радіусна опукла 63х22R2,5")</f>
        <v>Фреза дискова радіусна опукла 63х22R2,5</v>
      </c>
      <c r="C518" s="59" t="s">
        <v>6</v>
      </c>
      <c r="D518" s="59">
        <v>3</v>
      </c>
      <c r="E518" s="91" t="s">
        <v>140</v>
      </c>
    </row>
    <row r="519" spans="1:5">
      <c r="A519" s="21">
        <f t="shared" si="10"/>
        <v>167</v>
      </c>
      <c r="B519" s="85" t="str">
        <f ca="1">IFERROR(__xludf.DUMMYFUNCTION("GOOGLETRANSLATE(B3111:B3126,""RU"",""UK"")"),"Фреза дискова радіусна опукла 63х22R3")</f>
        <v>Фреза дискова радіусна опукла 63х22R3</v>
      </c>
      <c r="C519" s="59" t="s">
        <v>6</v>
      </c>
      <c r="D519" s="59">
        <v>6</v>
      </c>
      <c r="E519" s="91" t="s">
        <v>140</v>
      </c>
    </row>
    <row r="520" spans="1:5">
      <c r="A520" s="21">
        <f t="shared" si="10"/>
        <v>168</v>
      </c>
      <c r="B520" s="85" t="str">
        <f ca="1">IFERROR(__xludf.DUMMYFUNCTION("GOOGLETRANSLATE(B3111:B3126,""RU"",""UK"")"),"Фреза дискова радіусна опукла 63х22R4")</f>
        <v>Фреза дискова радіусна опукла 63х22R4</v>
      </c>
      <c r="C520" s="59" t="s">
        <v>6</v>
      </c>
      <c r="D520" s="59">
        <v>18</v>
      </c>
      <c r="E520" s="91" t="s">
        <v>140</v>
      </c>
    </row>
    <row r="521" spans="1:5">
      <c r="A521" s="21">
        <f t="shared" si="10"/>
        <v>169</v>
      </c>
      <c r="B521" s="85" t="str">
        <f ca="1">IFERROR(__xludf.DUMMYFUNCTION("GOOGLETRANSLATE(B3111:B3126,""RU"",""UK"")"),"Фреза дискова радіусна опукла 65х22R7 Р9")</f>
        <v>Фреза дискова радіусна опукла 65х22R7 Р9</v>
      </c>
      <c r="C521" s="59" t="s">
        <v>6</v>
      </c>
      <c r="D521" s="59">
        <v>1</v>
      </c>
      <c r="E521" s="91" t="s">
        <v>140</v>
      </c>
    </row>
    <row r="522" spans="1:5">
      <c r="A522" s="21">
        <f t="shared" si="10"/>
        <v>170</v>
      </c>
      <c r="B522" s="85" t="str">
        <f ca="1">IFERROR(__xludf.DUMMYFUNCTION("GOOGLETRANSLATE(B3113:B3128,""RU"",""UK"")"),"Фреза дискова радіусна опукла 80R4")</f>
        <v>Фреза дискова радіусна опукла 80R4</v>
      </c>
      <c r="C522" s="59" t="s">
        <v>6</v>
      </c>
      <c r="D522" s="59">
        <v>9</v>
      </c>
      <c r="E522" s="91" t="s">
        <v>24</v>
      </c>
    </row>
    <row r="523" spans="1:5">
      <c r="A523" s="21">
        <f t="shared" si="10"/>
        <v>171</v>
      </c>
      <c r="B523" s="85" t="str">
        <f ca="1">IFERROR(__xludf.DUMMYFUNCTION("GOOGLETRANSLATE(B3113:B3128,""RU"",""UK"")"),"Фреза дискова радіусна опукла 80R5")</f>
        <v>Фреза дискова радіусна опукла 80R5</v>
      </c>
      <c r="C523" s="59" t="s">
        <v>6</v>
      </c>
      <c r="D523" s="59">
        <v>10</v>
      </c>
      <c r="E523" s="91" t="s">
        <v>24</v>
      </c>
    </row>
    <row r="524" spans="1:5">
      <c r="A524" s="21">
        <f t="shared" si="10"/>
        <v>172</v>
      </c>
      <c r="B524" s="85" t="str">
        <f ca="1">IFERROR(__xludf.DUMMYFUNCTION("GOOGLETRANSLATE(B3113:B3128,""RU"",""UK"")"),"Фреза дискова радіусна опукла 80R6")</f>
        <v>Фреза дискова радіусна опукла 80R6</v>
      </c>
      <c r="C524" s="59" t="s">
        <v>6</v>
      </c>
      <c r="D524" s="59">
        <v>1</v>
      </c>
      <c r="E524" s="91" t="s">
        <v>24</v>
      </c>
    </row>
    <row r="525" spans="1:5">
      <c r="A525" s="21">
        <f t="shared" si="10"/>
        <v>173</v>
      </c>
      <c r="B525" s="85" t="str">
        <f ca="1">IFERROR(__xludf.DUMMYFUNCTION("GOOGLETRANSLATE(B3114:B3129,""RU"",""UK"")"),"Фреза дискова радіусна опукла 80R9")</f>
        <v>Фреза дискова радіусна опукла 80R9</v>
      </c>
      <c r="C525" s="59" t="s">
        <v>6</v>
      </c>
      <c r="D525" s="37">
        <v>1</v>
      </c>
      <c r="E525" s="91" t="s">
        <v>106</v>
      </c>
    </row>
    <row r="526" spans="1:5">
      <c r="A526" s="21">
        <f t="shared" si="10"/>
        <v>174</v>
      </c>
      <c r="B526" s="85" t="str">
        <f ca="1">IFERROR(__xludf.DUMMYFUNCTION("GOOGLETRANSLATE(B3115:B3130,""RU"",""UK"")"),"Фреза дискова радіусна опукла 80(вн27) R14,5 Р18")</f>
        <v>Фреза дискова радіусна опукла 80(вн27) R14,5 Р18</v>
      </c>
      <c r="C526" s="59" t="s">
        <v>6</v>
      </c>
      <c r="D526" s="59">
        <v>1</v>
      </c>
      <c r="E526" s="91" t="s">
        <v>16</v>
      </c>
    </row>
    <row r="527" spans="1:5">
      <c r="A527" s="21">
        <f t="shared" si="10"/>
        <v>175</v>
      </c>
      <c r="B527" s="85" t="str">
        <f ca="1">IFERROR(__xludf.DUMMYFUNCTION("GOOGLETRANSLATE(B3115:B3130,""RU"",""UK"")"),"Фреза дискова радіусна опукла 90 R4")</f>
        <v>Фреза дискова радіусна опукла 90 R4</v>
      </c>
      <c r="C527" s="59" t="s">
        <v>6</v>
      </c>
      <c r="D527" s="59">
        <v>1</v>
      </c>
      <c r="E527" s="91" t="s">
        <v>16</v>
      </c>
    </row>
    <row r="528" spans="1:5">
      <c r="A528" s="21">
        <f t="shared" si="10"/>
        <v>176</v>
      </c>
      <c r="B528" s="85" t="str">
        <f ca="1">IFERROR(__xludf.DUMMYFUNCTION("GOOGLETRANSLATE(B3116:B3131,""RU"",""UK"")"),"Фреза радіусна дискова опукла 90 R10")</f>
        <v>Фреза радіусна дискова опукла 90 R10</v>
      </c>
      <c r="C528" s="59" t="s">
        <v>6</v>
      </c>
      <c r="D528" s="59">
        <v>1</v>
      </c>
      <c r="E528" s="91" t="s">
        <v>22</v>
      </c>
    </row>
    <row r="529" spans="1:5">
      <c r="A529" s="21">
        <f t="shared" si="10"/>
        <v>177</v>
      </c>
      <c r="B529" s="85" t="str">
        <f ca="1">IFERROR(__xludf.DUMMYFUNCTION("GOOGLETRANSLATE(B3117:B3132,""RU"",""UK"")"),"Фреза дискова радіусна опукла 100R8")</f>
        <v>Фреза дискова радіусна опукла 100R8</v>
      </c>
      <c r="C529" s="59" t="s">
        <v>6</v>
      </c>
      <c r="D529" s="59">
        <v>2</v>
      </c>
      <c r="E529" s="91" t="s">
        <v>22</v>
      </c>
    </row>
    <row r="530" spans="1:5">
      <c r="A530" s="21">
        <f t="shared" si="10"/>
        <v>178</v>
      </c>
      <c r="B530" s="85" t="str">
        <f ca="1">IFERROR(__xludf.DUMMYFUNCTION("GOOGLETRANSLATE(B3117:B3132,""RU"",""UK"")"),"Фреза дискова радіусна опукла 100R10")</f>
        <v>Фреза дискова радіусна опукла 100R10</v>
      </c>
      <c r="C530" s="59" t="s">
        <v>6</v>
      </c>
      <c r="D530" s="59">
        <v>4</v>
      </c>
      <c r="E530" s="91" t="s">
        <v>22</v>
      </c>
    </row>
    <row r="531" spans="1:5">
      <c r="A531" s="21">
        <f t="shared" si="10"/>
        <v>179</v>
      </c>
      <c r="B531" s="85" t="str">
        <f ca="1">IFERROR(__xludf.DUMMYFUNCTION("GOOGLETRANSLATE(B3118:B3133,""RU"",""UK"")"),"Фреза дискова радіусна опукла 100R12")</f>
        <v>Фреза дискова радіусна опукла 100R12</v>
      </c>
      <c r="C531" s="59" t="s">
        <v>6</v>
      </c>
      <c r="D531" s="59">
        <v>6</v>
      </c>
      <c r="E531" s="91" t="s">
        <v>272</v>
      </c>
    </row>
    <row r="532" spans="1:5">
      <c r="A532" s="21">
        <f t="shared" si="10"/>
        <v>180</v>
      </c>
      <c r="B532" s="85" t="str">
        <f ca="1">IFERROR(__xludf.DUMMYFUNCTION("GOOGLETRANSLATE(B3118:B3133,""RU"",""UK"")"),"Фреза дискова радіусна опукла 110R12")</f>
        <v>Фреза дискова радіусна опукла 110R12</v>
      </c>
      <c r="C532" s="59" t="s">
        <v>6</v>
      </c>
      <c r="D532" s="59">
        <v>1</v>
      </c>
      <c r="E532" s="91">
        <v>480</v>
      </c>
    </row>
    <row r="533" spans="1:5">
      <c r="A533" s="21">
        <f t="shared" si="10"/>
        <v>181</v>
      </c>
      <c r="B533" s="85" t="str">
        <f ca="1">IFERROR(__xludf.DUMMYFUNCTION("GOOGLETRANSLATE(B3120:B3135,""RU"",""UK"")"),"Фреза дискова радіусна опукла 145х60")</f>
        <v>Фреза дискова радіусна опукла 145х60</v>
      </c>
      <c r="C533" s="59" t="s">
        <v>6</v>
      </c>
      <c r="D533" s="59">
        <v>1</v>
      </c>
      <c r="E533" s="91" t="s">
        <v>53</v>
      </c>
    </row>
    <row r="534" spans="1:5">
      <c r="A534" s="21">
        <f t="shared" si="10"/>
        <v>182</v>
      </c>
      <c r="B534" s="85" t="str">
        <f ca="1">IFERROR(__xludf.DUMMYFUNCTION("GOOGLETRANSLATE(B3121:B3136,""RU"",""UK"")"),"Фреза дискова радіусна увігнута 30R1,6")</f>
        <v>Фреза дискова радіусна увігнута 30R1,6</v>
      </c>
      <c r="C534" s="59" t="s">
        <v>6</v>
      </c>
      <c r="D534" s="59">
        <v>1</v>
      </c>
      <c r="E534" s="91" t="s">
        <v>319</v>
      </c>
    </row>
    <row r="535" spans="1:5">
      <c r="A535" s="21">
        <f t="shared" si="10"/>
        <v>183</v>
      </c>
      <c r="B535" s="85" t="str">
        <f ca="1">IFERROR(__xludf.DUMMYFUNCTION("GOOGLETRANSLATE(B3122:B3137,""RU"",""UK"")"),"Фреза дискова радіусна увігнута 40R1,5")</f>
        <v>Фреза дискова радіусна увігнута 40R1,5</v>
      </c>
      <c r="C535" s="59" t="s">
        <v>6</v>
      </c>
      <c r="D535" s="59">
        <v>6</v>
      </c>
      <c r="E535" s="91" t="s">
        <v>119</v>
      </c>
    </row>
    <row r="536" spans="1:5">
      <c r="A536" s="21">
        <f t="shared" si="10"/>
        <v>184</v>
      </c>
      <c r="B536" s="85" t="str">
        <f ca="1">IFERROR(__xludf.DUMMYFUNCTION("GOOGLETRANSLATE(B3122:B3137,""RU"",""UK"")"),"Фреза дискова радіусна увігнута 45R1,5")</f>
        <v>Фреза дискова радіусна увігнута 45R1,5</v>
      </c>
      <c r="C536" s="59" t="s">
        <v>6</v>
      </c>
      <c r="D536" s="59">
        <v>1</v>
      </c>
      <c r="E536" s="91" t="s">
        <v>119</v>
      </c>
    </row>
    <row r="537" spans="1:5">
      <c r="A537" s="21">
        <f t="shared" si="10"/>
        <v>185</v>
      </c>
      <c r="B537" s="85" t="str">
        <f ca="1">IFERROR(__xludf.DUMMYFUNCTION("GOOGLETRANSLATE(B3122:B3137,""RU"",""UK"")"),"Фреза дискова радіусна увігнута 50R1,5")</f>
        <v>Фреза дискова радіусна увігнута 50R1,5</v>
      </c>
      <c r="C537" s="59" t="s">
        <v>6</v>
      </c>
      <c r="D537" s="59">
        <v>12</v>
      </c>
      <c r="E537" s="91" t="s">
        <v>119</v>
      </c>
    </row>
    <row r="538" spans="1:5">
      <c r="A538" s="21">
        <f t="shared" si="10"/>
        <v>186</v>
      </c>
      <c r="B538" s="85" t="str">
        <f ca="1">IFERROR(__xludf.DUMMYFUNCTION("GOOGLETRANSLATE(B3123:B3138,""RU"",""UK"")"),"Фреза дискова радіусна увігнута 50R1,6")</f>
        <v>Фреза дискова радіусна увігнута 50R1,6</v>
      </c>
      <c r="C538" s="59" t="s">
        <v>6</v>
      </c>
      <c r="D538" s="59">
        <v>19</v>
      </c>
      <c r="E538" s="91" t="s">
        <v>327</v>
      </c>
    </row>
    <row r="539" spans="1:5">
      <c r="A539" s="21">
        <f t="shared" si="10"/>
        <v>187</v>
      </c>
      <c r="B539" s="85" t="str">
        <f ca="1">IFERROR(__xludf.DUMMYFUNCTION("GOOGLETRANSLATE(B3123:B3138,""RU"",""UK"")"),"Фреза дискова радіусна увігнута 50R2,0")</f>
        <v>Фреза дискова радіусна увігнута 50R2,0</v>
      </c>
      <c r="C539" s="59" t="s">
        <v>6</v>
      </c>
      <c r="D539" s="59">
        <v>11</v>
      </c>
      <c r="E539" s="91" t="s">
        <v>327</v>
      </c>
    </row>
    <row r="540" spans="1:5">
      <c r="A540" s="21">
        <f t="shared" si="10"/>
        <v>188</v>
      </c>
      <c r="B540" s="85" t="str">
        <f ca="1">IFERROR(__xludf.DUMMYFUNCTION("GOOGLETRANSLATE(B3123:B3138,""RU"",""UK"")"),"Фреза дискова радіусна увігнута 50R2,5")</f>
        <v>Фреза дискова радіусна увігнута 50R2,5</v>
      </c>
      <c r="C540" s="59" t="s">
        <v>6</v>
      </c>
      <c r="D540" s="59">
        <v>4</v>
      </c>
      <c r="E540" s="91" t="s">
        <v>327</v>
      </c>
    </row>
    <row r="541" spans="1:5">
      <c r="A541" s="21">
        <f t="shared" si="10"/>
        <v>189</v>
      </c>
      <c r="B541" s="85" t="str">
        <f ca="1">IFERROR(__xludf.DUMMYFUNCTION("GOOGLETRANSLATE(B3125:B3140,""RU"",""UK"")"),"Фреза дискова радіусна увігнута 63R2,5")</f>
        <v>Фреза дискова радіусна увігнута 63R2,5</v>
      </c>
      <c r="C541" s="59" t="s">
        <v>6</v>
      </c>
      <c r="D541" s="59">
        <v>5</v>
      </c>
      <c r="E541" s="91" t="s">
        <v>140</v>
      </c>
    </row>
    <row r="542" spans="1:5">
      <c r="A542" s="21">
        <f t="shared" si="10"/>
        <v>190</v>
      </c>
      <c r="B542" s="85" t="str">
        <f ca="1">IFERROR(__xludf.DUMMYFUNCTION("GOOGLETRANSLATE(B3125:B3140,""RU"",""UK"")"),"Фреза дискова радіусна увігнута 63R3")</f>
        <v>Фреза дискова радіусна увігнута 63R3</v>
      </c>
      <c r="C542" s="59" t="s">
        <v>6</v>
      </c>
      <c r="D542" s="59">
        <v>5</v>
      </c>
      <c r="E542" s="91" t="s">
        <v>140</v>
      </c>
    </row>
    <row r="543" spans="1:5">
      <c r="A543" s="21">
        <f t="shared" si="10"/>
        <v>191</v>
      </c>
      <c r="B543" s="85" t="str">
        <f ca="1">IFERROR(__xludf.DUMMYFUNCTION("GOOGLETRANSLATE(B3125:B3140,""RU"",""UK"")"),"Фреза дискова радіусна увігнута 63R4")</f>
        <v>Фреза дискова радіусна увігнута 63R4</v>
      </c>
      <c r="C543" s="59" t="s">
        <v>6</v>
      </c>
      <c r="D543" s="59">
        <v>10</v>
      </c>
      <c r="E543" s="91" t="s">
        <v>140</v>
      </c>
    </row>
    <row r="544" spans="1:5">
      <c r="A544" s="21">
        <f t="shared" si="10"/>
        <v>192</v>
      </c>
      <c r="B544" s="85" t="str">
        <f ca="1">IFERROR(__xludf.DUMMYFUNCTION("GOOGLETRANSLATE(B3126:B3141,""RU"",""UK"")"),"Фреза дискова радіусна увігнута 65R6")</f>
        <v>Фреза дискова радіусна увігнута 65R6</v>
      </c>
      <c r="C544" s="59" t="s">
        <v>6</v>
      </c>
      <c r="D544" s="59">
        <v>2</v>
      </c>
      <c r="E544" s="91" t="s">
        <v>140</v>
      </c>
    </row>
    <row r="545" spans="1:5">
      <c r="A545" s="21">
        <f t="shared" si="10"/>
        <v>193</v>
      </c>
      <c r="B545" s="85" t="str">
        <f ca="1">IFERROR(__xludf.DUMMYFUNCTION("GOOGLETRANSLATE(B3127:B3142,""RU"",""UK"")"),"Фреза дискова радіусна увігнута 75R8")</f>
        <v>Фреза дискова радіусна увігнута 75R8</v>
      </c>
      <c r="C545" s="59" t="s">
        <v>6</v>
      </c>
      <c r="D545" s="59">
        <v>3</v>
      </c>
      <c r="E545" s="91" t="s">
        <v>20</v>
      </c>
    </row>
    <row r="546" spans="1:5">
      <c r="A546" s="21">
        <f t="shared" si="10"/>
        <v>194</v>
      </c>
      <c r="B546" s="85" t="str">
        <f ca="1">IFERROR(__xludf.DUMMYFUNCTION("GOOGLETRANSLATE(B3128:B3143,""RU"",""UK"")"),"Фреза дискова радіусна увігнута 80R4")</f>
        <v>Фреза дискова радіусна увігнута 80R4</v>
      </c>
      <c r="C546" s="59" t="s">
        <v>6</v>
      </c>
      <c r="D546" s="160">
        <v>19</v>
      </c>
      <c r="E546" s="91">
        <v>330</v>
      </c>
    </row>
    <row r="547" spans="1:5">
      <c r="A547" s="21">
        <f t="shared" si="10"/>
        <v>195</v>
      </c>
      <c r="B547" s="85" t="str">
        <f ca="1">IFERROR(__xludf.DUMMYFUNCTION("GOOGLETRANSLATE(B3128:B3143,""RU"",""UK"")"),"Фреза дискова радіусна увігнута 80R5")</f>
        <v>Фреза дискова радіусна увігнута 80R5</v>
      </c>
      <c r="C547" s="59" t="s">
        <v>6</v>
      </c>
      <c r="D547" s="160">
        <v>5</v>
      </c>
      <c r="E547" s="91">
        <v>360</v>
      </c>
    </row>
    <row r="548" spans="1:5">
      <c r="A548" s="21">
        <f t="shared" si="10"/>
        <v>196</v>
      </c>
      <c r="B548" s="85" t="str">
        <f ca="1">IFERROR(__xludf.DUMMYFUNCTION("GOOGLETRANSLATE(B3129:B3144,""RU"",""UK"")"),"Фреза дискова радіусна увігнута 80R6")</f>
        <v>Фреза дискова радіусна увігнута 80R6</v>
      </c>
      <c r="C548" s="59" t="s">
        <v>6</v>
      </c>
      <c r="D548" s="59">
        <v>6</v>
      </c>
      <c r="E548" s="91">
        <v>360</v>
      </c>
    </row>
    <row r="549" spans="1:5">
      <c r="A549" s="21">
        <f t="shared" si="10"/>
        <v>197</v>
      </c>
      <c r="B549" s="85" t="str">
        <f ca="1">IFERROR(__xludf.DUMMYFUNCTION("GOOGLETRANSLATE(B3129:B3144,""RU"",""UK"")"),"Фреза дискова радіусна увігнута 80R8")</f>
        <v>Фреза дискова радіусна увігнута 80R8</v>
      </c>
      <c r="C549" s="59" t="s">
        <v>6</v>
      </c>
      <c r="D549" s="59">
        <v>15</v>
      </c>
      <c r="E549" s="91">
        <v>360</v>
      </c>
    </row>
    <row r="550" spans="1:5">
      <c r="A550" s="21">
        <f t="shared" si="10"/>
        <v>198</v>
      </c>
      <c r="B550" s="85" t="str">
        <f ca="1">IFERROR(__xludf.DUMMYFUNCTION("GOOGLETRANSLATE(B3130:B3145,""RU"",""UK"")"),"Фреза дискова радіусна увігнута 85R10")</f>
        <v>Фреза дискова радіусна увігнута 85R10</v>
      </c>
      <c r="C550" s="59" t="s">
        <v>6</v>
      </c>
      <c r="D550" s="59">
        <v>1</v>
      </c>
      <c r="E550" s="91">
        <v>390</v>
      </c>
    </row>
    <row r="551" spans="1:5">
      <c r="A551" s="21">
        <f t="shared" si="10"/>
        <v>199</v>
      </c>
      <c r="B551" s="85" t="str">
        <f ca="1">IFERROR(__xludf.DUMMYFUNCTION("GOOGLETRANSLATE(B3130:B3145,""RU"",""UK"")"),"Фреза дискова радіусна увігнута 90х30R8")</f>
        <v>Фреза дискова радіусна увігнута 90х30R8</v>
      </c>
      <c r="C551" s="59" t="s">
        <v>6</v>
      </c>
      <c r="D551" s="59">
        <v>1</v>
      </c>
      <c r="E551" s="91">
        <v>390</v>
      </c>
    </row>
    <row r="552" spans="1:5">
      <c r="A552" s="21">
        <f t="shared" si="10"/>
        <v>200</v>
      </c>
      <c r="B552" s="85" t="str">
        <f ca="1">IFERROR(__xludf.DUMMYFUNCTION("GOOGLETRANSLATE(B3130:B3145,""RU"",""UK"")"),"Фреза дискова радіусна увігнута 90х27мм R10")</f>
        <v>Фреза дискова радіусна увігнута 90х27мм R10</v>
      </c>
      <c r="C552" s="59" t="s">
        <v>6</v>
      </c>
      <c r="D552" s="59">
        <v>1</v>
      </c>
      <c r="E552" s="91">
        <v>390</v>
      </c>
    </row>
    <row r="553" spans="1:5">
      <c r="A553" s="21">
        <f t="shared" si="10"/>
        <v>201</v>
      </c>
      <c r="B553" s="85" t="str">
        <f ca="1">IFERROR(__xludf.DUMMYFUNCTION("GOOGLETRANSLATE(B3130:B3145,""RU"",""UK"")"),"Фреза дискова радіусна увігнута 96R25,5")</f>
        <v>Фреза дискова радіусна увігнута 96R25,5</v>
      </c>
      <c r="C553" s="59" t="s">
        <v>6</v>
      </c>
      <c r="D553" s="59">
        <v>1</v>
      </c>
      <c r="E553" s="91">
        <v>390</v>
      </c>
    </row>
    <row r="554" spans="1:5">
      <c r="A554" s="21">
        <f t="shared" si="10"/>
        <v>202</v>
      </c>
      <c r="B554" s="85" t="str">
        <f ca="1">IFERROR(__xludf.DUMMYFUNCTION("GOOGLETRANSLATE(B3131:B3146,""RU"",""UK"")"),"Фреза дискова радіусна увігнута 100R8")</f>
        <v>Фреза дискова радіусна увігнута 100R8</v>
      </c>
      <c r="C554" s="59" t="s">
        <v>6</v>
      </c>
      <c r="D554" s="59">
        <v>13</v>
      </c>
      <c r="E554" s="91" t="s">
        <v>272</v>
      </c>
    </row>
    <row r="555" spans="1:5">
      <c r="A555" s="21">
        <f t="shared" si="10"/>
        <v>203</v>
      </c>
      <c r="B555" s="85" t="str">
        <f ca="1">IFERROR(__xludf.DUMMYFUNCTION("GOOGLETRANSLATE(B3131:B3146,""RU"",""UK"")"),"Фреза дискова радіусна увігнута 100R9")</f>
        <v>Фреза дискова радіусна увігнута 100R9</v>
      </c>
      <c r="C555" s="59" t="s">
        <v>6</v>
      </c>
      <c r="D555" s="59">
        <v>1</v>
      </c>
      <c r="E555" s="91" t="s">
        <v>272</v>
      </c>
    </row>
    <row r="556" spans="1:5">
      <c r="A556" s="21">
        <f t="shared" si="10"/>
        <v>204</v>
      </c>
      <c r="B556" s="85" t="str">
        <f ca="1">IFERROR(__xludf.DUMMYFUNCTION("GOOGLETRANSLATE(B3131:B3146,""RU"",""UK"")"),"Фреза дискова радіусна увігнута 100R10")</f>
        <v>Фреза дискова радіусна увігнута 100R10</v>
      </c>
      <c r="C556" s="59" t="s">
        <v>6</v>
      </c>
      <c r="D556" s="59">
        <v>1</v>
      </c>
      <c r="E556" s="91" t="s">
        <v>272</v>
      </c>
    </row>
    <row r="557" spans="1:5">
      <c r="A557" s="21">
        <f t="shared" si="10"/>
        <v>205</v>
      </c>
      <c r="B557" s="85" t="str">
        <f ca="1">IFERROR(__xludf.DUMMYFUNCTION("GOOGLETRANSLATE(B3131:B3146,""RU"",""UK"")"),"Фреза дискова радіусна увігнута 100R12")</f>
        <v>Фреза дискова радіусна увігнута 100R12</v>
      </c>
      <c r="C557" s="59" t="s">
        <v>6</v>
      </c>
      <c r="D557" s="59">
        <v>3</v>
      </c>
      <c r="E557" s="91" t="s">
        <v>272</v>
      </c>
    </row>
    <row r="558" spans="1:5">
      <c r="A558" s="21">
        <f t="shared" si="10"/>
        <v>206</v>
      </c>
      <c r="B558" s="200" t="str">
        <f ca="1">IFERROR(__xludf.DUMMYFUNCTION("GOOGLETRANSLATE(B3133:B3148,""RU"",""UK"")"),"Фреза дискова радіусна увігнута 125R12")</f>
        <v>Фреза дискова радіусна увігнута 125R12</v>
      </c>
      <c r="C558" s="59" t="s">
        <v>6</v>
      </c>
      <c r="D558" s="59">
        <v>0</v>
      </c>
      <c r="E558" s="91" t="s">
        <v>53</v>
      </c>
    </row>
    <row r="559" spans="1:5">
      <c r="A559" s="21">
        <f t="shared" si="10"/>
        <v>207</v>
      </c>
      <c r="B559" s="200" t="str">
        <f ca="1">IFERROR(__xludf.DUMMYFUNCTION("GOOGLETRANSLATE(B3133:B3148,""RU"",""UK"")"),"Фреза дискова радіусна увігнута 125R12,5")</f>
        <v>Фреза дискова радіусна увігнута 125R12,5</v>
      </c>
      <c r="C559" s="59" t="s">
        <v>6</v>
      </c>
      <c r="D559" s="59">
        <v>0</v>
      </c>
      <c r="E559" s="91" t="s">
        <v>53</v>
      </c>
    </row>
    <row r="560" spans="1:5">
      <c r="A560" s="21">
        <f t="shared" si="10"/>
        <v>208</v>
      </c>
      <c r="B560" s="200" t="str">
        <f ca="1">IFERROR(__xludf.DUMMYFUNCTION("GOOGLETRANSLATE(B3134:B3149,""RU"",""UK"")"),"Фреза дискова радіусна увігнута 125R14")</f>
        <v>Фреза дискова радіусна увігнута 125R14</v>
      </c>
      <c r="C560" s="59" t="s">
        <v>6</v>
      </c>
      <c r="D560" s="59">
        <v>0</v>
      </c>
      <c r="E560" s="91" t="s">
        <v>36</v>
      </c>
    </row>
    <row r="561" spans="1:5">
      <c r="A561" s="21">
        <f t="shared" si="10"/>
        <v>209</v>
      </c>
      <c r="B561" s="200" t="str">
        <f ca="1">IFERROR(__xludf.DUMMYFUNCTION("GOOGLETRANSLATE(B3134:B3149,""RU"",""UK"")"),"Фреза дискова радіусна увігнута 125R16")</f>
        <v>Фреза дискова радіусна увігнута 125R16</v>
      </c>
      <c r="C561" s="59" t="s">
        <v>6</v>
      </c>
      <c r="D561" s="59">
        <v>0</v>
      </c>
      <c r="E561" s="91" t="s">
        <v>36</v>
      </c>
    </row>
    <row r="562" spans="1:5">
      <c r="A562" s="21">
        <f t="shared" si="10"/>
        <v>210</v>
      </c>
      <c r="B562" s="85" t="str">
        <f ca="1">IFERROR(__xludf.DUMMYFUNCTION("GOOGLETRANSLATE(B3135:B3150,""RU"",""UK"")"),"Фреза дискова однокутна 40х6х50*")</f>
        <v>Фреза дискова однокутна 40х6х50*</v>
      </c>
      <c r="C562" s="59" t="s">
        <v>6</v>
      </c>
      <c r="D562" s="160">
        <v>12</v>
      </c>
      <c r="E562" s="91" t="s">
        <v>119</v>
      </c>
    </row>
    <row r="563" spans="1:5">
      <c r="A563" s="21">
        <f t="shared" si="10"/>
        <v>211</v>
      </c>
      <c r="B563" s="85" t="str">
        <f ca="1">IFERROR(__xludf.DUMMYFUNCTION("GOOGLETRANSLATE(B3135:B3150,""RU"",""UK"")"),"Фреза дискова однокутна 40х8х50*")</f>
        <v>Фреза дискова однокутна 40х8х50*</v>
      </c>
      <c r="C563" s="59" t="s">
        <v>6</v>
      </c>
      <c r="D563" s="160">
        <v>2</v>
      </c>
      <c r="E563" s="91" t="s">
        <v>119</v>
      </c>
    </row>
    <row r="564" spans="1:5">
      <c r="A564" s="21">
        <f t="shared" si="10"/>
        <v>212</v>
      </c>
      <c r="B564" s="85" t="str">
        <f ca="1">IFERROR(__xludf.DUMMYFUNCTION("GOOGLETRANSLATE(B3135:B3150,""RU"",""UK"")"),"Фреза дискова однокутна 40х12х90*")</f>
        <v>Фреза дискова однокутна 40х12х90*</v>
      </c>
      <c r="C564" s="59" t="s">
        <v>6</v>
      </c>
      <c r="D564" s="160">
        <v>1</v>
      </c>
      <c r="E564" s="91" t="s">
        <v>119</v>
      </c>
    </row>
    <row r="565" spans="1:5">
      <c r="A565" s="21">
        <f t="shared" si="10"/>
        <v>213</v>
      </c>
      <c r="B565" s="85" t="str">
        <f ca="1">IFERROR(__xludf.DUMMYFUNCTION("GOOGLETRANSLATE(B3136:B3151,""RU"",""UK"")"),"Фреза дискова однокутна 45х13х75*")</f>
        <v>Фреза дискова однокутна 45х13х75*</v>
      </c>
      <c r="C565" s="59" t="s">
        <v>6</v>
      </c>
      <c r="D565" s="59">
        <v>1</v>
      </c>
      <c r="E565" s="91" t="s">
        <v>196</v>
      </c>
    </row>
    <row r="566" spans="1:5">
      <c r="A566" s="21">
        <f t="shared" si="10"/>
        <v>214</v>
      </c>
      <c r="B566" s="85" t="str">
        <f ca="1">IFERROR(__xludf.DUMMYFUNCTION("GOOGLETRANSLATE(B3136:B3151,""RU"",""UK"")"),"Фреза дискова однокутна 45х13х80*")</f>
        <v>Фреза дискова однокутна 45х13х80*</v>
      </c>
      <c r="C566" s="59" t="s">
        <v>6</v>
      </c>
      <c r="D566" s="59">
        <v>2</v>
      </c>
      <c r="E566" s="91" t="s">
        <v>196</v>
      </c>
    </row>
    <row r="567" spans="1:5">
      <c r="A567" s="21">
        <f t="shared" si="10"/>
        <v>215</v>
      </c>
      <c r="B567" s="85" t="str">
        <f ca="1">IFERROR(__xludf.DUMMYFUNCTION("GOOGLETRANSLATE(B3136:B3151,""RU"",""UK"")"),"Фреза дискова однокутна 45х13х85*")</f>
        <v>Фреза дискова однокутна 45х13х85*</v>
      </c>
      <c r="C567" s="59" t="s">
        <v>6</v>
      </c>
      <c r="D567" s="59">
        <v>1</v>
      </c>
      <c r="E567" s="91" t="s">
        <v>196</v>
      </c>
    </row>
    <row r="568" spans="1:5">
      <c r="A568" s="21">
        <f t="shared" si="10"/>
        <v>216</v>
      </c>
      <c r="B568" s="85" t="str">
        <f ca="1">IFERROR(__xludf.DUMMYFUNCTION("GOOGLETRANSLATE(B3137:B3152,""RU"",""UK"")"),"Фреза дискова однокутна 45х18х85*")</f>
        <v>Фреза дискова однокутна 45х18х85*</v>
      </c>
      <c r="C568" s="59" t="s">
        <v>6</v>
      </c>
      <c r="D568" s="59">
        <v>1</v>
      </c>
      <c r="E568" s="91" t="s">
        <v>220</v>
      </c>
    </row>
    <row r="569" spans="1:5">
      <c r="A569" s="21">
        <f t="shared" si="10"/>
        <v>217</v>
      </c>
      <c r="B569" s="85" t="str">
        <f ca="1">IFERROR(__xludf.DUMMYFUNCTION("GOOGLETRANSLATE(B3137:B3152,""RU"",""UK"")"),"Фреза дискова однокутна 50х10х50*")</f>
        <v>Фреза дискова однокутна 50х10х50*</v>
      </c>
      <c r="C569" s="59" t="s">
        <v>6</v>
      </c>
      <c r="D569" s="59">
        <v>1</v>
      </c>
      <c r="E569" s="91" t="s">
        <v>220</v>
      </c>
    </row>
    <row r="570" spans="1:5">
      <c r="A570" s="21">
        <f t="shared" si="10"/>
        <v>218</v>
      </c>
      <c r="B570" s="85" t="str">
        <f ca="1">IFERROR(__xludf.DUMMYFUNCTION("GOOGLETRANSLATE(B3137:B3152,""RU"",""UK"")"),"Фреза дискова однокутна 50х12х60*")</f>
        <v>Фреза дискова однокутна 50х12х60*</v>
      </c>
      <c r="C570" s="59" t="s">
        <v>6</v>
      </c>
      <c r="D570" s="59">
        <v>1</v>
      </c>
      <c r="E570" s="91" t="s">
        <v>220</v>
      </c>
    </row>
    <row r="571" spans="1:5">
      <c r="A571" s="21">
        <f t="shared" si="10"/>
        <v>219</v>
      </c>
      <c r="B571" s="85" t="str">
        <f ca="1">IFERROR(__xludf.DUMMYFUNCTION("GOOGLETRANSLATE(B3138:B3153,""RU"",""UK"")"),"Фреза дискова однокутна 50х16х75*")</f>
        <v>Фреза дискова однокутна 50х16х75*</v>
      </c>
      <c r="C571" s="59" t="s">
        <v>6</v>
      </c>
      <c r="D571" s="160">
        <v>1</v>
      </c>
      <c r="E571" s="91" t="s">
        <v>276</v>
      </c>
    </row>
    <row r="572" spans="1:5">
      <c r="A572" s="21">
        <f t="shared" si="10"/>
        <v>220</v>
      </c>
      <c r="B572" s="85" t="str">
        <f ca="1">IFERROR(__xludf.DUMMYFUNCTION("GOOGLETRANSLATE(B3139:B3154,""RU"",""UK"")"),"Фреза дискова однокутна 60х11х55* / 60х20х80*/ 60х20х85*")</f>
        <v>Фреза дискова однокутна 60х11х55* / 60х20х80*/ 60х20х85*</v>
      </c>
      <c r="C572" s="59" t="s">
        <v>6</v>
      </c>
      <c r="D572" s="165">
        <v>36952</v>
      </c>
      <c r="E572" s="91" t="s">
        <v>327</v>
      </c>
    </row>
    <row r="573" spans="1:5">
      <c r="A573" s="21">
        <f t="shared" si="10"/>
        <v>221</v>
      </c>
      <c r="B573" s="85" t="str">
        <f ca="1">IFERROR(__xludf.DUMMYFUNCTION("GOOGLETRANSLATE(B3140:B3155,""RU"",""UK"")"),"Фреза однокутна дискова 60х20х90* / 60х25х70*")</f>
        <v>Фреза однокутна дискова 60х20х90* / 60х25х70*</v>
      </c>
      <c r="C573" s="59" t="s">
        <v>6</v>
      </c>
      <c r="D573" s="59" t="s">
        <v>2361</v>
      </c>
      <c r="E573" s="91" t="s">
        <v>327</v>
      </c>
    </row>
    <row r="574" spans="1:5">
      <c r="A574" s="21">
        <f t="shared" si="10"/>
        <v>222</v>
      </c>
      <c r="B574" s="85" t="str">
        <f ca="1">IFERROR(__xludf.DUMMYFUNCTION("GOOGLETRANSLATE(B3141:B3156,""RU"",""UK"")"),"Фреза однокутна дискова 63х12х60*")</f>
        <v>Фреза однокутна дискова 63х12х60*</v>
      </c>
      <c r="C574" s="59" t="s">
        <v>6</v>
      </c>
      <c r="D574" s="59">
        <v>1</v>
      </c>
      <c r="E574" s="91" t="s">
        <v>3018</v>
      </c>
    </row>
    <row r="575" spans="1:5">
      <c r="A575" s="21">
        <f t="shared" si="10"/>
        <v>223</v>
      </c>
      <c r="B575" s="85" t="str">
        <f ca="1">IFERROR(__xludf.DUMMYFUNCTION("GOOGLETRANSLATE(B3141:B3156,""RU"",""UK"")"),"Фреза однокутна дискова 63х13х65*")</f>
        <v>Фреза однокутна дискова 63х13х65*</v>
      </c>
      <c r="C575" s="59" t="s">
        <v>6</v>
      </c>
      <c r="D575" s="59">
        <v>1</v>
      </c>
      <c r="E575" s="91" t="s">
        <v>3018</v>
      </c>
    </row>
    <row r="576" spans="1:5">
      <c r="A576" s="21">
        <f t="shared" si="10"/>
        <v>224</v>
      </c>
      <c r="B576" s="85" t="str">
        <f ca="1">IFERROR(__xludf.DUMMYFUNCTION("GOOGLETRANSLATE(B3142:B3157,""RU"",""UK"")"),"Фреза однокутна дискова 63х20х75* / 63х20х80*")</f>
        <v>Фреза однокутна дискова 63х20х75* / 63х20х80*</v>
      </c>
      <c r="C576" s="59" t="s">
        <v>6</v>
      </c>
      <c r="D576" s="59" t="s">
        <v>1631</v>
      </c>
      <c r="E576" s="91" t="s">
        <v>140</v>
      </c>
    </row>
    <row r="577" spans="1:5">
      <c r="A577" s="21">
        <f t="shared" si="10"/>
        <v>225</v>
      </c>
      <c r="B577" s="85" t="str">
        <f ca="1">IFERROR(__xludf.DUMMYFUNCTION("GOOGLETRANSLATE(B3143:B3158,""RU"",""UK"")"),"Фреза однокутна дискова 63х20х85*")</f>
        <v>Фреза однокутна дискова 63х20х85*</v>
      </c>
      <c r="C577" s="59" t="s">
        <v>6</v>
      </c>
      <c r="D577" s="59">
        <v>1</v>
      </c>
      <c r="E577" s="91" t="s">
        <v>140</v>
      </c>
    </row>
    <row r="578" spans="1:5">
      <c r="A578" s="21">
        <f t="shared" si="10"/>
        <v>226</v>
      </c>
      <c r="B578" s="85" t="str">
        <f ca="1">IFERROR(__xludf.DUMMYFUNCTION("GOOGLETRANSLATE(B3144:B3159,""RU"",""UK"")"),"Фреза дискова двокутова 26х55*/40х6х65*")</f>
        <v>Фреза дискова двокутова 26х55*/40х6х65*</v>
      </c>
      <c r="C578" s="59" t="s">
        <v>6</v>
      </c>
      <c r="D578" s="59" t="s">
        <v>737</v>
      </c>
      <c r="E578" s="91" t="s">
        <v>136</v>
      </c>
    </row>
    <row r="579" spans="1:5">
      <c r="A579" s="21">
        <f t="shared" si="10"/>
        <v>227</v>
      </c>
      <c r="B579" s="85" t="str">
        <f ca="1">IFERROR(__xludf.DUMMYFUNCTION("GOOGLETRANSLATE(B3145:B3160,""RU"",""UK"")"),"Фреза дискова двокутова 60х16х85*х15*/60х16х90*х20*")</f>
        <v>Фреза дискова двокутова 60х16х85*х15*/60х16х90*х20*</v>
      </c>
      <c r="C579" s="59" t="s">
        <v>6</v>
      </c>
      <c r="D579" s="59" t="s">
        <v>749</v>
      </c>
      <c r="E579" s="91" t="s">
        <v>3018</v>
      </c>
    </row>
    <row r="580" spans="1:5">
      <c r="A580" s="21">
        <f t="shared" si="10"/>
        <v>228</v>
      </c>
      <c r="B580" s="85" t="str">
        <f ca="1">IFERROR(__xludf.DUMMYFUNCTION("GOOGLETRANSLATE(B3146:B3161,""RU"",""UK"")"),"Фреза дискова двокутова 60х10х60*х15*/60х13х75*х15*")</f>
        <v>Фреза дискова двокутова 60х10х60*х15*/60х13х75*х15*</v>
      </c>
      <c r="C580" s="59" t="s">
        <v>6</v>
      </c>
      <c r="D580" s="59" t="s">
        <v>749</v>
      </c>
      <c r="E580" s="91" t="s">
        <v>140</v>
      </c>
    </row>
    <row r="581" spans="1:5">
      <c r="A581" s="21">
        <f t="shared" si="10"/>
        <v>229</v>
      </c>
      <c r="B581" s="85" t="str">
        <f ca="1">IFERROR(__xludf.DUMMYFUNCTION("GOOGLETRANSLATE(B3147:B3162,""RU"",""UK"")"),"Фреза дискова двокутова 63х10х55*  Р6М5")</f>
        <v>Фреза дискова двокутова 63х10х55*  Р6М5</v>
      </c>
      <c r="C581" s="59" t="s">
        <v>6</v>
      </c>
      <c r="D581" s="160">
        <v>2</v>
      </c>
      <c r="E581" s="91" t="s">
        <v>140</v>
      </c>
    </row>
    <row r="582" spans="1:5">
      <c r="A582" s="21">
        <f t="shared" si="10"/>
        <v>230</v>
      </c>
      <c r="B582" s="85" t="str">
        <f ca="1">IFERROR(__xludf.DUMMYFUNCTION("GOOGLETRANSLATE(B3147:B3162,""RU"",""UK"")"),"Фреза дискова двокутова  d63х10х65* Р6М5")</f>
        <v>Фреза дискова двокутова  d63х10х65* Р6М5</v>
      </c>
      <c r="C582" s="59" t="s">
        <v>6</v>
      </c>
      <c r="D582" s="160">
        <v>1</v>
      </c>
      <c r="E582" s="91" t="s">
        <v>140</v>
      </c>
    </row>
    <row r="583" spans="1:5">
      <c r="A583" s="21">
        <f t="shared" si="10"/>
        <v>231</v>
      </c>
      <c r="B583" s="85" t="str">
        <f ca="1">IFERROR(__xludf.DUMMYFUNCTION("GOOGLETRANSLATE(B3148:B3163,""RU"",""UK"")"),"Фреза дискова двокутова 63х16х85*х15*/63х16х80*/63х12х75*")</f>
        <v>Фреза дискова двокутова 63х16х85*х15*/63х16х80*/63х12х75*</v>
      </c>
      <c r="C583" s="59" t="s">
        <v>6</v>
      </c>
      <c r="D583" s="59" t="s">
        <v>4182</v>
      </c>
      <c r="E583" s="91" t="s">
        <v>140</v>
      </c>
    </row>
    <row r="584" spans="1:5">
      <c r="A584" s="21"/>
      <c r="B584" s="164" t="str">
        <f ca="1">IFERROR(__xludf.DUMMYFUNCTION("GOOGLETRANSLATE(B3149:B3164,""RU"",""UK"")"),"Фреза дискова двокутова 75х20х60*")</f>
        <v>Фреза дискова двокутова 75х20х60*</v>
      </c>
      <c r="C584" s="59" t="s">
        <v>6</v>
      </c>
      <c r="D584" s="59">
        <v>1</v>
      </c>
      <c r="E584" s="91" t="s">
        <v>20</v>
      </c>
    </row>
    <row r="585" spans="1:5">
      <c r="A585" s="21">
        <f>A583+1</f>
        <v>232</v>
      </c>
      <c r="B585" s="164" t="str">
        <f ca="1">IFERROR(__xludf.DUMMYFUNCTION("GOOGLETRANSLATE(B3149:B3164,""RU"",""UK"")"),"Фреза дискова двокутова 75х20х70*")</f>
        <v>Фреза дискова двокутова 75х20х70*</v>
      </c>
      <c r="C585" s="59" t="s">
        <v>6</v>
      </c>
      <c r="D585" s="59">
        <v>1</v>
      </c>
      <c r="E585" s="91" t="s">
        <v>20</v>
      </c>
    </row>
    <row r="586" spans="1:5">
      <c r="A586" s="21">
        <f t="shared" si="10"/>
        <v>233</v>
      </c>
      <c r="B586" s="85" t="str">
        <f ca="1">IFERROR(__xludf.DUMMYFUNCTION("GOOGLETRANSLATE(B3150:B3165,""RU"",""UK"")"),"Фреза дискова двокутова 80х22х16х60*х15*")</f>
        <v>Фреза дискова двокутова 80х22х16х60*х15*</v>
      </c>
      <c r="C586" s="59" t="s">
        <v>6</v>
      </c>
      <c r="D586" s="59">
        <v>1</v>
      </c>
      <c r="E586" s="91" t="s">
        <v>24</v>
      </c>
    </row>
    <row r="587" spans="1:5">
      <c r="A587" s="21">
        <f t="shared" si="10"/>
        <v>234</v>
      </c>
      <c r="B587" s="85" t="str">
        <f ca="1">IFERROR(__xludf.DUMMYFUNCTION("GOOGLETRANSLATE(B3150:B3165,""RU"",""UK"")"),"Фреза дискова двокутова 80х16х75*(60*+15*)")</f>
        <v>Фреза дискова двокутова 80х16х75*(60*+15*)</v>
      </c>
      <c r="C587" s="59" t="s">
        <v>6</v>
      </c>
      <c r="D587" s="59">
        <v>1</v>
      </c>
      <c r="E587" s="91" t="s">
        <v>24</v>
      </c>
    </row>
    <row r="588" spans="1:5">
      <c r="A588" s="21">
        <f t="shared" si="10"/>
        <v>235</v>
      </c>
      <c r="B588" s="85" t="str">
        <f ca="1">IFERROR(__xludf.DUMMYFUNCTION("GOOGLETRANSLATE(B3150:B3165,""RU"",""UK"")"),"Фреза дискова двокутова 80х20х65*")</f>
        <v>Фреза дискова двокутова 80х20х65*</v>
      </c>
      <c r="C588" s="59" t="s">
        <v>6</v>
      </c>
      <c r="D588" s="59">
        <v>2</v>
      </c>
      <c r="E588" s="91" t="s">
        <v>24</v>
      </c>
    </row>
    <row r="589" spans="1:5">
      <c r="A589" s="21">
        <f t="shared" si="10"/>
        <v>236</v>
      </c>
      <c r="B589" s="85" t="str">
        <f ca="1">IFERROR(__xludf.DUMMYFUNCTION("GOOGLETRANSLATE(B3151:B3166,""RU"",""UK"")"),"Фреза дискова двокутова 80х20х85*/80х25х70*/90х30х75*х15*")</f>
        <v>Фреза дискова двокутова 80х20х85*/80х25х70*/90х30х75*х15*</v>
      </c>
      <c r="C589" s="59" t="s">
        <v>6</v>
      </c>
      <c r="D589" s="59" t="s">
        <v>3184</v>
      </c>
      <c r="E589" s="91" t="s">
        <v>162</v>
      </c>
    </row>
    <row r="590" spans="1:5">
      <c r="A590" s="21">
        <f t="shared" si="10"/>
        <v>237</v>
      </c>
      <c r="B590" s="169" t="str">
        <f ca="1">IFERROR(__xludf.DUMMYFUNCTION("GOOGLETRANSLATE(B3149:B3164,""RU"",""UK"")"),"Фреза дискова двокутова d90х65х60*х60* толщина 45мм Р6м5")</f>
        <v>Фреза дискова двокутова d90х65х60*х60* толщина 45мм Р6м5</v>
      </c>
      <c r="C590" s="59" t="s">
        <v>6</v>
      </c>
      <c r="D590" s="59">
        <v>1</v>
      </c>
      <c r="E590" s="91">
        <v>450</v>
      </c>
    </row>
    <row r="591" spans="1:5">
      <c r="A591" s="21">
        <f t="shared" si="10"/>
        <v>238</v>
      </c>
      <c r="B591" s="169" t="str">
        <f ca="1">IFERROR(__xludf.DUMMYFUNCTION("GOOGLETRANSLATE(B3149:B3164,""RU"",""UK"")"),"Фреза дискова двокутова d96х60х60*")</f>
        <v>Фреза дискова двокутова d96х60х60*</v>
      </c>
      <c r="C591" s="59" t="s">
        <v>6</v>
      </c>
      <c r="D591" s="59">
        <v>1</v>
      </c>
      <c r="E591" s="91">
        <v>360</v>
      </c>
    </row>
    <row r="592" spans="1:5">
      <c r="A592" s="21">
        <f t="shared" si="10"/>
        <v>239</v>
      </c>
      <c r="B592" s="85" t="str">
        <f ca="1">IFERROR(__xludf.DUMMYFUNCTION("GOOGLETRANSLATE(B3152:B3167,""RU"",""UK"")"),"Фреза дискова 20х50 ц/хв")</f>
        <v>Фреза дискова 20х50 ц/хв</v>
      </c>
      <c r="C592" s="59" t="s">
        <v>6</v>
      </c>
      <c r="D592" s="59">
        <v>1</v>
      </c>
      <c r="E592" s="91" t="s">
        <v>319</v>
      </c>
    </row>
    <row r="593" spans="1:5">
      <c r="A593" s="21">
        <f t="shared" si="10"/>
        <v>240</v>
      </c>
      <c r="B593" s="198" t="s">
        <v>6215</v>
      </c>
      <c r="C593" s="59" t="s">
        <v>6</v>
      </c>
      <c r="D593" s="59">
        <v>1</v>
      </c>
      <c r="E593" s="91">
        <v>195</v>
      </c>
    </row>
    <row r="594" spans="1:5">
      <c r="A594" s="21">
        <f t="shared" si="10"/>
        <v>241</v>
      </c>
      <c r="B594" s="198" t="s">
        <v>6216</v>
      </c>
      <c r="C594" s="59" t="s">
        <v>6</v>
      </c>
      <c r="D594" s="59">
        <v>3</v>
      </c>
      <c r="E594" s="91">
        <v>225</v>
      </c>
    </row>
    <row r="595" spans="1:5">
      <c r="A595" s="21">
        <f t="shared" si="10"/>
        <v>242</v>
      </c>
      <c r="B595" s="85" t="str">
        <f ca="1">IFERROR(__xludf.DUMMYFUNCTION("GOOGLETRANSLATE(B3153:B3168,""RU"",""UK"")"),"Фреза дискова циліндрична d40х30мм")</f>
        <v>Фреза дискова циліндрична d40х30мм</v>
      </c>
      <c r="C595" s="59" t="s">
        <v>6</v>
      </c>
      <c r="D595" s="59">
        <v>1</v>
      </c>
      <c r="E595" s="91">
        <v>225</v>
      </c>
    </row>
    <row r="596" spans="1:5">
      <c r="A596" s="21">
        <f t="shared" si="10"/>
        <v>243</v>
      </c>
      <c r="B596" s="85" t="str">
        <f ca="1">IFERROR(__xludf.DUMMYFUNCTION("GOOGLETRANSLATE(B3153:B3168,""RU"",""UK"")"),"Фреза дискова циліндрична d40х40мм")</f>
        <v>Фреза дискова циліндрична d40х40мм</v>
      </c>
      <c r="C596" s="59" t="s">
        <v>6</v>
      </c>
      <c r="D596" s="59">
        <v>4</v>
      </c>
      <c r="E596" s="91" t="s">
        <v>140</v>
      </c>
    </row>
    <row r="597" spans="1:5">
      <c r="A597" s="21">
        <f t="shared" si="10"/>
        <v>244</v>
      </c>
      <c r="B597" s="85" t="str">
        <f ca="1">IFERROR(__xludf.DUMMYFUNCTION("GOOGLETRANSLATE(B3154:B3169,""RU"",""UK"")"),"Фреза дискова циліндрична d40х50мм")</f>
        <v>Фреза дискова циліндрична d40х50мм</v>
      </c>
      <c r="C597" s="59" t="s">
        <v>6</v>
      </c>
      <c r="D597" s="59">
        <v>8</v>
      </c>
      <c r="E597" s="91">
        <v>258</v>
      </c>
    </row>
    <row r="598" spans="1:5">
      <c r="A598" s="21">
        <f t="shared" si="10"/>
        <v>245</v>
      </c>
      <c r="B598" s="85" t="str">
        <f ca="1">IFERROR(__xludf.DUMMYFUNCTION("GOOGLETRANSLATE(B3154:B3169,""RU"",""UK"")"),"Фреза дискова циліндрична d40х60мм")</f>
        <v>Фреза дискова циліндрична d40х60мм</v>
      </c>
      <c r="C598" s="59" t="s">
        <v>6</v>
      </c>
      <c r="D598" s="59">
        <v>2</v>
      </c>
      <c r="E598" s="91" t="s">
        <v>20</v>
      </c>
    </row>
    <row r="599" spans="1:5">
      <c r="A599" s="21">
        <f t="shared" si="10"/>
        <v>246</v>
      </c>
      <c r="B599" s="85" t="str">
        <f ca="1">IFERROR(__xludf.DUMMYFUNCTION("GOOGLETRANSLATE(B3154:B3169,""RU"",""UK"")"),"Фреза дискова циліндрична d40х63мм")</f>
        <v>Фреза дискова циліндрична d40х63мм</v>
      </c>
      <c r="C599" s="59" t="s">
        <v>6</v>
      </c>
      <c r="D599" s="59">
        <v>6</v>
      </c>
      <c r="E599" s="91">
        <v>300</v>
      </c>
    </row>
    <row r="600" spans="1:5">
      <c r="A600" s="21">
        <f t="shared" si="10"/>
        <v>247</v>
      </c>
      <c r="B600" s="85" t="str">
        <f ca="1">IFERROR(__xludf.DUMMYFUNCTION("GOOGLETRANSLATE(B3153:B3168,""RU"",""UK"")"),"Фреза дискова циліндрична d45х25мм")</f>
        <v>Фреза дискова циліндрична d45х25мм</v>
      </c>
      <c r="C600" s="59" t="s">
        <v>6</v>
      </c>
      <c r="D600" s="59">
        <v>7</v>
      </c>
      <c r="E600" s="91" t="s">
        <v>140</v>
      </c>
    </row>
    <row r="601" spans="1:5">
      <c r="A601" s="21">
        <f t="shared" si="10"/>
        <v>248</v>
      </c>
      <c r="B601" s="85" t="str">
        <f ca="1">IFERROR(__xludf.DUMMYFUNCTION("GOOGLETRANSLATE(B3153:B3168,""RU"",""UK"")"),"Фреза дискова циліндрична d45х30х22мм")</f>
        <v>Фреза дискова циліндрична d45х30х22мм</v>
      </c>
      <c r="C601" s="59" t="s">
        <v>6</v>
      </c>
      <c r="D601" s="59">
        <v>1</v>
      </c>
      <c r="E601" s="91" t="s">
        <v>140</v>
      </c>
    </row>
    <row r="602" spans="1:5">
      <c r="A602" s="21">
        <f t="shared" si="10"/>
        <v>249</v>
      </c>
      <c r="B602" s="85" t="str">
        <f ca="1">IFERROR(__xludf.DUMMYFUNCTION("GOOGLETRANSLATE(B3155:B3170,""RU"",""UK"")"),"Фреза дискова циліндрична d50х50х22ммZ12")</f>
        <v>Фреза дискова циліндрична d50х50х22ммZ12</v>
      </c>
      <c r="C602" s="59" t="s">
        <v>6</v>
      </c>
      <c r="D602" s="59">
        <v>3</v>
      </c>
      <c r="E602" s="91" t="s">
        <v>24</v>
      </c>
    </row>
    <row r="603" spans="1:5">
      <c r="A603" s="21">
        <f t="shared" si="10"/>
        <v>250</v>
      </c>
      <c r="B603" s="198" t="str">
        <f ca="1">IFERROR(__xludf.DUMMYFUNCTION("GOOGLETRANSLATE(B3155:B3170,""RU"",""UK"")"),"Фреза дискова циліндрична d50х63х22мм")</f>
        <v>Фреза дискова циліндрична d50х63х22мм</v>
      </c>
      <c r="C603" s="59" t="s">
        <v>6</v>
      </c>
      <c r="D603" s="59">
        <v>1</v>
      </c>
      <c r="E603" s="91">
        <v>315</v>
      </c>
    </row>
    <row r="604" spans="1:5">
      <c r="A604" s="21">
        <f t="shared" si="10"/>
        <v>251</v>
      </c>
      <c r="B604" s="85" t="str">
        <f ca="1">IFERROR(__xludf.DUMMYFUNCTION("GOOGLETRANSLATE(B3155:B3170,""RU"",""UK"")"),"Фреза дискова циліндрична d50х80мм")</f>
        <v>Фреза дискова циліндрична d50х80мм</v>
      </c>
      <c r="C604" s="59" t="s">
        <v>6</v>
      </c>
      <c r="D604" s="59">
        <v>6</v>
      </c>
      <c r="E604" s="91">
        <v>330</v>
      </c>
    </row>
    <row r="605" spans="1:5">
      <c r="A605" s="21">
        <f t="shared" si="10"/>
        <v>252</v>
      </c>
      <c r="B605" s="85" t="str">
        <f ca="1">IFERROR(__xludf.DUMMYFUNCTION("GOOGLETRANSLATE(B3156:B3171,""RU"",""UK"")"),"Фреза дискова циліндрична d60х50мм")</f>
        <v>Фреза дискова циліндрична d60х50мм</v>
      </c>
      <c r="C605" s="59" t="s">
        <v>6</v>
      </c>
      <c r="D605" s="59">
        <v>1</v>
      </c>
      <c r="E605" s="91" t="s">
        <v>106</v>
      </c>
    </row>
    <row r="606" spans="1:5">
      <c r="A606" s="21">
        <f t="shared" si="10"/>
        <v>253</v>
      </c>
      <c r="B606" s="85" t="str">
        <f ca="1">IFERROR(__xludf.DUMMYFUNCTION("GOOGLETRANSLATE(B3156:B3171,""RU"",""UK"")"),"Фреза дискова циліндрична d63х50мм")</f>
        <v>Фреза дискова циліндрична d63х50мм</v>
      </c>
      <c r="C606" s="59" t="s">
        <v>6</v>
      </c>
      <c r="D606" s="59">
        <v>6</v>
      </c>
      <c r="E606" s="91">
        <v>375</v>
      </c>
    </row>
    <row r="607" spans="1:5">
      <c r="A607" s="21">
        <f t="shared" si="10"/>
        <v>254</v>
      </c>
      <c r="B607" s="85" t="str">
        <f ca="1">IFERROR(__xludf.DUMMYFUNCTION("GOOGLETRANSLATE(B3156:B3171,""RU"",""UK"")"),"Фреза дискова циліндрична d63х63мм Z14")</f>
        <v>Фреза дискова циліндрична d63х63мм Z14</v>
      </c>
      <c r="C607" s="59" t="s">
        <v>6</v>
      </c>
      <c r="D607" s="59">
        <v>6</v>
      </c>
      <c r="E607" s="91">
        <v>390</v>
      </c>
    </row>
    <row r="608" spans="1:5">
      <c r="A608" s="21">
        <f t="shared" si="10"/>
        <v>255</v>
      </c>
      <c r="B608" s="85" t="str">
        <f ca="1">IFERROR(__xludf.DUMMYFUNCTION("GOOGLETRANSLATE(B3157:B3172,""RU"",""UK"")"),"Фреза дискова циліндрична d63х80мм Z14")</f>
        <v>Фреза дискова циліндрична d63х80мм Z14</v>
      </c>
      <c r="C608" s="59" t="s">
        <v>6</v>
      </c>
      <c r="D608" s="59">
        <v>1</v>
      </c>
      <c r="E608" s="91" t="s">
        <v>272</v>
      </c>
    </row>
    <row r="609" spans="1:5">
      <c r="A609" s="21">
        <f t="shared" si="10"/>
        <v>256</v>
      </c>
      <c r="B609" s="85" t="str">
        <f ca="1">IFERROR(__xludf.DUMMYFUNCTION("GOOGLETRANSLATE(B3157:B3172,""RU"",""UK"")"),"Фреза дискова циліндрична d63х100х27мм")</f>
        <v>Фреза дискова циліндрична d63х100х27мм</v>
      </c>
      <c r="C609" s="59" t="s">
        <v>6</v>
      </c>
      <c r="D609" s="59">
        <v>1</v>
      </c>
      <c r="E609" s="91">
        <v>480</v>
      </c>
    </row>
    <row r="610" spans="1:5">
      <c r="A610" s="21">
        <f t="shared" si="10"/>
        <v>257</v>
      </c>
      <c r="B610" s="85" t="str">
        <f ca="1">IFERROR(__xludf.DUMMYFUNCTION("GOOGLETRANSLATE(B3158:B3173,""RU"",""UK"")"),"Фреза дискова циліндрична d80х63мм")</f>
        <v>Фреза дискова циліндрична d80х63мм</v>
      </c>
      <c r="C610" s="59" t="s">
        <v>6</v>
      </c>
      <c r="D610" s="59">
        <v>10</v>
      </c>
      <c r="E610" s="91" t="s">
        <v>18</v>
      </c>
    </row>
    <row r="611" spans="1:5">
      <c r="A611" s="21">
        <f t="shared" si="10"/>
        <v>258</v>
      </c>
      <c r="B611" s="85" t="str">
        <f ca="1">IFERROR(__xludf.DUMMYFUNCTION("GOOGLETRANSLATE(B3158:B3173,""RU"",""UK"")"),"Фреза дискова циліндрична d80х80мм")</f>
        <v>Фреза дискова циліндрична d80х80мм</v>
      </c>
      <c r="C611" s="59" t="s">
        <v>6</v>
      </c>
      <c r="D611" s="59">
        <v>3</v>
      </c>
      <c r="E611" s="91">
        <v>510</v>
      </c>
    </row>
    <row r="612" spans="1:5">
      <c r="A612" s="21">
        <f t="shared" ref="A612" si="11">A611+1</f>
        <v>259</v>
      </c>
      <c r="B612" s="164" t="str">
        <f ca="1">IFERROR(__xludf.DUMMYFUNCTION("GOOGLETRANSLATE(B3159:B3174,""RU"",""UK"")"),"Фреза дискова циліндрична d100х80х40мм Z16")</f>
        <v>Фреза дискова циліндрична d100х80х40мм Z16</v>
      </c>
      <c r="C612" s="59" t="s">
        <v>6</v>
      </c>
      <c r="D612" s="59">
        <v>0</v>
      </c>
      <c r="E612" s="91">
        <v>540</v>
      </c>
    </row>
    <row r="613" spans="1:5">
      <c r="A613" s="21">
        <f t="shared" ref="A613:A654" si="12">A612+1</f>
        <v>260</v>
      </c>
      <c r="B613" s="85" t="str">
        <f ca="1">IFERROR(__xludf.DUMMYFUNCTION("GOOGLETRANSLATE(B3160:B3175,""RU"",""UK"")"),"Фреза дискова циліндрична d100х150мм")</f>
        <v>Фреза дискова циліндрична d100х150мм</v>
      </c>
      <c r="C613" s="59" t="s">
        <v>6</v>
      </c>
      <c r="D613" s="59">
        <v>1</v>
      </c>
      <c r="E613" s="91">
        <v>750</v>
      </c>
    </row>
    <row r="614" spans="1:5">
      <c r="A614" s="21">
        <f t="shared" si="12"/>
        <v>261</v>
      </c>
      <c r="B614" s="85" t="str">
        <f ca="1">IFERROR(__xludf.DUMMYFUNCTION("GOOGLETRANSLATE(B3161:B3176,""RU"",""UK"")"),"Фреза торценасадна Р6М5 40х32мм/40х40мм")</f>
        <v>Фреза торценасадна Р6М5 40х32мм/40х40мм</v>
      </c>
      <c r="C614" s="59" t="s">
        <v>6</v>
      </c>
      <c r="D614" s="59" t="s">
        <v>993</v>
      </c>
      <c r="E614" s="91" t="s">
        <v>140</v>
      </c>
    </row>
    <row r="615" spans="1:5">
      <c r="A615" s="21">
        <f t="shared" si="12"/>
        <v>262</v>
      </c>
      <c r="B615" s="85" t="str">
        <f ca="1">IFERROR(__xludf.DUMMYFUNCTION("GOOGLETRANSLATE(B3162:B3177,""RU"",""UK"")"),"Фреза торценасадна Р6М5 45х30мм Р18")</f>
        <v>Фреза торценасадна Р6М5 45х30мм Р18</v>
      </c>
      <c r="C615" s="59" t="s">
        <v>6</v>
      </c>
      <c r="D615" s="59">
        <v>2</v>
      </c>
      <c r="E615" s="91" t="s">
        <v>24</v>
      </c>
    </row>
    <row r="616" spans="1:5">
      <c r="A616" s="21">
        <f t="shared" si="12"/>
        <v>263</v>
      </c>
      <c r="B616" s="85" t="str">
        <f ca="1">IFERROR(__xludf.DUMMYFUNCTION("GOOGLETRANSLATE(B3163:B3178,""RU"",""UK"")"),"Фреза торценасадна Р6М5 50х36мм")</f>
        <v>Фреза торценасадна Р6М5 50х36мм</v>
      </c>
      <c r="C616" s="59" t="s">
        <v>6</v>
      </c>
      <c r="D616" s="59">
        <v>1</v>
      </c>
      <c r="E616" s="91" t="s">
        <v>106</v>
      </c>
    </row>
    <row r="617" spans="1:5">
      <c r="A617" s="21">
        <f t="shared" si="12"/>
        <v>264</v>
      </c>
      <c r="B617" s="85" t="str">
        <f ca="1">IFERROR(__xludf.DUMMYFUNCTION("GOOGLETRANSLATE(B3164:B3179,""RU"",""UK"")"),"Фреза торценасадна Р6М5 63х40мм")</f>
        <v>Фреза торценасадна Р6М5 63х40мм</v>
      </c>
      <c r="C617" s="59" t="s">
        <v>6</v>
      </c>
      <c r="D617" s="59">
        <v>3</v>
      </c>
      <c r="E617" s="91" t="s">
        <v>22</v>
      </c>
    </row>
    <row r="618" spans="1:5">
      <c r="A618" s="21">
        <f t="shared" si="12"/>
        <v>265</v>
      </c>
      <c r="B618" s="85" t="str">
        <f ca="1">IFERROR(__xludf.DUMMYFUNCTION("GOOGLETRANSLATE(B3165:B3180,""RU"",""UK"")"),"Фреза торценасадна Р6М5 80х40мм")</f>
        <v>Фреза торценасадна Р6М5 80х40мм</v>
      </c>
      <c r="C618" s="59" t="s">
        <v>6</v>
      </c>
      <c r="D618" s="59">
        <v>1</v>
      </c>
      <c r="E618" s="91" t="s">
        <v>18</v>
      </c>
    </row>
    <row r="619" spans="1:5">
      <c r="A619" s="21">
        <f t="shared" si="12"/>
        <v>266</v>
      </c>
      <c r="B619" s="85" t="str">
        <f ca="1">IFERROR(__xludf.DUMMYFUNCTION("GOOGLETRANSLATE(B3165:B3180,""RU"",""UK"")"),"Фреза торценасадна Р6М5 80х45х32мм")</f>
        <v>Фреза торценасадна Р6М5 80х45х32мм</v>
      </c>
      <c r="C619" s="59" t="s">
        <v>6</v>
      </c>
      <c r="D619" s="59">
        <v>9</v>
      </c>
      <c r="E619" s="91" t="s">
        <v>18</v>
      </c>
    </row>
    <row r="620" spans="1:5">
      <c r="A620" s="21">
        <f t="shared" si="12"/>
        <v>267</v>
      </c>
      <c r="B620" s="85" t="str">
        <f ca="1">IFERROR(__xludf.DUMMYFUNCTION("GOOGLETRANSLATE(B3166:B3181,""RU"",""UK"")"),"Фреза торценасадна Р6М5 90х35мм")</f>
        <v>Фреза торценасадна Р6М5 90х35мм</v>
      </c>
      <c r="C620" s="59" t="s">
        <v>6</v>
      </c>
      <c r="D620" s="59">
        <v>1</v>
      </c>
      <c r="E620" s="91" t="s">
        <v>413</v>
      </c>
    </row>
    <row r="621" spans="1:5">
      <c r="A621" s="21">
        <f t="shared" si="12"/>
        <v>268</v>
      </c>
      <c r="B621" s="85" t="str">
        <f ca="1">IFERROR(__xludf.DUMMYFUNCTION("GOOGLETRANSLATE(B3167:B3182,""RU"",""UK"")"),"Фреза торценасадна Р6М5 100х45мм Z18")</f>
        <v>Фреза торценасадна Р6М5 100х45мм Z18</v>
      </c>
      <c r="C621" s="59" t="s">
        <v>6</v>
      </c>
      <c r="D621" s="160">
        <v>2</v>
      </c>
      <c r="E621" s="91" t="s">
        <v>78</v>
      </c>
    </row>
    <row r="622" spans="1:5">
      <c r="A622" s="21">
        <f t="shared" si="12"/>
        <v>269</v>
      </c>
      <c r="B622" s="164" t="str">
        <f ca="1">IFERROR(__xludf.DUMMYFUNCTION("GOOGLETRANSLATE(B3167:B3182,""RU"",""UK"")"),"Фреза торценасадна Р6М5 100х50мм")</f>
        <v>Фреза торценасадна Р6М5 100х50мм</v>
      </c>
      <c r="C622" s="59" t="s">
        <v>6</v>
      </c>
      <c r="D622" s="160">
        <v>0</v>
      </c>
      <c r="E622" s="91" t="s">
        <v>78</v>
      </c>
    </row>
    <row r="623" spans="1:5">
      <c r="A623" s="21">
        <f t="shared" si="12"/>
        <v>270</v>
      </c>
      <c r="B623" s="85" t="str">
        <f ca="1">IFERROR(__xludf.DUMMYFUNCTION("GOOGLETRANSLATE(B3168:B3183,""RU"",""UK"")"),"Фреза торцева (риф.ніж Р6М5) 100мм")</f>
        <v>Фреза торцева (риф.ніж Р6М5) 100мм</v>
      </c>
      <c r="C623" s="59" t="s">
        <v>6</v>
      </c>
      <c r="D623" s="59">
        <v>1</v>
      </c>
      <c r="E623" s="91" t="s">
        <v>4208</v>
      </c>
    </row>
    <row r="624" spans="1:5">
      <c r="A624" s="21">
        <f t="shared" si="12"/>
        <v>271</v>
      </c>
      <c r="B624" s="85" t="str">
        <f ca="1">IFERROR(__xludf.DUMMYFUNCTION("GOOGLETRANSLATE(B3168:B3183,""RU"",""UK"")"),"Фреза торцева (риф.ніж Р6М5) 125мм")</f>
        <v>Фреза торцева (риф.ніж Р6М5) 125мм</v>
      </c>
      <c r="C624" s="59" t="s">
        <v>6</v>
      </c>
      <c r="D624" s="59">
        <v>3</v>
      </c>
      <c r="E624" s="91" t="s">
        <v>4208</v>
      </c>
    </row>
    <row r="625" spans="1:5">
      <c r="A625" s="21">
        <f t="shared" si="12"/>
        <v>272</v>
      </c>
      <c r="B625" s="85" t="str">
        <f ca="1">IFERROR(__xludf.DUMMYFUNCTION("GOOGLETRANSLATE(B3169:B3184,""RU"",""UK"")"),"Фреза торцева (риф.ніж Р6М5) 160мм")</f>
        <v>Фреза торцева (риф.ніж Р6М5) 160мм</v>
      </c>
      <c r="C625" s="59" t="s">
        <v>6</v>
      </c>
      <c r="D625" s="59">
        <v>1</v>
      </c>
      <c r="E625" s="91" t="s">
        <v>3920</v>
      </c>
    </row>
    <row r="626" spans="1:5">
      <c r="A626" s="21">
        <f t="shared" si="12"/>
        <v>273</v>
      </c>
      <c r="B626" s="85" t="str">
        <f ca="1">IFERROR(__xludf.DUMMYFUNCTION("GOOGLETRANSLATE(B3170:B3185,""RU"",""UK"")"),"Фреза різьбова гребінчаста крок 1,5 d55х30мм")</f>
        <v>Фреза різьбова гребінчаста крок 1,5 d55х30мм</v>
      </c>
      <c r="C626" s="59" t="s">
        <v>6</v>
      </c>
      <c r="D626" s="59">
        <v>4</v>
      </c>
      <c r="E626" s="91" t="s">
        <v>319</v>
      </c>
    </row>
    <row r="627" spans="1:5">
      <c r="A627" s="21">
        <f t="shared" si="12"/>
        <v>274</v>
      </c>
      <c r="B627" s="85" t="str">
        <f ca="1">IFERROR(__xludf.DUMMYFUNCTION("GOOGLETRANSLATE(B3171:B3186,""RU"",""UK"")"),"Фреза пазова 12х12/ 40х7")</f>
        <v>Фреза пазова 12х12/ 40х7</v>
      </c>
      <c r="C627" s="59" t="s">
        <v>6</v>
      </c>
      <c r="D627" s="59" t="s">
        <v>686</v>
      </c>
      <c r="E627" s="91" t="s">
        <v>136</v>
      </c>
    </row>
    <row r="628" spans="1:5">
      <c r="A628" s="21">
        <f t="shared" si="12"/>
        <v>275</v>
      </c>
      <c r="B628" s="85" t="str">
        <f ca="1">IFERROR(__xludf.DUMMYFUNCTION("GOOGLETRANSLATE(B3172:B3187,""RU"",""UK"")"),"Фреза пазова 50х3х16 Р6М5")</f>
        <v>Фреза пазова 50х3х16 Р6М5</v>
      </c>
      <c r="C628" s="59" t="s">
        <v>6</v>
      </c>
      <c r="D628" s="59">
        <v>17</v>
      </c>
      <c r="E628" s="91" t="s">
        <v>319</v>
      </c>
    </row>
    <row r="629" spans="1:5">
      <c r="A629" s="21">
        <f t="shared" si="12"/>
        <v>276</v>
      </c>
      <c r="B629" s="85" t="str">
        <f ca="1">IFERROR(__xludf.DUMMYFUNCTION("GOOGLETRANSLATE(B3172:B3187,""RU"",""UK"")"),"Фреза пазова 50х4х16 Р6М5")</f>
        <v>Фреза пазова 50х4х16 Р6М5</v>
      </c>
      <c r="C629" s="59" t="s">
        <v>6</v>
      </c>
      <c r="D629" s="59">
        <v>16</v>
      </c>
      <c r="E629" s="91" t="s">
        <v>319</v>
      </c>
    </row>
    <row r="630" spans="1:5">
      <c r="A630" s="21">
        <f t="shared" si="12"/>
        <v>277</v>
      </c>
      <c r="B630" s="85" t="str">
        <f ca="1">IFERROR(__xludf.DUMMYFUNCTION("GOOGLETRANSLATE(B3172:B3187,""RU"",""UK"")"),"Фреза пазова 50х4х16 Р18")</f>
        <v>Фреза пазова 50х4х16 Р18</v>
      </c>
      <c r="C630" s="59" t="s">
        <v>6</v>
      </c>
      <c r="D630" s="59">
        <v>3</v>
      </c>
      <c r="E630" s="91" t="s">
        <v>319</v>
      </c>
    </row>
    <row r="631" spans="1:5">
      <c r="A631" s="21">
        <f t="shared" si="12"/>
        <v>278</v>
      </c>
      <c r="B631" s="85" t="str">
        <f ca="1">IFERROR(__xludf.DUMMYFUNCTION("GOOGLETRANSLATE(B3172:B3187,""RU"",""UK"")"),"Фреза пазова 50х5х16 Р18")</f>
        <v>Фреза пазова 50х5х16 Р18</v>
      </c>
      <c r="C631" s="59" t="s">
        <v>6</v>
      </c>
      <c r="D631" s="59">
        <v>2</v>
      </c>
      <c r="E631" s="91" t="s">
        <v>319</v>
      </c>
    </row>
    <row r="632" spans="1:5">
      <c r="A632" s="21">
        <f t="shared" si="12"/>
        <v>279</v>
      </c>
      <c r="B632" s="85" t="str">
        <f ca="1">IFERROR(__xludf.DUMMYFUNCTION("GOOGLETRANSLATE(B3173:B3188,""RU"",""UK"")"),"Фреза пазова 50х6х16 Р6М5")</f>
        <v>Фреза пазова 50х6х16 Р6М5</v>
      </c>
      <c r="C632" s="59" t="s">
        <v>6</v>
      </c>
      <c r="D632" s="59">
        <v>4</v>
      </c>
      <c r="E632" s="91" t="s">
        <v>1570</v>
      </c>
    </row>
    <row r="633" spans="1:5">
      <c r="A633" s="21">
        <f t="shared" si="12"/>
        <v>280</v>
      </c>
      <c r="B633" s="85" t="str">
        <f ca="1">IFERROR(__xludf.DUMMYFUNCTION("GOOGLETRANSLATE(B3173:B3188,""RU"",""UK"")"),"Фреза пазова 50х6х16 Р18")</f>
        <v>Фреза пазова 50х6х16 Р18</v>
      </c>
      <c r="C633" s="59" t="s">
        <v>6</v>
      </c>
      <c r="D633" s="59">
        <v>3</v>
      </c>
      <c r="E633" s="91" t="s">
        <v>1570</v>
      </c>
    </row>
    <row r="634" spans="1:5">
      <c r="A634" s="21">
        <f t="shared" si="12"/>
        <v>281</v>
      </c>
      <c r="B634" s="85" t="str">
        <f ca="1">IFERROR(__xludf.DUMMYFUNCTION("GOOGLETRANSLATE(B3173:B3188,""RU"",""UK"")"),"Фреза пазова 50х12")</f>
        <v>Фреза пазова 50х12</v>
      </c>
      <c r="C634" s="59" t="s">
        <v>6</v>
      </c>
      <c r="D634" s="59">
        <v>1</v>
      </c>
      <c r="E634" s="91" t="s">
        <v>1570</v>
      </c>
    </row>
    <row r="635" spans="1:5">
      <c r="A635" s="21">
        <f t="shared" si="12"/>
        <v>282</v>
      </c>
      <c r="B635" s="85" t="str">
        <f ca="1">IFERROR(__xludf.DUMMYFUNCTION("GOOGLETRANSLATE(B3173:B3188,""RU"",""UK"")"),"Фреза пазова 60х6")</f>
        <v>Фреза пазова 60х6</v>
      </c>
      <c r="C635" s="59" t="s">
        <v>6</v>
      </c>
      <c r="D635" s="59">
        <v>7</v>
      </c>
      <c r="E635" s="91" t="s">
        <v>1570</v>
      </c>
    </row>
    <row r="636" spans="1:5">
      <c r="A636" s="21">
        <f t="shared" si="12"/>
        <v>283</v>
      </c>
      <c r="B636" s="85" t="str">
        <f ca="1">IFERROR(__xludf.DUMMYFUNCTION("GOOGLETRANSLATE(B3173:B3188,""RU"",""UK"")"),"Фреза пазова 60х8")</f>
        <v>Фреза пазова 60х8</v>
      </c>
      <c r="C636" s="59" t="s">
        <v>6</v>
      </c>
      <c r="D636" s="59">
        <v>2</v>
      </c>
      <c r="E636" s="91" t="s">
        <v>1570</v>
      </c>
    </row>
    <row r="637" spans="1:5">
      <c r="A637" s="21">
        <f t="shared" si="12"/>
        <v>284</v>
      </c>
      <c r="B637" s="164" t="str">
        <f ca="1">IFERROR(__xludf.DUMMYFUNCTION("GOOGLETRANSLATE(B3173:B3188,""RU"",""UK"")"),"Фреза пазова 63х5")</f>
        <v>Фреза пазова 63х5</v>
      </c>
      <c r="C637" s="59" t="s">
        <v>6</v>
      </c>
      <c r="D637" s="59">
        <v>0</v>
      </c>
      <c r="E637" s="91" t="s">
        <v>1570</v>
      </c>
    </row>
    <row r="638" spans="1:5">
      <c r="A638" s="21">
        <f t="shared" si="12"/>
        <v>285</v>
      </c>
      <c r="B638" s="85" t="str">
        <f ca="1">IFERROR(__xludf.DUMMYFUNCTION("GOOGLETRANSLATE(B3174:B3189,""RU"",""UK"")"),"Фреза пазова 63х6х16 Р6М5")</f>
        <v>Фреза пазова 63х6х16 Р6М5</v>
      </c>
      <c r="C638" s="59" t="s">
        <v>6</v>
      </c>
      <c r="D638" s="59">
        <v>33</v>
      </c>
      <c r="E638" s="91" t="s">
        <v>119</v>
      </c>
    </row>
    <row r="639" spans="1:5">
      <c r="A639" s="21">
        <f t="shared" si="12"/>
        <v>286</v>
      </c>
      <c r="B639" s="85" t="str">
        <f ca="1">IFERROR(__xludf.DUMMYFUNCTION("GOOGLETRANSLATE(B3174:B3189,""RU"",""UK"")"),"Фреза пазова 63х6х16 Р12")</f>
        <v>Фреза пазова 63х6х16 Р12</v>
      </c>
      <c r="C639" s="59" t="s">
        <v>6</v>
      </c>
      <c r="D639" s="59">
        <v>1</v>
      </c>
      <c r="E639" s="91" t="s">
        <v>119</v>
      </c>
    </row>
    <row r="640" spans="1:5">
      <c r="A640" s="21">
        <f t="shared" si="12"/>
        <v>287</v>
      </c>
      <c r="B640" s="85" t="str">
        <f ca="1">IFERROR(__xludf.DUMMYFUNCTION("GOOGLETRANSLATE(B3174:B3189,""RU"",""UK"")"),"Фреза пазова 63х7")</f>
        <v>Фреза пазова 63х7</v>
      </c>
      <c r="C640" s="59" t="s">
        <v>6</v>
      </c>
      <c r="D640" s="59">
        <v>3</v>
      </c>
      <c r="E640" s="91" t="s">
        <v>119</v>
      </c>
    </row>
    <row r="641" spans="1:5">
      <c r="A641" s="21">
        <f t="shared" si="12"/>
        <v>288</v>
      </c>
      <c r="B641" s="85" t="str">
        <f ca="1">IFERROR(__xludf.DUMMYFUNCTION("GOOGLETRANSLATE(B3174:B3189,""RU"",""UK"")"),"Фреза пазова 63х8х16 Р6М5")</f>
        <v>Фреза пазова 63х8х16 Р6М5</v>
      </c>
      <c r="C641" s="59" t="s">
        <v>6</v>
      </c>
      <c r="D641" s="59">
        <v>118</v>
      </c>
      <c r="E641" s="91" t="s">
        <v>119</v>
      </c>
    </row>
    <row r="642" spans="1:5">
      <c r="A642" s="21">
        <f t="shared" si="12"/>
        <v>289</v>
      </c>
      <c r="B642" s="85" t="str">
        <f ca="1">IFERROR(__xludf.DUMMYFUNCTION("GOOGLETRANSLATE(B3174:B3189,""RU"",""UK"")"),"Фреза пазова 63х8х16 Р9")</f>
        <v>Фреза пазова 63х8х16 Р9</v>
      </c>
      <c r="C642" s="59" t="s">
        <v>6</v>
      </c>
      <c r="D642" s="59">
        <v>1</v>
      </c>
      <c r="E642" s="91" t="s">
        <v>119</v>
      </c>
    </row>
    <row r="643" spans="1:5">
      <c r="A643" s="21">
        <f t="shared" si="12"/>
        <v>290</v>
      </c>
      <c r="B643" s="85" t="str">
        <f ca="1">IFERROR(__xludf.DUMMYFUNCTION("GOOGLETRANSLATE(B3174:B3189,""RU"",""UK"")"),"Фреза пазова 63х8х16 Р18")</f>
        <v>Фреза пазова 63х8х16 Р18</v>
      </c>
      <c r="C643" s="59" t="s">
        <v>6</v>
      </c>
      <c r="D643" s="59">
        <v>1</v>
      </c>
      <c r="E643" s="91" t="s">
        <v>119</v>
      </c>
    </row>
    <row r="644" spans="1:5">
      <c r="A644" s="21">
        <f t="shared" si="12"/>
        <v>291</v>
      </c>
      <c r="B644" s="85" t="str">
        <f ca="1">IFERROR(__xludf.DUMMYFUNCTION("GOOGLETRANSLATE(B3175:B3190,""RU"",""UK"")"),"Фреза пазова 80х6 Р6АМ5")</f>
        <v>Фреза пазова 80х6 Р6АМ5</v>
      </c>
      <c r="C644" s="59" t="s">
        <v>6</v>
      </c>
      <c r="D644" s="59">
        <v>3</v>
      </c>
      <c r="E644" s="91" t="s">
        <v>327</v>
      </c>
    </row>
    <row r="645" spans="1:5">
      <c r="A645" s="21">
        <f t="shared" si="12"/>
        <v>292</v>
      </c>
      <c r="B645" s="85" t="str">
        <f ca="1">IFERROR(__xludf.DUMMYFUNCTION("GOOGLETRANSLATE(B3175:B3190,""RU"",""UK"")"),"Фреза пазова 80х8х27 Р6М5")</f>
        <v>Фреза пазова 80х8х27 Р6М5</v>
      </c>
      <c r="C645" s="59" t="s">
        <v>6</v>
      </c>
      <c r="D645" s="59">
        <v>5</v>
      </c>
      <c r="E645" s="91" t="s">
        <v>327</v>
      </c>
    </row>
    <row r="646" spans="1:5">
      <c r="A646" s="21">
        <f t="shared" si="12"/>
        <v>293</v>
      </c>
      <c r="B646" s="85" t="str">
        <f ca="1">IFERROR(__xludf.DUMMYFUNCTION("GOOGLETRANSLATE(B3175:B3190,""RU"",""UK"")"),"Фреза пазова 80х10")</f>
        <v>Фреза пазова 80х10</v>
      </c>
      <c r="C646" s="59" t="s">
        <v>6</v>
      </c>
      <c r="D646" s="59">
        <v>9</v>
      </c>
      <c r="E646" s="91" t="s">
        <v>327</v>
      </c>
    </row>
    <row r="647" spans="1:5">
      <c r="A647" s="21">
        <f t="shared" si="12"/>
        <v>294</v>
      </c>
      <c r="B647" s="85" t="str">
        <f ca="1">IFERROR(__xludf.DUMMYFUNCTION("GOOGLETRANSLATE(B3176:B3191,""RU"",""UK"")"),"Фреза пазова 80х12")</f>
        <v>Фреза пазова 80х12</v>
      </c>
      <c r="C647" s="59" t="s">
        <v>6</v>
      </c>
      <c r="D647" s="160">
        <v>20</v>
      </c>
      <c r="E647" s="91" t="s">
        <v>140</v>
      </c>
    </row>
    <row r="648" spans="1:5">
      <c r="A648" s="21">
        <f t="shared" si="12"/>
        <v>295</v>
      </c>
      <c r="B648" s="85" t="str">
        <f ca="1">IFERROR(__xludf.DUMMYFUNCTION("GOOGLETRANSLATE(B3176:B3191,""RU"",""UK"")"),"Фреза пазова 90х14х27 Р6М5")</f>
        <v>Фреза пазова 90х14х27 Р6М5</v>
      </c>
      <c r="C648" s="59" t="s">
        <v>6</v>
      </c>
      <c r="D648" s="160">
        <v>3</v>
      </c>
      <c r="E648" s="91" t="s">
        <v>140</v>
      </c>
    </row>
    <row r="649" spans="1:5">
      <c r="A649" s="21">
        <f t="shared" si="12"/>
        <v>296</v>
      </c>
      <c r="B649" s="85" t="str">
        <f ca="1">IFERROR(__xludf.DUMMYFUNCTION("GOOGLETRANSLATE(B3176:B3191,""RU"",""UK"")"),"Фреза пазова 90х14х27 Р9")</f>
        <v>Фреза пазова 90х14х27 Р9</v>
      </c>
      <c r="C649" s="59" t="s">
        <v>6</v>
      </c>
      <c r="D649" s="160">
        <v>2</v>
      </c>
      <c r="E649" s="91" t="s">
        <v>140</v>
      </c>
    </row>
    <row r="650" spans="1:5">
      <c r="A650" s="21">
        <f t="shared" si="12"/>
        <v>297</v>
      </c>
      <c r="B650" s="85" t="str">
        <f ca="1">IFERROR(__xludf.DUMMYFUNCTION("GOOGLETRANSLATE(B3176:B3191,""RU"",""UK"")"),"Фреза пазова 90х16")</f>
        <v>Фреза пазова 90х16</v>
      </c>
      <c r="C650" s="59" t="s">
        <v>6</v>
      </c>
      <c r="D650" s="160">
        <v>1</v>
      </c>
      <c r="E650" s="91" t="s">
        <v>140</v>
      </c>
    </row>
    <row r="651" spans="1:5">
      <c r="A651" s="21">
        <f t="shared" si="12"/>
        <v>298</v>
      </c>
      <c r="B651" s="85" t="str">
        <f ca="1">IFERROR(__xludf.DUMMYFUNCTION("GOOGLETRANSLATE(B3177:B3192,""RU"",""UK"")"),"Фреза пазова 100х10")</f>
        <v>Фреза пазова 100х10</v>
      </c>
      <c r="C651" s="59" t="s">
        <v>6</v>
      </c>
      <c r="D651" s="59">
        <v>4</v>
      </c>
      <c r="E651" s="91" t="s">
        <v>20</v>
      </c>
    </row>
    <row r="652" spans="1:5">
      <c r="A652" s="21">
        <f t="shared" si="12"/>
        <v>299</v>
      </c>
      <c r="B652" s="85" t="str">
        <f ca="1">IFERROR(__xludf.DUMMYFUNCTION("GOOGLETRANSLATE(B3177:B3192,""RU"",""UK"")"),"Фреза пазова 100х12")</f>
        <v>Фреза пазова 100х12</v>
      </c>
      <c r="C652" s="59" t="s">
        <v>6</v>
      </c>
      <c r="D652" s="59">
        <v>18</v>
      </c>
      <c r="E652" s="91" t="s">
        <v>20</v>
      </c>
    </row>
    <row r="653" spans="1:5">
      <c r="A653" s="21">
        <f t="shared" si="12"/>
        <v>300</v>
      </c>
      <c r="B653" s="115" t="str">
        <f ca="1">IFERROR(__xludf.DUMMYFUNCTION("GOOGLETRANSLATE(B3178:B3193,""RU"",""UK"")"),"Фреза пазова 100х14")</f>
        <v>Фреза пазова 100х14</v>
      </c>
      <c r="C653" s="59" t="s">
        <v>6</v>
      </c>
      <c r="D653" s="160">
        <v>7</v>
      </c>
      <c r="E653" s="91" t="s">
        <v>24</v>
      </c>
    </row>
    <row r="654" spans="1:5">
      <c r="A654" s="21">
        <f t="shared" si="12"/>
        <v>301</v>
      </c>
      <c r="B654" s="115" t="str">
        <f ca="1">IFERROR(__xludf.DUMMYFUNCTION("GOOGLETRANSLATE(B3178:B3193,""RU"",""UK"")"),"Фреза пазова 100х16")</f>
        <v>Фреза пазова 100х16</v>
      </c>
      <c r="C654" s="59" t="s">
        <v>6</v>
      </c>
      <c r="D654" s="160">
        <v>10</v>
      </c>
      <c r="E654" s="91" t="s">
        <v>24</v>
      </c>
    </row>
    <row r="655" spans="1:5">
      <c r="A655" s="68"/>
      <c r="B655" s="119" t="s">
        <v>6046</v>
      </c>
      <c r="C655" s="69"/>
      <c r="D655" s="69"/>
      <c r="E655" s="106"/>
    </row>
    <row r="656" spans="1:5">
      <c r="A656" s="21">
        <v>1</v>
      </c>
      <c r="B656" s="47" t="str">
        <f ca="1">IFERROR(__xludf.DUMMYFUNCTION("GOOGLETRANSLATE(B3180:B3195,""RU"",""UK"")"),"Фреза шпонкова М6,5 ВК10 ц/хв")</f>
        <v>Фреза шпонкова М6,5 ВК10 ц/хв</v>
      </c>
      <c r="C656" s="59" t="s">
        <v>6</v>
      </c>
      <c r="D656" s="59">
        <v>3</v>
      </c>
      <c r="E656" s="91" t="s">
        <v>319</v>
      </c>
    </row>
    <row r="657" spans="1:5">
      <c r="A657" s="21">
        <f>A656+1</f>
        <v>2</v>
      </c>
      <c r="B657" s="85" t="str">
        <f ca="1">IFERROR(__xludf.DUMMYFUNCTION("GOOGLETRANSLATE(B3181:B3196,""RU"",""UK"")"),"Фреза шпонкова М12 ВК8 ц/хв")</f>
        <v>Фреза шпонкова М12 ВК8 ц/хв</v>
      </c>
      <c r="C657" s="59" t="s">
        <v>6</v>
      </c>
      <c r="D657" s="59">
        <v>38</v>
      </c>
      <c r="E657" s="91" t="s">
        <v>4227</v>
      </c>
    </row>
    <row r="658" spans="1:5">
      <c r="A658" s="21">
        <f t="shared" ref="A658:A723" si="13">A657+1</f>
        <v>3</v>
      </c>
      <c r="B658" s="85" t="str">
        <f ca="1">IFERROR(__xludf.DUMMYFUNCTION("GOOGLETRANSLATE(B3182:B3197,""RU"",""UK"")"),"Фреза шпонкова М13 ВК8 ц/хв")</f>
        <v>Фреза шпонкова М13 ВК8 ц/хв</v>
      </c>
      <c r="C658" s="59" t="s">
        <v>6</v>
      </c>
      <c r="D658" s="59">
        <v>8</v>
      </c>
      <c r="E658" s="91" t="s">
        <v>3018</v>
      </c>
    </row>
    <row r="659" spans="1:5">
      <c r="A659" s="21">
        <f t="shared" si="13"/>
        <v>4</v>
      </c>
      <c r="B659" s="85" t="str">
        <f ca="1">IFERROR(__xludf.DUMMYFUNCTION("GOOGLETRANSLATE(B3183:B3198,""RU"",""UK"")"),"Фреза шпонкова М13 ВК8 к/хв")</f>
        <v>Фреза шпонкова М13 ВК8 к/хв</v>
      </c>
      <c r="C659" s="59" t="s">
        <v>6</v>
      </c>
      <c r="D659" s="59">
        <v>10</v>
      </c>
      <c r="E659" s="91" t="s">
        <v>3018</v>
      </c>
    </row>
    <row r="660" spans="1:5">
      <c r="A660" s="21">
        <f t="shared" si="13"/>
        <v>5</v>
      </c>
      <c r="B660" s="85" t="str">
        <f ca="1">IFERROR(__xludf.DUMMYFUNCTION("GOOGLETRANSLATE(B3184:B3199,""RU"",""UK"")"),"Фреза шпонкова М14 ВК8 ц/хв")</f>
        <v>Фреза шпонкова М14 ВК8 ц/хв</v>
      </c>
      <c r="C660" s="59" t="s">
        <v>6</v>
      </c>
      <c r="D660" s="59">
        <v>55</v>
      </c>
      <c r="E660" s="91" t="s">
        <v>140</v>
      </c>
    </row>
    <row r="661" spans="1:5">
      <c r="A661" s="21">
        <f t="shared" si="13"/>
        <v>6</v>
      </c>
      <c r="B661" s="85" t="str">
        <f ca="1">IFERROR(__xludf.DUMMYFUNCTION("GOOGLETRANSLATE(B3185:B3200,""RU"",""UK"")"),"Фреза шпонкова М14 ВК8 к/хв / М14,5 ВК8 к/хв")</f>
        <v>Фреза шпонкова М14 ВК8 к/хв / М14,5 ВК8 к/хв</v>
      </c>
      <c r="C661" s="59" t="s">
        <v>6</v>
      </c>
      <c r="D661" s="59" t="s">
        <v>2039</v>
      </c>
      <c r="E661" s="91" t="s">
        <v>140</v>
      </c>
    </row>
    <row r="662" spans="1:5">
      <c r="A662" s="21">
        <f t="shared" si="13"/>
        <v>7</v>
      </c>
      <c r="B662" s="85" t="str">
        <f ca="1">IFERROR(__xludf.DUMMYFUNCTION("GOOGLETRANSLATE(B3186:B3201,""RU"",""UK"")"),"Фреза шпонкова М16 ВК8 ц/хв")</f>
        <v>Фреза шпонкова М16 ВК8 ц/хв</v>
      </c>
      <c r="C662" s="59" t="s">
        <v>6</v>
      </c>
      <c r="D662" s="59">
        <v>134</v>
      </c>
      <c r="E662" s="91" t="s">
        <v>569</v>
      </c>
    </row>
    <row r="663" spans="1:5">
      <c r="A663" s="21">
        <f t="shared" si="13"/>
        <v>8</v>
      </c>
      <c r="B663" s="85" t="str">
        <f ca="1">IFERROR(__xludf.DUMMYFUNCTION("GOOGLETRANSLATE(B3187:B3202,""RU"",""UK"")"),"Фреза шпонкова М16 ВК8 к/хв")</f>
        <v>Фреза шпонкова М16 ВК8 к/хв</v>
      </c>
      <c r="C663" s="59" t="s">
        <v>6</v>
      </c>
      <c r="D663" s="59">
        <v>32</v>
      </c>
      <c r="E663" s="91" t="s">
        <v>20</v>
      </c>
    </row>
    <row r="664" spans="1:5">
      <c r="A664" s="21">
        <f t="shared" si="13"/>
        <v>9</v>
      </c>
      <c r="B664" s="85" t="str">
        <f ca="1">IFERROR(__xludf.DUMMYFUNCTION("GOOGLETRANSLATE(B3188:B3203,""RU"",""UK"")"),"Фреза шпонкова М20 ВК8 ц/хв")</f>
        <v>Фреза шпонкова М20 ВК8 ц/хв</v>
      </c>
      <c r="C664" s="59" t="s">
        <v>6</v>
      </c>
      <c r="D664" s="59">
        <v>24</v>
      </c>
      <c r="E664" s="91" t="s">
        <v>24</v>
      </c>
    </row>
    <row r="665" spans="1:5">
      <c r="A665" s="21">
        <f t="shared" si="13"/>
        <v>10</v>
      </c>
      <c r="B665" s="85" t="str">
        <f ca="1">IFERROR(__xludf.DUMMYFUNCTION("GOOGLETRANSLATE(B3189:B3204,""RU"",""UK"")"),"Фреза шпонкова М20 ВК8 к/хв/М20 Т5К10 к/хв/М20т/с к/хв")</f>
        <v>Фреза шпонкова М20 ВК8 к/хв/М20 Т5К10 к/хв/М20т/с к/хв</v>
      </c>
      <c r="C665" s="59" t="s">
        <v>6</v>
      </c>
      <c r="D665" s="59" t="s">
        <v>4236</v>
      </c>
      <c r="E665" s="91" t="s">
        <v>162</v>
      </c>
    </row>
    <row r="666" spans="1:5">
      <c r="A666" s="21">
        <f t="shared" si="13"/>
        <v>11</v>
      </c>
      <c r="B666" s="85" t="str">
        <f ca="1">IFERROR(__xludf.DUMMYFUNCTION("GOOGLETRANSLATE(B3190:B3205,""RU"",""UK"")"),"Фреза шпонкова М22 ВК8 к/хв")</f>
        <v>Фреза шпонкова М22 ВК8 к/хв</v>
      </c>
      <c r="C666" s="59" t="s">
        <v>6</v>
      </c>
      <c r="D666" s="59">
        <v>15</v>
      </c>
      <c r="E666" s="91" t="s">
        <v>106</v>
      </c>
    </row>
    <row r="667" spans="1:5">
      <c r="A667" s="21">
        <f t="shared" si="13"/>
        <v>12</v>
      </c>
      <c r="B667" s="85" t="str">
        <f ca="1">IFERROR(__xludf.DUMMYFUNCTION("GOOGLETRANSLATE(B3191:B3206,""RU"",""UK"")"),"Фреза шпонкова М25 Т5К10 к/хв / М25 BК8 к/хв")</f>
        <v>Фреза шпонкова М25 Т5К10 к/хв / М25 BК8 к/хв</v>
      </c>
      <c r="C667" s="59" t="s">
        <v>6</v>
      </c>
      <c r="D667" s="59" t="s">
        <v>700</v>
      </c>
      <c r="E667" s="91" t="s">
        <v>16</v>
      </c>
    </row>
    <row r="668" spans="1:5">
      <c r="A668" s="21">
        <f t="shared" si="13"/>
        <v>13</v>
      </c>
      <c r="B668" s="85" t="str">
        <f ca="1">IFERROR(__xludf.DUMMYFUNCTION("GOOGLETRANSLATE(B3192:B3207,""RU"",""UK"")"),"Фреза шпонкова М28 ВК8 к/хв / М28 Т5К10 к/хв")</f>
        <v>Фреза шпонкова М28 ВК8 к/хв / М28 Т5К10 к/хв</v>
      </c>
      <c r="C668" s="59" t="s">
        <v>6</v>
      </c>
      <c r="D668" s="59" t="s">
        <v>4240</v>
      </c>
      <c r="E668" s="91" t="s">
        <v>22</v>
      </c>
    </row>
    <row r="669" spans="1:5">
      <c r="A669" s="21">
        <f t="shared" si="13"/>
        <v>14</v>
      </c>
      <c r="B669" s="85" t="str">
        <f ca="1">IFERROR(__xludf.DUMMYFUNCTION("GOOGLETRANSLATE(B3193:B3208,""RU"",""UK"")"),"Фреза шпонкова М32 ВК8 к/хв / М32 Т5К10 к/хв")</f>
        <v>Фреза шпонкова М32 ВК8 к/хв / М32 Т5К10 к/хв</v>
      </c>
      <c r="C669" s="59" t="s">
        <v>6</v>
      </c>
      <c r="D669" s="59" t="s">
        <v>1005</v>
      </c>
      <c r="E669" s="91" t="s">
        <v>4242</v>
      </c>
    </row>
    <row r="670" spans="1:5">
      <c r="A670" s="21">
        <f t="shared" si="13"/>
        <v>15</v>
      </c>
      <c r="B670" s="85" t="str">
        <f ca="1">IFERROR(__xludf.DUMMYFUNCTION("GOOGLETRANSLATE(B3194:B3209,""RU"",""UK"")"),"Фреза шпонкова М36 ВК8 к/хв")</f>
        <v>Фреза шпонкова М36 ВК8 к/хв</v>
      </c>
      <c r="C670" s="59" t="s">
        <v>6</v>
      </c>
      <c r="D670" s="59">
        <v>12</v>
      </c>
      <c r="E670" s="91" t="s">
        <v>3916</v>
      </c>
    </row>
    <row r="671" spans="1:5">
      <c r="A671" s="21">
        <f t="shared" si="13"/>
        <v>16</v>
      </c>
      <c r="B671" s="85" t="str">
        <f ca="1">IFERROR(__xludf.DUMMYFUNCTION("GOOGLETRANSLATE(B3195:B3210,""RU"",""UK"")"),"Фреза шпонкова М40 ВК8 к/хв / М40 Т5К10 к/хв")</f>
        <v>Фреза шпонкова М40 ВК8 к/хв / М40 Т5К10 к/хв</v>
      </c>
      <c r="C671" s="59" t="s">
        <v>6</v>
      </c>
      <c r="D671" s="59" t="s">
        <v>3147</v>
      </c>
      <c r="E671" s="91" t="s">
        <v>4245</v>
      </c>
    </row>
    <row r="672" spans="1:5">
      <c r="A672" s="21">
        <f t="shared" si="13"/>
        <v>17</v>
      </c>
      <c r="B672" s="85" t="str">
        <f ca="1">IFERROR(__xludf.DUMMYFUNCTION("GOOGLETRANSLATE(B3196:B3211,""RU"",""UK"")"),"Фреза монолітна шпонкова ВК-8 М4")</f>
        <v>Фреза монолітна шпонкова ВК-8 М4</v>
      </c>
      <c r="C672" s="59" t="s">
        <v>6</v>
      </c>
      <c r="D672" s="59">
        <v>8</v>
      </c>
      <c r="E672" s="91" t="s">
        <v>319</v>
      </c>
    </row>
    <row r="673" spans="1:5">
      <c r="A673" s="21">
        <f t="shared" si="13"/>
        <v>18</v>
      </c>
      <c r="B673" s="85" t="str">
        <f ca="1">IFERROR(__xludf.DUMMYFUNCTION("GOOGLETRANSLATE(B3197:B3212,""RU"",""UK"")"),"Фреза кінцева монолітна ВК-6 М3")</f>
        <v>Фреза кінцева монолітна ВК-6 М3</v>
      </c>
      <c r="C673" s="59" t="s">
        <v>6</v>
      </c>
      <c r="D673" s="59">
        <v>71</v>
      </c>
      <c r="E673" s="91" t="s">
        <v>136</v>
      </c>
    </row>
    <row r="674" spans="1:5">
      <c r="A674" s="21">
        <f t="shared" si="13"/>
        <v>19</v>
      </c>
      <c r="B674" s="85" t="str">
        <f ca="1">IFERROR(__xludf.DUMMYFUNCTION("GOOGLETRANSLATE(B3198:B3213,""RU"",""UK"")"),"Фреза кінцева монолітна ВК-6 М4")</f>
        <v>Фреза кінцева монолітна ВК-6 М4</v>
      </c>
      <c r="C674" s="59" t="s">
        <v>6</v>
      </c>
      <c r="D674" s="59">
        <v>16</v>
      </c>
      <c r="E674" s="91" t="s">
        <v>319</v>
      </c>
    </row>
    <row r="675" spans="1:5">
      <c r="A675" s="21">
        <f t="shared" si="13"/>
        <v>20</v>
      </c>
      <c r="B675" s="85" t="str">
        <f ca="1">IFERROR(__xludf.DUMMYFUNCTION("GOOGLETRANSLATE(B3199:B3214,""RU"",""UK"")"),"Фреза кінцева монолітна ВК-8 М5")</f>
        <v>Фреза кінцева монолітна ВК-8 М5</v>
      </c>
      <c r="C675" s="59" t="s">
        <v>6</v>
      </c>
      <c r="D675" s="59">
        <v>63</v>
      </c>
      <c r="E675" s="91">
        <v>180</v>
      </c>
    </row>
    <row r="676" spans="1:5">
      <c r="A676" s="21">
        <f t="shared" si="13"/>
        <v>21</v>
      </c>
      <c r="B676" s="85" t="str">
        <f ca="1">IFERROR(__xludf.DUMMYFUNCTION("GOOGLETRANSLATE(B3200:B3215,""RU"",""UK"")"),"Фреза кінцева монолітна ВК-8 М6")</f>
        <v>Фреза кінцева монолітна ВК-8 М6</v>
      </c>
      <c r="C676" s="59" t="s">
        <v>6</v>
      </c>
      <c r="D676" s="59">
        <v>42</v>
      </c>
      <c r="E676" s="91" t="s">
        <v>220</v>
      </c>
    </row>
    <row r="677" spans="1:5">
      <c r="A677" s="21">
        <f t="shared" si="13"/>
        <v>22</v>
      </c>
      <c r="B677" s="85" t="str">
        <f ca="1">IFERROR(__xludf.DUMMYFUNCTION("GOOGLETRANSLATE(B3201:B3216,""RU"",""UK"")"),"Фреза кінцева монолітна ВК6М М8 (5-ти пров.)")</f>
        <v>Фреза кінцева монолітна ВК6М М8 (5-ти пров.)</v>
      </c>
      <c r="C677" s="37" t="s">
        <v>6</v>
      </c>
      <c r="D677" s="37">
        <v>0</v>
      </c>
      <c r="E677" s="92" t="s">
        <v>140</v>
      </c>
    </row>
    <row r="678" spans="1:5">
      <c r="A678" s="21">
        <f t="shared" si="13"/>
        <v>23</v>
      </c>
      <c r="B678" s="85" t="str">
        <f ca="1">IFERROR(__xludf.DUMMYFUNCTION("GOOGLETRANSLATE(B3202:B3217,""RU"",""UK"")"),"Фреза кінцева монолітна ВК-8 М10")</f>
        <v>Фреза кінцева монолітна ВК-8 М10</v>
      </c>
      <c r="C678" s="59" t="s">
        <v>6</v>
      </c>
      <c r="D678" s="59">
        <v>9</v>
      </c>
      <c r="E678" s="91" t="s">
        <v>3236</v>
      </c>
    </row>
    <row r="679" spans="1:5">
      <c r="A679" s="21">
        <f t="shared" si="13"/>
        <v>24</v>
      </c>
      <c r="B679" s="85" t="str">
        <f ca="1">IFERROR(__xludf.DUMMYFUNCTION("GOOGLETRANSLATE(B3203:B3218,""RU"",""UK"")"),"Фреза кінцева монолітна ВК-8 М12 КМ2/КМ3")</f>
        <v>Фреза кінцева монолітна ВК-8 М12 КМ2/КМ3</v>
      </c>
      <c r="C679" s="59" t="s">
        <v>6</v>
      </c>
      <c r="D679" s="59" t="s">
        <v>707</v>
      </c>
      <c r="E679" s="91" t="s">
        <v>106</v>
      </c>
    </row>
    <row r="680" spans="1:5">
      <c r="A680" s="21">
        <f t="shared" si="13"/>
        <v>25</v>
      </c>
      <c r="B680" s="85" t="str">
        <f ca="1">IFERROR(__xludf.DUMMYFUNCTION("GOOGLETRANSLATE(B3204:B3219,""RU"",""UK"")"),"Фреза кінцева монолітна ВК-8 М14 КМ3")</f>
        <v>Фреза кінцева монолітна ВК-8 М14 КМ3</v>
      </c>
      <c r="C680" s="59" t="s">
        <v>6</v>
      </c>
      <c r="D680" s="59">
        <v>2</v>
      </c>
      <c r="E680" s="91" t="s">
        <v>22</v>
      </c>
    </row>
    <row r="681" spans="1:5">
      <c r="A681" s="21">
        <f t="shared" si="13"/>
        <v>26</v>
      </c>
      <c r="B681" s="85" t="str">
        <f ca="1">IFERROR(__xludf.DUMMYFUNCTION("GOOGLETRANSLATE(B3205:B3220,""RU"",""UK"")"),"Фреза кінцева монолітна ВК-8 М16 КМ3")</f>
        <v>Фреза кінцева монолітна ВК-8 М16 КМ3</v>
      </c>
      <c r="C681" s="59" t="s">
        <v>6</v>
      </c>
      <c r="D681" s="59">
        <v>3</v>
      </c>
      <c r="E681" s="91" t="s">
        <v>18</v>
      </c>
    </row>
    <row r="682" spans="1:5">
      <c r="A682" s="21">
        <f t="shared" si="13"/>
        <v>27</v>
      </c>
      <c r="B682" s="85" t="str">
        <f ca="1">IFERROR(__xludf.DUMMYFUNCTION("GOOGLETRANSLATE(B3206:B3221,""RU"",""UK"")"),"Фреза кінцева монолітна ВК-8 М18 КМ3")</f>
        <v>Фреза кінцева монолітна ВК-8 М18 КМ3</v>
      </c>
      <c r="C682" s="59" t="s">
        <v>6</v>
      </c>
      <c r="D682" s="59">
        <v>5</v>
      </c>
      <c r="E682" s="91" t="s">
        <v>27</v>
      </c>
    </row>
    <row r="683" spans="1:5">
      <c r="A683" s="21">
        <f t="shared" si="13"/>
        <v>28</v>
      </c>
      <c r="B683" s="164" t="str">
        <f ca="1">IFERROR(__xludf.DUMMYFUNCTION("GOOGLETRANSLATE(B3207:B3222,""RU"",""UK"")"),"Фреза кінцева монолітна ВК-8 М20 КМ3")</f>
        <v>Фреза кінцева монолітна ВК-8 М20 КМ3</v>
      </c>
      <c r="C683" s="59" t="s">
        <v>6</v>
      </c>
      <c r="D683" s="59">
        <v>0</v>
      </c>
      <c r="E683" s="91" t="s">
        <v>33</v>
      </c>
    </row>
    <row r="684" spans="1:5">
      <c r="A684" s="21">
        <f t="shared" si="13"/>
        <v>29</v>
      </c>
      <c r="B684" s="85" t="str">
        <f ca="1">IFERROR(__xludf.DUMMYFUNCTION("GOOGLETRANSLATE(B3207:B3222,""RU"",""UK"")"),"Фреза кінцева монолітна ВК-8 М40х70мм КМ5, 5ти перова")</f>
        <v>Фреза кінцева монолітна ВК-8 М40х70мм КМ5, 5ти перова</v>
      </c>
      <c r="C684" s="59" t="s">
        <v>6</v>
      </c>
      <c r="D684" s="59">
        <v>2</v>
      </c>
      <c r="E684" s="91">
        <v>900</v>
      </c>
    </row>
    <row r="685" spans="1:5">
      <c r="A685" s="21">
        <f t="shared" si="13"/>
        <v>30</v>
      </c>
      <c r="B685" s="85" t="str">
        <f ca="1">IFERROR(__xludf.DUMMYFUNCTION("GOOGLETRANSLATE(B3208:B3223,""RU"",""UK"")"),"Фреза кінцева М16 ВК-8 к/хв")</f>
        <v>Фреза кінцева М16 ВК-8 к/хв</v>
      </c>
      <c r="C685" s="59" t="s">
        <v>6</v>
      </c>
      <c r="D685" s="59">
        <v>27</v>
      </c>
      <c r="E685" s="91" t="s">
        <v>20</v>
      </c>
    </row>
    <row r="686" spans="1:5">
      <c r="A686" s="21">
        <f t="shared" si="13"/>
        <v>31</v>
      </c>
      <c r="B686" s="85" t="str">
        <f ca="1">IFERROR(__xludf.DUMMYFUNCTION("GOOGLETRANSLATE(B3209:B3224,""RU"",""UK"")"),"Фреза кінцева з міх. кріп. 3х гр. М16 ВК-8 к/хв")</f>
        <v>Фреза кінцева з міх. кріп. 3х гр. М16 ВК-8 к/хв</v>
      </c>
      <c r="C686" s="59" t="s">
        <v>6</v>
      </c>
      <c r="D686" s="59">
        <v>2</v>
      </c>
      <c r="E686" s="91" t="s">
        <v>1713</v>
      </c>
    </row>
    <row r="687" spans="1:5">
      <c r="A687" s="21">
        <f t="shared" si="13"/>
        <v>32</v>
      </c>
      <c r="B687" s="85" t="str">
        <f ca="1">IFERROR(__xludf.DUMMYFUNCTION("GOOGLETRANSLATE(B3210:B3225,""RU"",""UK"")"),"Фреза кінцева ВК-8 М18 к/хв")</f>
        <v>Фреза кінцева ВК-8 М18 к/хв</v>
      </c>
      <c r="C687" s="59" t="s">
        <v>6</v>
      </c>
      <c r="D687" s="59">
        <v>6</v>
      </c>
      <c r="E687" s="91" t="s">
        <v>24</v>
      </c>
    </row>
    <row r="688" spans="1:5">
      <c r="A688" s="21">
        <f t="shared" si="13"/>
        <v>33</v>
      </c>
      <c r="B688" s="85" t="str">
        <f ca="1">IFERROR(__xludf.DUMMYFUNCTION("GOOGLETRANSLATE(B3211:B3226,""RU"",""UK"")"),"Фреза кінцева ВК-8 М20 к/хв")</f>
        <v>Фреза кінцева ВК-8 М20 к/хв</v>
      </c>
      <c r="C688" s="59" t="s">
        <v>6</v>
      </c>
      <c r="D688" s="59">
        <v>58</v>
      </c>
      <c r="E688" s="91" t="s">
        <v>106</v>
      </c>
    </row>
    <row r="689" spans="1:5">
      <c r="A689" s="21">
        <f t="shared" si="13"/>
        <v>34</v>
      </c>
      <c r="B689" s="85" t="str">
        <f ca="1">IFERROR(__xludf.DUMMYFUNCTION("GOOGLETRANSLATE(B3212:B3227,""RU"",""UK"")"),"Фреза кінцева ВК-8 М25 ц/хв")</f>
        <v>Фреза кінцева ВК-8 М25 ц/хв</v>
      </c>
      <c r="C689" s="59" t="s">
        <v>6</v>
      </c>
      <c r="D689" s="59">
        <v>1</v>
      </c>
      <c r="E689" s="91" t="s">
        <v>4264</v>
      </c>
    </row>
    <row r="690" spans="1:5">
      <c r="A690" s="21">
        <f t="shared" si="13"/>
        <v>35</v>
      </c>
      <c r="B690" s="85" t="str">
        <f ca="1">IFERROR(__xludf.DUMMYFUNCTION("GOOGLETRANSLATE(B3213:B3228,""RU"",""UK"")"),"Фреза кінцева ВК-8 М25 к/хв")</f>
        <v>Фреза кінцева ВК-8 М25 к/хв</v>
      </c>
      <c r="C690" s="59" t="s">
        <v>6</v>
      </c>
      <c r="D690" s="59">
        <v>42</v>
      </c>
      <c r="E690" s="91" t="s">
        <v>4208</v>
      </c>
    </row>
    <row r="691" spans="1:5">
      <c r="A691" s="21">
        <f t="shared" si="13"/>
        <v>36</v>
      </c>
      <c r="B691" s="85" t="str">
        <f ca="1">IFERROR(__xludf.DUMMYFUNCTION("GOOGLETRANSLATE(B3214:B3229,""RU"",""UK"")"),"Фреза кінцева ВК-8 М31,5 к/хв.")</f>
        <v>Фреза кінцева ВК-8 М31,5 к/хв.</v>
      </c>
      <c r="C691" s="59" t="s">
        <v>6</v>
      </c>
      <c r="D691" s="59">
        <v>37</v>
      </c>
      <c r="E691" s="91" t="s">
        <v>842</v>
      </c>
    </row>
    <row r="692" spans="1:5">
      <c r="A692" s="21">
        <f t="shared" si="13"/>
        <v>37</v>
      </c>
      <c r="B692" s="85" t="str">
        <f ca="1">IFERROR(__xludf.DUMMYFUNCTION("GOOGLETRANSLATE(B3215:B3230,""RU"",""UK"")"),"Фреза кінцева ВК-8 М32 к/хв.")</f>
        <v>Фреза кінцева ВК-8 М32 к/хв.</v>
      </c>
      <c r="C692" s="59" t="s">
        <v>6</v>
      </c>
      <c r="D692" s="59">
        <v>19</v>
      </c>
      <c r="E692" s="91" t="s">
        <v>138</v>
      </c>
    </row>
    <row r="693" spans="1:5">
      <c r="A693" s="21">
        <f t="shared" si="13"/>
        <v>38</v>
      </c>
      <c r="B693" s="85" t="str">
        <f ca="1">IFERROR(__xludf.DUMMYFUNCTION("GOOGLETRANSLATE(B3216:B3231,""RU"",""UK"")"),"Фреза кінцева ВК-8 М40 к/хв.")</f>
        <v>Фреза кінцева ВК-8 М40 к/хв.</v>
      </c>
      <c r="C693" s="59" t="s">
        <v>6</v>
      </c>
      <c r="D693" s="59">
        <v>5</v>
      </c>
      <c r="E693" s="91" t="s">
        <v>283</v>
      </c>
    </row>
    <row r="694" spans="1:5">
      <c r="A694" s="21">
        <f t="shared" si="13"/>
        <v>39</v>
      </c>
      <c r="B694" s="85" t="str">
        <f ca="1">IFERROR(__xludf.DUMMYFUNCTION("GOOGLETRANSLATE(B3217:B3232,""RU"",""UK"")"),"Фреза кінцева ВК-8 М42 к/хв.")</f>
        <v>Фреза кінцева ВК-8 М42 к/хв.</v>
      </c>
      <c r="C694" s="59" t="s">
        <v>6</v>
      </c>
      <c r="D694" s="59">
        <v>13</v>
      </c>
      <c r="E694" s="91" t="s">
        <v>283</v>
      </c>
    </row>
    <row r="695" spans="1:5">
      <c r="A695" s="21">
        <f t="shared" si="13"/>
        <v>40</v>
      </c>
      <c r="B695" s="85" t="str">
        <f ca="1">IFERROR(__xludf.DUMMYFUNCTION("GOOGLETRANSLATE(B3218:B3233,""RU"",""UK"")"),"Фреза кінцева ВК-8 М50 к/хв. / КМ5")</f>
        <v>Фреза кінцева ВК-8 М50 к/хв. / КМ5</v>
      </c>
      <c r="C695" s="59" t="s">
        <v>6</v>
      </c>
      <c r="D695" s="59" t="s">
        <v>4271</v>
      </c>
      <c r="E695" s="91" t="s">
        <v>80</v>
      </c>
    </row>
    <row r="696" spans="1:5">
      <c r="A696" s="21">
        <f t="shared" si="13"/>
        <v>41</v>
      </c>
      <c r="B696" s="85" t="str">
        <f ca="1">IFERROR(__xludf.DUMMYFUNCTION("GOOGLETRANSLATE(B3219:B3234,""RU"",""UK"")"),"Фреза кінцева ВК-8 М60 к/хв")</f>
        <v>Фреза кінцева ВК-8 М60 к/хв</v>
      </c>
      <c r="C696" s="59" t="s">
        <v>6</v>
      </c>
      <c r="D696" s="59">
        <v>7</v>
      </c>
      <c r="E696" s="91" t="s">
        <v>3424</v>
      </c>
    </row>
    <row r="697" spans="1:5">
      <c r="A697" s="21">
        <f t="shared" si="13"/>
        <v>42</v>
      </c>
      <c r="B697" s="85" t="str">
        <f ca="1">IFERROR(__xludf.DUMMYFUNCTION("GOOGLETRANSLATE(B3220:B3235,""RU"",""UK"")"),"Фреза кінцева ВК-8 М70 к/хв")</f>
        <v>Фреза кінцева ВК-8 М70 к/хв</v>
      </c>
      <c r="C697" s="59" t="s">
        <v>6</v>
      </c>
      <c r="D697" s="59">
        <v>1</v>
      </c>
      <c r="E697" s="91" t="s">
        <v>1113</v>
      </c>
    </row>
    <row r="698" spans="1:5">
      <c r="A698" s="21">
        <f t="shared" si="13"/>
        <v>43</v>
      </c>
      <c r="B698" s="85" t="str">
        <f ca="1">IFERROR(__xludf.DUMMYFUNCTION("GOOGLETRANSLATE(B3221:B3236,""RU"",""UK"")"),"Фреза кінцева ВК-8 М120 к/хв")</f>
        <v>Фреза кінцева ВК-8 М120 к/хв</v>
      </c>
      <c r="C698" s="59" t="s">
        <v>6</v>
      </c>
      <c r="D698" s="59">
        <v>1</v>
      </c>
      <c r="E698" s="91" t="s">
        <v>157</v>
      </c>
    </row>
    <row r="699" spans="1:5">
      <c r="A699" s="21">
        <f t="shared" si="13"/>
        <v>44</v>
      </c>
      <c r="B699" s="85" t="str">
        <f ca="1">IFERROR(__xludf.DUMMYFUNCTION("GOOGLETRANSLATE(B3222:B3237,""RU"",""UK"")"),"Фреза кінцева Т5К10 М16 к/хв.")</f>
        <v>Фреза кінцева Т5К10 М16 к/хв.</v>
      </c>
      <c r="C699" s="59" t="s">
        <v>6</v>
      </c>
      <c r="D699" s="59">
        <v>31</v>
      </c>
      <c r="E699" s="91" t="s">
        <v>3236</v>
      </c>
    </row>
    <row r="700" spans="1:5">
      <c r="A700" s="21">
        <f t="shared" si="13"/>
        <v>45</v>
      </c>
      <c r="B700" s="85" t="str">
        <f ca="1">IFERROR(__xludf.DUMMYFUNCTION("GOOGLETRANSLATE(B3223:B3238,""RU"",""UK"")"),"Фреза кінцева Т5К10 М25 к/хв.")</f>
        <v>Фреза кінцева Т5К10 М25 к/хв.</v>
      </c>
      <c r="C700" s="59" t="s">
        <v>6</v>
      </c>
      <c r="D700" s="59">
        <v>28</v>
      </c>
      <c r="E700" s="91" t="s">
        <v>4208</v>
      </c>
    </row>
    <row r="701" spans="1:5">
      <c r="A701" s="21">
        <f t="shared" si="13"/>
        <v>46</v>
      </c>
      <c r="B701" s="85" t="str">
        <f ca="1">IFERROR(__xludf.DUMMYFUNCTION("GOOGLETRANSLATE(B3224:B3239,""RU"",""UK"")"),"Фреза кінцева Т5К10 М31,5 к/хв.")</f>
        <v>Фреза кінцева Т5К10 М31,5 к/хв.</v>
      </c>
      <c r="C701" s="59" t="s">
        <v>6</v>
      </c>
      <c r="D701" s="59">
        <v>0</v>
      </c>
      <c r="E701" s="91" t="s">
        <v>138</v>
      </c>
    </row>
    <row r="702" spans="1:5">
      <c r="A702" s="21">
        <f t="shared" si="13"/>
        <v>47</v>
      </c>
      <c r="B702" s="85" t="str">
        <f ca="1">IFERROR(__xludf.DUMMYFUNCTION("GOOGLETRANSLATE(B3225:B3240,""RU"",""UK"")"),"Фреза кінцева Т5К10 М40 к/хв.")</f>
        <v>Фреза кінцева Т5К10 М40 к/хв.</v>
      </c>
      <c r="C702" s="59" t="s">
        <v>6</v>
      </c>
      <c r="D702" s="59">
        <v>37</v>
      </c>
      <c r="E702" s="91" t="s">
        <v>283</v>
      </c>
    </row>
    <row r="703" spans="1:5">
      <c r="A703" s="21">
        <f t="shared" si="13"/>
        <v>48</v>
      </c>
      <c r="B703" s="85" t="str">
        <f ca="1">IFERROR(__xludf.DUMMYFUNCTION("GOOGLETRANSLATE(B3226:B3241,""RU"",""UK"")"),"Фреза кінцева Т5К10 М50 КМ5")</f>
        <v>Фреза кінцева Т5К10 М50 КМ5</v>
      </c>
      <c r="C703" s="59" t="s">
        <v>6</v>
      </c>
      <c r="D703" s="59">
        <v>5</v>
      </c>
      <c r="E703" s="91" t="s">
        <v>80</v>
      </c>
    </row>
    <row r="704" spans="1:5">
      <c r="A704" s="21">
        <f t="shared" si="13"/>
        <v>49</v>
      </c>
      <c r="B704" s="85" t="str">
        <f ca="1">IFERROR(__xludf.DUMMYFUNCTION("GOOGLETRANSLATE(B3227:B3242,""RU"",""UK"")"),"Фреза кінцева з мех. кріпленням 5-гр М40 Т5К10 к/хв. / Ромб. М40 ВК-8 до/хв.")</f>
        <v>Фреза кінцева з мех. кріпленням 5-гр М40 Т5К10 к/хв. / Ромб. М40 ВК-8 до/хв.</v>
      </c>
      <c r="C704" s="59" t="s">
        <v>6</v>
      </c>
      <c r="D704" s="59" t="s">
        <v>1422</v>
      </c>
      <c r="E704" s="91">
        <v>500</v>
      </c>
    </row>
    <row r="705" spans="1:5">
      <c r="A705" s="21">
        <f t="shared" si="13"/>
        <v>50</v>
      </c>
      <c r="B705" s="85" t="str">
        <f ca="1">IFERROR(__xludf.DUMMYFUNCTION("GOOGLETRANSLATE(B3228:B3243,""RU"",""UK"")"),"Фреза кінцева з мех. кріпленням 5-гр М50 Т5К10 к/хв. .")</f>
        <v>Фреза кінцева з мех. кріпленням 5-гр М50 Т5К10 к/хв. .</v>
      </c>
      <c r="C705" s="59" t="s">
        <v>6</v>
      </c>
      <c r="D705" s="59">
        <v>68</v>
      </c>
      <c r="E705" s="91" t="s">
        <v>283</v>
      </c>
    </row>
    <row r="706" spans="1:5">
      <c r="A706" s="21">
        <f t="shared" si="13"/>
        <v>51</v>
      </c>
      <c r="B706" s="85" t="str">
        <f ca="1">IFERROR(__xludf.DUMMYFUNCTION("GOOGLETRANSLATE(B3229:B3244,""RU"",""UK"")"),"Фреза кінцева з мех. кріпленням 4-гр М50 Т/с к/хв. (+10 пластин)")</f>
        <v>Фреза кінцева з мех. кріпленням 4-гр М50 Т/с к/хв. (+10 пластин)</v>
      </c>
      <c r="C706" s="59" t="s">
        <v>6</v>
      </c>
      <c r="D706" s="59">
        <v>1</v>
      </c>
      <c r="E706" s="91" t="s">
        <v>138</v>
      </c>
    </row>
    <row r="707" spans="1:5">
      <c r="A707" s="21">
        <f t="shared" si="13"/>
        <v>52</v>
      </c>
      <c r="B707" s="85" t="str">
        <f ca="1">IFERROR(__xludf.DUMMYFUNCTION("GOOGLETRANSLATE(B3230:B3245,""RU"",""UK"")"),"Фреза кінцева з мех. кріпленням 5-гр М63 к/хв")</f>
        <v>Фреза кінцева з мех. кріпленням 5-гр М63 к/хв</v>
      </c>
      <c r="C707" s="59" t="s">
        <v>6</v>
      </c>
      <c r="D707" s="160">
        <v>10</v>
      </c>
      <c r="E707" s="91" t="s">
        <v>102</v>
      </c>
    </row>
    <row r="708" spans="1:5">
      <c r="A708" s="21">
        <f t="shared" si="13"/>
        <v>53</v>
      </c>
      <c r="B708" s="85" t="str">
        <f ca="1">IFERROR(__xludf.DUMMYFUNCTION("GOOGLETRANSLATE(B3230:B3245,""RU"",""UK"")"),"Фреза кінцева з мех. кріпленням 4гр. М63 К40")</f>
        <v>Фреза кінцева з мех. кріпленням 4гр. М63 К40</v>
      </c>
      <c r="C708" s="59" t="s">
        <v>6</v>
      </c>
      <c r="D708" s="160">
        <v>1</v>
      </c>
      <c r="E708" s="91" t="s">
        <v>102</v>
      </c>
    </row>
    <row r="709" spans="1:5">
      <c r="A709" s="21">
        <f t="shared" si="13"/>
        <v>54</v>
      </c>
      <c r="B709" s="85" t="str">
        <f ca="1">IFERROR(__xludf.DUMMYFUNCTION("GOOGLETRANSLATE(B3231:B3246,""RU"",""UK"")"),"Фреза кінцева з мех. кріпленням т/с круглі пласт. М63 КМ4/КМ5")</f>
        <v>Фреза кінцева з мех. кріпленням т/с круглі пласт. М63 КМ4/КМ5</v>
      </c>
      <c r="C709" s="59" t="s">
        <v>6</v>
      </c>
      <c r="D709" s="59" t="s">
        <v>749</v>
      </c>
      <c r="E709" s="91" t="s">
        <v>111</v>
      </c>
    </row>
    <row r="710" spans="1:5">
      <c r="A710" s="21">
        <f t="shared" si="13"/>
        <v>55</v>
      </c>
      <c r="B710" s="164" t="str">
        <f ca="1">IFERROR(__xludf.DUMMYFUNCTION("GOOGLETRANSLATE(B3232:B3247,""RU"",""UK"")"),"Фреза торцева з мех. кріпленням 5-гр т/с М100")</f>
        <v>Фреза торцева з мех. кріпленням 5-гр т/с М100</v>
      </c>
      <c r="C710" s="59" t="s">
        <v>6</v>
      </c>
      <c r="D710" s="59">
        <v>0</v>
      </c>
      <c r="E710" s="91">
        <v>0</v>
      </c>
    </row>
    <row r="711" spans="1:5">
      <c r="A711" s="21">
        <f t="shared" si="13"/>
        <v>56</v>
      </c>
      <c r="B711" s="164" t="str">
        <f ca="1">IFERROR(__xludf.DUMMYFUNCTION("GOOGLETRANSLATE(B3233:B3248,""RU"",""UK"")"),"Фреза торцева з мех. кріпленням 5-гр т/с М125")</f>
        <v>Фреза торцева з мех. кріпленням 5-гр т/с М125</v>
      </c>
      <c r="C711" s="59" t="s">
        <v>6</v>
      </c>
      <c r="D711" s="59">
        <v>0</v>
      </c>
      <c r="E711" s="91">
        <v>2220</v>
      </c>
    </row>
    <row r="712" spans="1:5">
      <c r="A712" s="21">
        <f t="shared" si="13"/>
        <v>57</v>
      </c>
      <c r="B712" s="85" t="str">
        <f ca="1">IFERROR(__xludf.DUMMYFUNCTION("GOOGLETRANSLATE(B3234:B3249,""RU"",""UK"")"),"Фреза торцева з мех. кріпленням 5-гр т/с М160")</f>
        <v>Фреза торцева з мех. кріпленням 5-гр т/с М160</v>
      </c>
      <c r="C712" s="59" t="s">
        <v>6</v>
      </c>
      <c r="D712" s="59">
        <v>4</v>
      </c>
      <c r="E712" s="91">
        <v>2400</v>
      </c>
    </row>
    <row r="713" spans="1:5">
      <c r="A713" s="21">
        <f t="shared" si="13"/>
        <v>58</v>
      </c>
      <c r="B713" s="164" t="str">
        <f ca="1">IFERROR(__xludf.DUMMYFUNCTION("GOOGLETRANSLATE(B3235:B3250,""RU"",""UK"")"),"Фреза торцева з мех. кріпленням 5-гр т/с М200")</f>
        <v>Фреза торцева з мех. кріпленням 5-гр т/с М200</v>
      </c>
      <c r="C713" s="59" t="s">
        <v>6</v>
      </c>
      <c r="D713" s="59">
        <v>0</v>
      </c>
      <c r="E713" s="91">
        <v>0</v>
      </c>
    </row>
    <row r="714" spans="1:5">
      <c r="A714" s="21">
        <f t="shared" si="13"/>
        <v>59</v>
      </c>
      <c r="B714" s="85" t="str">
        <f ca="1">IFERROR(__xludf.DUMMYFUNCTION("GOOGLETRANSLATE(B3236:B3251,""RU"",""UK"")"),"Фреза торцева з мех. кріпленням 4-гр т/с М125")</f>
        <v>Фреза торцева з мех. кріпленням 4-гр т/с М125</v>
      </c>
      <c r="C714" s="59" t="s">
        <v>6</v>
      </c>
      <c r="D714" s="26">
        <v>2</v>
      </c>
      <c r="E714" s="91" t="s">
        <v>1897</v>
      </c>
    </row>
    <row r="715" spans="1:5">
      <c r="A715" s="21">
        <f t="shared" si="13"/>
        <v>60</v>
      </c>
      <c r="B715" s="85" t="str">
        <f ca="1">IFERROR(__xludf.DUMMYFUNCTION("GOOGLETRANSLATE(B3237:B3252,""RU"",""UK"")"),"Фреза торцева з мех. кріпленням 4-гр. М125 КНТ16")</f>
        <v>Фреза торцева з мех. кріпленням 4-гр. М125 КНТ16</v>
      </c>
      <c r="C715" s="59" t="s">
        <v>6</v>
      </c>
      <c r="D715" s="59">
        <v>1</v>
      </c>
      <c r="E715" s="91" t="s">
        <v>948</v>
      </c>
    </row>
    <row r="716" spans="1:5">
      <c r="A716" s="21">
        <f t="shared" si="13"/>
        <v>61</v>
      </c>
      <c r="B716" s="85" t="str">
        <f ca="1">IFERROR(__xludf.DUMMYFUNCTION("GOOGLETRANSLATE(B3238:B3253,""RU"",""UK"")"),"Фреза торцева з мех. кріпленням 4-гр М160 КНТ16")</f>
        <v>Фреза торцева з мех. кріпленням 4-гр М160 КНТ16</v>
      </c>
      <c r="C716" s="59" t="s">
        <v>6</v>
      </c>
      <c r="D716" s="59">
        <v>3</v>
      </c>
      <c r="E716" s="91" t="s">
        <v>10</v>
      </c>
    </row>
    <row r="717" spans="1:5">
      <c r="A717" s="21">
        <f t="shared" si="13"/>
        <v>62</v>
      </c>
      <c r="B717" s="85" t="str">
        <f ca="1">IFERROR(__xludf.DUMMYFUNCTION("GOOGLETRANSLATE(B3239:B3254,""RU"",""UK"")"),"Фреза торцева з мех. кріпленням 4-гр М200 КНТ16")</f>
        <v>Фреза торцева з мех. кріпленням 4-гр М200 КНТ16</v>
      </c>
      <c r="C717" s="59" t="s">
        <v>6</v>
      </c>
      <c r="D717" s="59">
        <v>3</v>
      </c>
      <c r="E717" s="91" t="s">
        <v>73</v>
      </c>
    </row>
    <row r="718" spans="1:5">
      <c r="A718" s="21">
        <f t="shared" si="13"/>
        <v>63</v>
      </c>
      <c r="B718" s="85" t="str">
        <f ca="1">IFERROR(__xludf.DUMMYFUNCTION("GOOGLETRANSLATE(B3240:B3255,""RU"",""UK"")"),"Фреза торцева з мех. кріпленням 4-гр-ромб М125 ТН20")</f>
        <v>Фреза торцева з мех. кріпленням 4-гр-ромб М125 ТН20</v>
      </c>
      <c r="C718" s="59" t="s">
        <v>6</v>
      </c>
      <c r="D718" s="26">
        <v>4</v>
      </c>
      <c r="E718" s="91" t="s">
        <v>71</v>
      </c>
    </row>
    <row r="719" spans="1:5">
      <c r="A719" s="21">
        <f t="shared" si="13"/>
        <v>64</v>
      </c>
      <c r="B719" s="85" t="str">
        <f ca="1">IFERROR(__xludf.DUMMYFUNCTION("GOOGLETRANSLATE(B3241:B3256,""RU"",""UK"")"),"Фреза торцева з мех. кріпленням 4-гр-ромб М125 ВОК71")</f>
        <v>Фреза торцева з мех. кріпленням 4-гр-ромб М125 ВОК71</v>
      </c>
      <c r="C719" s="59" t="s">
        <v>6</v>
      </c>
      <c r="D719" s="26">
        <v>1</v>
      </c>
      <c r="E719" s="91" t="s">
        <v>71</v>
      </c>
    </row>
    <row r="720" spans="1:5">
      <c r="A720" s="21">
        <f t="shared" si="13"/>
        <v>65</v>
      </c>
      <c r="B720" s="85" t="str">
        <f ca="1">IFERROR(__xludf.DUMMYFUNCTION("GOOGLETRANSLATE(B3242:B3257,""RU"",""UK"")"),"Фреза торцева з мех. кріпленням 4-гр т/с М160 ВОК71")</f>
        <v>Фреза торцева з мех. кріпленням 4-гр т/с М160 ВОК71</v>
      </c>
      <c r="C720" s="59" t="s">
        <v>6</v>
      </c>
      <c r="D720" s="59">
        <v>3</v>
      </c>
      <c r="E720" s="91" t="s">
        <v>75</v>
      </c>
    </row>
    <row r="721" spans="1:5">
      <c r="A721" s="21">
        <f t="shared" si="13"/>
        <v>66</v>
      </c>
      <c r="B721" s="195" t="str">
        <f ca="1">IFERROR(__xludf.DUMMYFUNCTION("GOOGLETRANSLATE(B3243:B3258,""RU"",""UK"")"),"Фреза торцева із пластинами надтвердих ситетичних матеріалів М125 ВОК71")</f>
        <v>Фреза торцева із пластинами надтвердих ситетичних матеріалів М125 ВОК71</v>
      </c>
      <c r="C721" s="59" t="s">
        <v>6</v>
      </c>
      <c r="D721" s="59">
        <v>1</v>
      </c>
      <c r="E721" s="91" t="s">
        <v>75</v>
      </c>
    </row>
    <row r="722" spans="1:5">
      <c r="A722" s="21">
        <f t="shared" si="13"/>
        <v>67</v>
      </c>
      <c r="B722" s="85" t="str">
        <f ca="1">IFERROR(__xludf.DUMMYFUNCTION("GOOGLETRANSLATE(B3244:B3259,""RU"",""UK"")"),"Фреза торцева з мех. кріпленням 4-гр т/с М160 КІБ")</f>
        <v>Фреза торцева з мех. кріпленням 4-гр т/с М160 КІБ</v>
      </c>
      <c r="C722" s="59" t="s">
        <v>6</v>
      </c>
      <c r="D722" s="59">
        <v>2</v>
      </c>
      <c r="E722" s="91" t="s">
        <v>75</v>
      </c>
    </row>
    <row r="723" spans="1:5">
      <c r="A723" s="21">
        <f t="shared" si="13"/>
        <v>68</v>
      </c>
      <c r="B723" s="85" t="str">
        <f ca="1">IFERROR(__xludf.DUMMYFUNCTION("GOOGLETRANSLATE(B3245:B3260,""RU"",""UK"")"),"Фреза торцева з мех. кріпленням швидкісна (001) М100 ВК8")</f>
        <v>Фреза торцева з мех. кріпленням швидкісна (001) М100 ВК8</v>
      </c>
      <c r="C723" s="59" t="s">
        <v>6</v>
      </c>
      <c r="D723" s="59">
        <v>2</v>
      </c>
      <c r="E723" s="91" t="s">
        <v>33</v>
      </c>
    </row>
    <row r="724" spans="1:5">
      <c r="A724" s="21">
        <f t="shared" ref="A724:A758" si="14">A723+1</f>
        <v>69</v>
      </c>
      <c r="B724" s="85" t="str">
        <f ca="1">IFERROR(__xludf.DUMMYFUNCTION("GOOGLETRANSLATE(B3246:B3261,""RU"",""UK"")"),"Фреза торцева з мех. кріпленням швидкісна (003) М125 ВК8")</f>
        <v>Фреза торцева з мех. кріпленням швидкісна (003) М125 ВК8</v>
      </c>
      <c r="C724" s="59" t="s">
        <v>6</v>
      </c>
      <c r="D724" s="59">
        <v>9</v>
      </c>
      <c r="E724" s="91" t="s">
        <v>4064</v>
      </c>
    </row>
    <row r="725" spans="1:5">
      <c r="A725" s="21">
        <f t="shared" si="14"/>
        <v>70</v>
      </c>
      <c r="B725" s="85" t="str">
        <f ca="1">IFERROR(__xludf.DUMMYFUNCTION("GOOGLETRANSLATE(B3247:B3262,""RU"",""UK"")"),"Фреза торцева з мех. кріпленням швидкісна (003) М160 Т5К10")</f>
        <v>Фреза торцева з мех. кріпленням швидкісна (003) М160 Т5К10</v>
      </c>
      <c r="C725" s="59" t="s">
        <v>6</v>
      </c>
      <c r="D725" s="59">
        <v>15</v>
      </c>
      <c r="E725" s="91" t="s">
        <v>29</v>
      </c>
    </row>
    <row r="726" spans="1:5">
      <c r="A726" s="21">
        <f t="shared" si="14"/>
        <v>71</v>
      </c>
      <c r="B726" s="85" t="str">
        <f ca="1">IFERROR(__xludf.DUMMYFUNCTION("GOOGLETRANSLATE(B3248:B3263,""RU"",""UK"")"),"Фреза торцева з мех. кріпленням швидкісна (003) М160 ВК8")</f>
        <v>Фреза торцева з мех. кріпленням швидкісна (003) М160 ВК8</v>
      </c>
      <c r="C726" s="59" t="s">
        <v>6</v>
      </c>
      <c r="D726" s="59">
        <v>2</v>
      </c>
      <c r="E726" s="91" t="s">
        <v>29</v>
      </c>
    </row>
    <row r="727" spans="1:5">
      <c r="A727" s="21">
        <f t="shared" si="14"/>
        <v>72</v>
      </c>
      <c r="B727" s="85" t="str">
        <f ca="1">IFERROR(__xludf.DUMMYFUNCTION("GOOGLETRANSLATE(B3249:B3264,""RU"",""UK"")"),"Фреза торцева з мех. кріпленням рифлена (0013) М90 ВК8")</f>
        <v>Фреза торцева з мех. кріпленням рифлена (0013) М90 ВК8</v>
      </c>
      <c r="C727" s="59" t="s">
        <v>6</v>
      </c>
      <c r="D727" s="59">
        <v>4</v>
      </c>
      <c r="E727" s="91" t="s">
        <v>27</v>
      </c>
    </row>
    <row r="728" spans="1:5">
      <c r="A728" s="21">
        <f t="shared" si="14"/>
        <v>73</v>
      </c>
      <c r="B728" s="85" t="str">
        <f ca="1">IFERROR(__xludf.DUMMYFUNCTION("GOOGLETRANSLATE(B3250:B3265,""RU"",""UK"")"),"Фреза торцева з мех. кріпленням рифл. (0013) М100 Т5К10")</f>
        <v>Фреза торцева з мех. кріпленням рифл. (0013) М100 Т5К10</v>
      </c>
      <c r="C728" s="59" t="s">
        <v>6</v>
      </c>
      <c r="D728" s="59">
        <v>8</v>
      </c>
      <c r="E728" s="91" t="s">
        <v>1874</v>
      </c>
    </row>
    <row r="729" spans="1:5">
      <c r="A729" s="21">
        <f t="shared" si="14"/>
        <v>74</v>
      </c>
      <c r="B729" s="85" t="str">
        <f ca="1">IFERROR(__xludf.DUMMYFUNCTION("GOOGLETRANSLATE(B3251:B3266,""RU"",""UK"")"),"Фреза торцева з мех. кріпленням (0013) М100 ВК-8 / Т5К10")</f>
        <v>Фреза торцева з мех. кріпленням (0013) М100 ВК-8 / Т5К10</v>
      </c>
      <c r="C729" s="59" t="s">
        <v>6</v>
      </c>
      <c r="D729" s="59" t="s">
        <v>4306</v>
      </c>
      <c r="E729" s="91" t="s">
        <v>4307</v>
      </c>
    </row>
    <row r="730" spans="1:5">
      <c r="A730" s="21">
        <f t="shared" si="14"/>
        <v>75</v>
      </c>
      <c r="B730" s="85" t="str">
        <f ca="1">IFERROR(__xludf.DUMMYFUNCTION("GOOGLETRANSLATE(B3252:B3267,""RU"",""UK"")"),"Фреза торцева з мех. кріпленням (0013) М125 ВК-8/Т5К10")</f>
        <v>Фреза торцева з мех. кріпленням (0013) М125 ВК-8/Т5К10</v>
      </c>
      <c r="C730" s="59" t="s">
        <v>6</v>
      </c>
      <c r="D730" s="59" t="s">
        <v>3166</v>
      </c>
      <c r="E730" s="91" t="s">
        <v>111</v>
      </c>
    </row>
    <row r="731" spans="1:5">
      <c r="A731" s="21">
        <f t="shared" si="14"/>
        <v>76</v>
      </c>
      <c r="B731" s="85" t="str">
        <f ca="1">IFERROR(__xludf.DUMMYFUNCTION("GOOGLETRANSLATE(B3253:B3268,""RU"",""UK"")"),"Фреза торцева з мех. кріпленням (0015) М160 ВК-8")</f>
        <v>Фреза торцева з мех. кріпленням (0015) М160 ВК-8</v>
      </c>
      <c r="C731" s="59" t="s">
        <v>6</v>
      </c>
      <c r="D731" s="59">
        <v>13</v>
      </c>
      <c r="E731" s="91" t="s">
        <v>29</v>
      </c>
    </row>
    <row r="732" spans="1:5">
      <c r="A732" s="21">
        <f t="shared" si="14"/>
        <v>77</v>
      </c>
      <c r="B732" s="85" t="str">
        <f ca="1">IFERROR(__xludf.DUMMYFUNCTION("GOOGLETRANSLATE(B3254:B3269,""RU"",""UK"")"),"Фреза торцева з мех. кріпленням (0015) М200 ВК-8")</f>
        <v>Фреза торцева з мех. кріпленням (0015) М200 ВК-8</v>
      </c>
      <c r="C732" s="59" t="s">
        <v>6</v>
      </c>
      <c r="D732" s="59">
        <v>12</v>
      </c>
      <c r="E732" s="91" t="s">
        <v>3424</v>
      </c>
    </row>
    <row r="733" spans="1:5">
      <c r="A733" s="21">
        <f t="shared" si="14"/>
        <v>78</v>
      </c>
      <c r="B733" s="85" t="str">
        <f ca="1">IFERROR(__xludf.DUMMYFUNCTION("GOOGLETRANSLATE(B3255:B3270,""RU"",""UK"")"),"Фреза торцева з мех. кріпленням (0017) М250 ВК-8")</f>
        <v>Фреза торцева з мех. кріпленням (0017) М250 ВК-8</v>
      </c>
      <c r="C733" s="59" t="s">
        <v>6</v>
      </c>
      <c r="D733" s="59">
        <v>1</v>
      </c>
      <c r="E733" s="91" t="s">
        <v>71</v>
      </c>
    </row>
    <row r="734" spans="1:5">
      <c r="A734" s="21">
        <f t="shared" si="14"/>
        <v>79</v>
      </c>
      <c r="B734" s="85" t="str">
        <f ca="1">IFERROR(__xludf.DUMMYFUNCTION("GOOGLETRANSLATE(B3256:B3271,""RU"",""UK"")"),"Фреза торцева з мех. кріпленням (0155) М100 ВК-8")</f>
        <v>Фреза торцева з мех. кріпленням (0155) М100 ВК-8</v>
      </c>
      <c r="C734" s="59" t="s">
        <v>6</v>
      </c>
      <c r="D734" s="59">
        <v>2</v>
      </c>
      <c r="E734" s="91" t="s">
        <v>1874</v>
      </c>
    </row>
    <row r="735" spans="1:5">
      <c r="A735" s="21">
        <f t="shared" si="14"/>
        <v>80</v>
      </c>
      <c r="B735" s="85" t="str">
        <f ca="1">IFERROR(__xludf.DUMMYFUNCTION("GOOGLETRANSLATE(B3257:B3272,""RU"",""UK"")"),"Фреза торцева з мех. кріпленням М150 ВК-8")</f>
        <v>Фреза торцева з мех. кріпленням М150 ВК-8</v>
      </c>
      <c r="C735" s="59" t="s">
        <v>6</v>
      </c>
      <c r="D735" s="59">
        <v>1</v>
      </c>
      <c r="E735" s="91" t="s">
        <v>80</v>
      </c>
    </row>
    <row r="736" spans="1:5">
      <c r="A736" s="21">
        <f t="shared" si="14"/>
        <v>81</v>
      </c>
      <c r="B736" s="85" t="str">
        <f ca="1">IFERROR(__xludf.DUMMYFUNCTION("GOOGLETRANSLATE(B3258:B3273,""RU"",""UK"")"),"Фреза торцева з мех. кріпленням М80 ельбор")</f>
        <v>Фреза торцева з мех. кріпленням М80 ельбор</v>
      </c>
      <c r="C736" s="59" t="s">
        <v>6</v>
      </c>
      <c r="D736" s="59">
        <v>2</v>
      </c>
      <c r="E736" s="91" t="s">
        <v>80</v>
      </c>
    </row>
    <row r="737" spans="1:5">
      <c r="A737" s="21">
        <f t="shared" si="14"/>
        <v>82</v>
      </c>
      <c r="B737" s="85" t="str">
        <f ca="1">IFERROR(__xludf.DUMMYFUNCTION("GOOGLETRANSLATE(B3259:B3274,""RU"",""UK"")"),"Фреза торцева з мех. кріпленням М100 ельбор")</f>
        <v>Фреза торцева з мех. кріпленням М100 ельбор</v>
      </c>
      <c r="C737" s="59" t="s">
        <v>6</v>
      </c>
      <c r="D737" s="59">
        <v>1</v>
      </c>
      <c r="E737" s="91">
        <v>1500</v>
      </c>
    </row>
    <row r="738" spans="1:5">
      <c r="A738" s="21">
        <f t="shared" si="14"/>
        <v>83</v>
      </c>
      <c r="B738" s="85" t="str">
        <f ca="1">IFERROR(__xludf.DUMMYFUNCTION("GOOGLETRANSLATE(B3260:B3275,""RU"",""UK"")"),"Фреза торцева з мех. кріпленням М125 ельбор/композит")</f>
        <v>Фреза торцева з мех. кріпленням М125 ельбор/композит</v>
      </c>
      <c r="C738" s="59" t="s">
        <v>6</v>
      </c>
      <c r="D738" s="59" t="s">
        <v>700</v>
      </c>
      <c r="E738" s="91">
        <v>1800</v>
      </c>
    </row>
    <row r="739" spans="1:5">
      <c r="A739" s="21">
        <f t="shared" si="14"/>
        <v>84</v>
      </c>
      <c r="B739" s="85" t="str">
        <f ca="1">IFERROR(__xludf.DUMMYFUNCTION("GOOGLETRANSLATE(B3261:B3276,""RU"",""UK"")"),"Фреза торцева з мех. кріпленням М160 ельбор")</f>
        <v>Фреза торцева з мех. кріпленням М160 ельбор</v>
      </c>
      <c r="C739" s="59" t="s">
        <v>6</v>
      </c>
      <c r="D739" s="59">
        <v>2</v>
      </c>
      <c r="E739" s="91">
        <v>2400</v>
      </c>
    </row>
    <row r="740" spans="1:5">
      <c r="A740" s="21">
        <f t="shared" si="14"/>
        <v>85</v>
      </c>
      <c r="B740" s="85" t="str">
        <f ca="1">IFERROR(__xludf.DUMMYFUNCTION("GOOGLETRANSLATE(B3262:B3277,""RU"",""UK"")"),"Фреза торцева з мех. кріпленням М160 ельбор Б/в")</f>
        <v>Фреза торцева з мех. кріпленням М160 ельбор Б/в</v>
      </c>
      <c r="C740" s="59" t="s">
        <v>6</v>
      </c>
      <c r="D740" s="59">
        <v>1</v>
      </c>
      <c r="E740" s="91" t="s">
        <v>102</v>
      </c>
    </row>
    <row r="741" spans="1:5">
      <c r="A741" s="21">
        <f t="shared" si="14"/>
        <v>86</v>
      </c>
      <c r="B741" s="85" t="str">
        <f ca="1">IFERROR(__xludf.DUMMYFUNCTION("GOOGLETRANSLATE(B3263:B3278,""RU"",""UK"")"),"Фреза торцева з мех. кріпленням М200 ельбор")</f>
        <v>Фреза торцева з мех. кріпленням М200 ельбор</v>
      </c>
      <c r="C741" s="59" t="s">
        <v>6</v>
      </c>
      <c r="D741" s="59">
        <v>1</v>
      </c>
      <c r="E741" s="91">
        <v>2700</v>
      </c>
    </row>
    <row r="742" spans="1:5">
      <c r="A742" s="21">
        <f t="shared" si="14"/>
        <v>87</v>
      </c>
      <c r="B742" s="85" t="str">
        <f ca="1">IFERROR(__xludf.DUMMYFUNCTION("GOOGLETRANSLATE(B3264:B3279,""RU"",""UK"")"),"Фреза торцева насадна М90 Т5К10")</f>
        <v>Фреза торцева насадна М90 Т5К10</v>
      </c>
      <c r="C742" s="59" t="s">
        <v>6</v>
      </c>
      <c r="D742" s="59">
        <v>2</v>
      </c>
      <c r="E742" s="91" t="s">
        <v>4321</v>
      </c>
    </row>
    <row r="743" spans="1:5">
      <c r="A743" s="21">
        <f t="shared" si="14"/>
        <v>88</v>
      </c>
      <c r="B743" s="85" t="str">
        <f ca="1">IFERROR(__xludf.DUMMYFUNCTION("GOOGLETRANSLATE(B3265:B3280,""RU"",""UK"")"),"Фреза 3-х стор. 100х14 ВК-8")</f>
        <v>Фреза 3-х стор. 100х14 ВК-8</v>
      </c>
      <c r="C743" s="59" t="s">
        <v>6</v>
      </c>
      <c r="D743" s="59">
        <v>2</v>
      </c>
      <c r="E743" s="91" t="s">
        <v>4208</v>
      </c>
    </row>
    <row r="744" spans="1:5">
      <c r="A744" s="21">
        <f t="shared" si="14"/>
        <v>89</v>
      </c>
      <c r="B744" s="85" t="str">
        <f ca="1">IFERROR(__xludf.DUMMYFUNCTION("GOOGLETRANSLATE(B3266:B3281,""RU"",""UK"")"),"Фреза 3-х стор. 100х18 ВК-8/100х22 ВК-8")</f>
        <v>Фреза 3-х стор. 100х18 ВК-8/100х22 ВК-8</v>
      </c>
      <c r="C744" s="59" t="s">
        <v>6</v>
      </c>
      <c r="D744" s="59" t="s">
        <v>899</v>
      </c>
      <c r="E744" s="91">
        <v>500</v>
      </c>
    </row>
    <row r="745" spans="1:5">
      <c r="A745" s="21">
        <f t="shared" si="14"/>
        <v>90</v>
      </c>
      <c r="B745" s="85" t="str">
        <f ca="1">IFERROR(__xludf.DUMMYFUNCTION("GOOGLETRANSLATE(B3268:B3283,""RU"",""UK"")"),"Фреза 3-х стор. 110х12х40мм Т5К10")</f>
        <v>Фреза 3-х стор. 110х12х40мм Т5К10</v>
      </c>
      <c r="C745" s="59" t="s">
        <v>6</v>
      </c>
      <c r="D745" s="59">
        <v>1</v>
      </c>
      <c r="E745" s="91">
        <v>500</v>
      </c>
    </row>
    <row r="746" spans="1:5">
      <c r="A746" s="21">
        <f t="shared" si="14"/>
        <v>91</v>
      </c>
      <c r="B746" s="85" t="str">
        <f ca="1">IFERROR(__xludf.DUMMYFUNCTION("GOOGLETRANSLATE(B3267:B3282,""RU"",""UK"")"),"Фреза 3-х стор. 125х16 ВК-8/125х15 ВК8")</f>
        <v>Фреза 3-х стор. 125х16 ВК-8/125х15 ВК8</v>
      </c>
      <c r="C746" s="59" t="s">
        <v>6</v>
      </c>
      <c r="D746" s="59" t="s">
        <v>1318</v>
      </c>
      <c r="E746" s="91" t="s">
        <v>663</v>
      </c>
    </row>
    <row r="747" spans="1:5">
      <c r="A747" s="21">
        <f t="shared" si="14"/>
        <v>92</v>
      </c>
      <c r="B747" s="85" t="str">
        <f ca="1">IFERROR(__xludf.DUMMYFUNCTION("GOOGLETRANSLATE(B3268:B3283,""RU"",""UK"")"),"Фреза 3-х стор. 130х16 Т5К10")</f>
        <v>Фреза 3-х стор. 130х16 Т5К10</v>
      </c>
      <c r="C747" s="59" t="s">
        <v>6</v>
      </c>
      <c r="D747" s="59">
        <v>5</v>
      </c>
      <c r="E747" s="91" t="s">
        <v>663</v>
      </c>
    </row>
    <row r="748" spans="1:5">
      <c r="A748" s="21">
        <f t="shared" si="14"/>
        <v>93</v>
      </c>
      <c r="B748" s="85" t="str">
        <f ca="1">IFERROR(__xludf.DUMMYFUNCTION("GOOGLETRANSLATE(B3269:B3284,""RU"",""UK"")"),"Фреза 3-х стор. 150х24вст.ножі Т/С")</f>
        <v>Фреза 3-х стор. 150х24вст.ножі Т/С</v>
      </c>
      <c r="C748" s="59" t="s">
        <v>6</v>
      </c>
      <c r="D748" s="59">
        <v>6</v>
      </c>
      <c r="E748" s="91" t="s">
        <v>63</v>
      </c>
    </row>
    <row r="749" spans="1:5">
      <c r="A749" s="21">
        <f t="shared" si="14"/>
        <v>94</v>
      </c>
      <c r="B749" s="85" t="str">
        <f ca="1">IFERROR(__xludf.DUMMYFUNCTION("GOOGLETRANSLATE(B3270:B3285,""RU"",""UK"")"),"Фреза 3-х стор. 150х14 т/с")</f>
        <v>Фреза 3-х стор. 150х14 т/с</v>
      </c>
      <c r="C749" s="59" t="s">
        <v>6</v>
      </c>
      <c r="D749" s="59">
        <v>1</v>
      </c>
      <c r="E749" s="91" t="s">
        <v>1874</v>
      </c>
    </row>
    <row r="750" spans="1:5">
      <c r="A750" s="21">
        <f t="shared" si="14"/>
        <v>95</v>
      </c>
      <c r="B750" s="85" t="str">
        <f ca="1">IFERROR(__xludf.DUMMYFUNCTION("GOOGLETRANSLATE(B3270:B3285,""RU"",""UK"")"),"Фреза 3-х стор. 160х14 ВК8/160х18 ВК8")</f>
        <v>Фреза 3-х стор. 160х14 ВК8/160х18 ВК8</v>
      </c>
      <c r="C750" s="59" t="s">
        <v>6</v>
      </c>
      <c r="D750" s="59" t="s">
        <v>749</v>
      </c>
      <c r="E750" s="91" t="s">
        <v>1874</v>
      </c>
    </row>
    <row r="751" spans="1:5">
      <c r="A751" s="21">
        <f t="shared" si="14"/>
        <v>96</v>
      </c>
      <c r="B751" s="85" t="str">
        <f ca="1">IFERROR(__xludf.DUMMYFUNCTION("GOOGLETRANSLATE(B3271:B3286,""RU"",""UK"")"),"Фреза 3-х стор. 200х16х50 ВК8")</f>
        <v>Фреза 3-х стор. 200х16х50 ВК8</v>
      </c>
      <c r="C751" s="59" t="s">
        <v>6</v>
      </c>
      <c r="D751" s="59">
        <v>5</v>
      </c>
      <c r="E751" s="91" t="s">
        <v>88</v>
      </c>
    </row>
    <row r="752" spans="1:5">
      <c r="A752" s="21">
        <f t="shared" si="14"/>
        <v>97</v>
      </c>
      <c r="B752" s="85" t="str">
        <f ca="1">IFERROR(__xludf.DUMMYFUNCTION("GOOGLETRANSLATE(B3272:B3287,""RU"",""UK"")"),"Фреза прорізна ВК8 D50х0,410-0,413/50х0,411-0,414/50х0,410-0,412")</f>
        <v>Фреза прорізна ВК8 D50х0,410-0,413/50х0,411-0,414/50х0,410-0,412</v>
      </c>
      <c r="C752" s="59" t="s">
        <v>6</v>
      </c>
      <c r="D752" s="59" t="s">
        <v>4168</v>
      </c>
      <c r="E752" s="91" t="s">
        <v>1595</v>
      </c>
    </row>
    <row r="753" spans="1:5">
      <c r="A753" s="21">
        <f t="shared" si="14"/>
        <v>98</v>
      </c>
      <c r="B753" s="85" t="str">
        <f ca="1">IFERROR(__xludf.DUMMYFUNCTION("GOOGLETRANSLATE(B3273:B3288,""RU"",""UK"")"),"Фреза прорізна ВК8 D50х0,411-0,413/50х0,409-0,411/50х0,409-0,413")</f>
        <v>Фреза прорізна ВК8 D50х0,411-0,413/50х0,409-0,411/50х0,409-0,413</v>
      </c>
      <c r="C753" s="59" t="s">
        <v>6</v>
      </c>
      <c r="D753" s="59" t="s">
        <v>3184</v>
      </c>
      <c r="E753" s="91" t="s">
        <v>1595</v>
      </c>
    </row>
    <row r="754" spans="1:5">
      <c r="A754" s="21">
        <f t="shared" si="14"/>
        <v>99</v>
      </c>
      <c r="B754" s="85" t="str">
        <f ca="1">IFERROR(__xludf.DUMMYFUNCTION("GOOGLETRANSLATE(B3274:B3289,""RU"",""UK"")"),"Фреза прорізна ВК8 D50х0,401-0,407/50х0,406-0,408/50х0,406-0,412")</f>
        <v>Фреза прорізна ВК8 D50х0,401-0,407/50х0,406-0,408/50х0,406-0,412</v>
      </c>
      <c r="C754" s="59" t="s">
        <v>6</v>
      </c>
      <c r="D754" s="59" t="s">
        <v>2037</v>
      </c>
      <c r="E754" s="91" t="s">
        <v>1595</v>
      </c>
    </row>
    <row r="755" spans="1:5">
      <c r="A755" s="21">
        <f t="shared" si="14"/>
        <v>100</v>
      </c>
      <c r="B755" s="85" t="str">
        <f ca="1">IFERROR(__xludf.DUMMYFUNCTION("GOOGLETRANSLATE(B3275:B3290,""RU"",""UK"")"),"Фреза прорізна ВК8 D50х0,406-0,415/50х0,407-0,411/50х0,407-0,413")</f>
        <v>Фреза прорізна ВК8 D50х0,406-0,415/50х0,407-0,411/50х0,407-0,413</v>
      </c>
      <c r="C755" s="59" t="s">
        <v>6</v>
      </c>
      <c r="D755" s="59" t="s">
        <v>2037</v>
      </c>
      <c r="E755" s="91" t="s">
        <v>1595</v>
      </c>
    </row>
    <row r="756" spans="1:5">
      <c r="A756" s="21">
        <f t="shared" si="14"/>
        <v>101</v>
      </c>
      <c r="B756" s="85" t="str">
        <f ca="1">IFERROR(__xludf.DUMMYFUNCTION("GOOGLETRANSLATE(B3276:B3291,""RU"",""UK"")"),"Фреза прорізна ВК8 D50х0,326-0,328/50х0,325-0,333/50х0,326-0,330")</f>
        <v>Фреза прорізна ВК8 D50х0,326-0,328/50х0,325-0,333/50х0,326-0,330</v>
      </c>
      <c r="C756" s="59" t="s">
        <v>6</v>
      </c>
      <c r="D756" s="59" t="s">
        <v>2037</v>
      </c>
      <c r="E756" s="91" t="s">
        <v>1595</v>
      </c>
    </row>
    <row r="757" spans="1:5">
      <c r="A757" s="21">
        <f t="shared" si="14"/>
        <v>102</v>
      </c>
      <c r="B757" s="85" t="str">
        <f ca="1">IFERROR(__xludf.DUMMYFUNCTION("GOOGLETRANSLATE(B3277:B3292,""RU"",""UK"")"),"Фреза прорізна ВК8 D50х0,314-0,320/50х0,317-0,321/50х0,406-0,409")</f>
        <v>Фреза прорізна ВК8 D50х0,314-0,320/50х0,317-0,321/50х0,406-0,409</v>
      </c>
      <c r="C757" s="59" t="s">
        <v>6</v>
      </c>
      <c r="D757" s="59" t="s">
        <v>2037</v>
      </c>
      <c r="E757" s="91" t="s">
        <v>1595</v>
      </c>
    </row>
    <row r="758" spans="1:5">
      <c r="A758" s="21">
        <f t="shared" si="14"/>
        <v>103</v>
      </c>
      <c r="B758" s="85" t="str">
        <f ca="1">IFERROR(__xludf.DUMMYFUNCTION("GOOGLETRANSLATE(B3278:B3293,""RU"",""UK"")"),"Фреза дискова 45х25х18 ВК-8")</f>
        <v>Фреза дискова 45х25х18 ВК-8</v>
      </c>
      <c r="C758" s="59" t="s">
        <v>6</v>
      </c>
      <c r="D758" s="59">
        <v>4</v>
      </c>
      <c r="E758" s="91" t="s">
        <v>1595</v>
      </c>
    </row>
    <row r="759" spans="1:5">
      <c r="A759" s="68"/>
      <c r="B759" s="110" t="s">
        <v>6047</v>
      </c>
      <c r="C759" s="69"/>
      <c r="D759" s="69"/>
      <c r="E759" s="106"/>
    </row>
    <row r="760" spans="1:5">
      <c r="A760" s="21">
        <v>1</v>
      </c>
      <c r="B760" s="85" t="str">
        <f ca="1">IFERROR(__xludf.DUMMYFUNCTION("GOOGLETRANSLATE(B3280:B3295,""RU"",""UK"")"),"Борфреза циліндрична 2х5х45мм")</f>
        <v>Борфреза циліндрична 2х5х45мм</v>
      </c>
      <c r="C760" s="59" t="s">
        <v>6</v>
      </c>
      <c r="D760" s="59">
        <v>2</v>
      </c>
      <c r="E760" s="91" t="s">
        <v>169</v>
      </c>
    </row>
    <row r="761" spans="1:5">
      <c r="A761" s="21">
        <f>A760+1</f>
        <v>2</v>
      </c>
      <c r="B761" s="85" t="str">
        <f ca="1">IFERROR(__xludf.DUMMYFUNCTION("GOOGLETRANSLATE(B3281:B3296,""RU"",""UK"")"),"Борфрези циліндричні 1.7х5х45мм / 1.7х5х22мм")</f>
        <v>Борфрези циліндричні 1.7х5х45мм / 1.7х5х22мм</v>
      </c>
      <c r="C761" s="59" t="s">
        <v>6</v>
      </c>
      <c r="D761" s="59" t="s">
        <v>920</v>
      </c>
      <c r="E761" s="91" t="s">
        <v>169</v>
      </c>
    </row>
    <row r="762" spans="1:5">
      <c r="A762" s="21">
        <f t="shared" ref="A762:A763" si="15">A761+1</f>
        <v>3</v>
      </c>
      <c r="B762" s="198" t="s">
        <v>6200</v>
      </c>
      <c r="C762" s="59" t="s">
        <v>6</v>
      </c>
      <c r="D762" s="59">
        <v>3</v>
      </c>
      <c r="E762" s="91">
        <v>90</v>
      </c>
    </row>
    <row r="763" spans="1:5">
      <c r="A763" s="21">
        <f t="shared" si="15"/>
        <v>4</v>
      </c>
      <c r="B763" s="198" t="s">
        <v>6198</v>
      </c>
      <c r="C763" s="59" t="s">
        <v>6</v>
      </c>
      <c r="D763" s="59">
        <v>13</v>
      </c>
      <c r="E763" s="91">
        <v>99</v>
      </c>
    </row>
    <row r="764" spans="1:5">
      <c r="A764" s="21">
        <f t="shared" ref="A764:A796" si="16">A763+1</f>
        <v>5</v>
      </c>
      <c r="B764" s="198" t="s">
        <v>6197</v>
      </c>
      <c r="C764" s="59" t="s">
        <v>6</v>
      </c>
      <c r="D764" s="59">
        <v>13</v>
      </c>
      <c r="E764" s="91">
        <v>105</v>
      </c>
    </row>
    <row r="765" spans="1:5">
      <c r="A765" s="21">
        <f t="shared" si="16"/>
        <v>6</v>
      </c>
      <c r="B765" s="198" t="s">
        <v>6199</v>
      </c>
      <c r="C765" s="59" t="s">
        <v>6</v>
      </c>
      <c r="D765" s="59">
        <v>3</v>
      </c>
      <c r="E765" s="91">
        <v>99</v>
      </c>
    </row>
    <row r="766" spans="1:5">
      <c r="A766" s="21">
        <f t="shared" si="16"/>
        <v>7</v>
      </c>
      <c r="B766" s="198" t="s">
        <v>6204</v>
      </c>
      <c r="C766" s="59" t="s">
        <v>6</v>
      </c>
      <c r="D766" s="59">
        <v>3</v>
      </c>
      <c r="E766" s="91">
        <v>99</v>
      </c>
    </row>
    <row r="767" spans="1:5">
      <c r="A767" s="21">
        <f t="shared" si="16"/>
        <v>8</v>
      </c>
      <c r="B767" s="198" t="str">
        <f ca="1">IFERROR(__xludf.DUMMYFUNCTION("GOOGLETRANSLATE(B3285:B3300,""RU"",""UK"")"),"Борфреза конічна d6х17х55мм Р6М5")</f>
        <v>Борфреза конічна d6х17х55мм Р6М5</v>
      </c>
      <c r="C767" s="59" t="s">
        <v>6</v>
      </c>
      <c r="D767" s="59">
        <v>9</v>
      </c>
      <c r="E767" s="91">
        <v>90</v>
      </c>
    </row>
    <row r="768" spans="1:5">
      <c r="A768" s="21">
        <f t="shared" si="16"/>
        <v>9</v>
      </c>
      <c r="B768" s="198" t="str">
        <f ca="1">IFERROR(__xludf.DUMMYFUNCTION("GOOGLETRANSLATE(B3285:B3300,""RU"",""UK"")"),"Борфреза конічна d8х25х60мм Р6М5")</f>
        <v>Борфреза конічна d8х25х60мм Р6М5</v>
      </c>
      <c r="C768" s="59" t="s">
        <v>6</v>
      </c>
      <c r="D768" s="59">
        <v>1</v>
      </c>
      <c r="E768" s="91">
        <v>99</v>
      </c>
    </row>
    <row r="769" spans="1:5">
      <c r="A769" s="21">
        <f t="shared" si="16"/>
        <v>10</v>
      </c>
      <c r="B769" s="198" t="s">
        <v>6201</v>
      </c>
      <c r="C769" s="59" t="s">
        <v>6</v>
      </c>
      <c r="D769" s="59">
        <v>5</v>
      </c>
      <c r="E769" s="91">
        <v>135</v>
      </c>
    </row>
    <row r="770" spans="1:5">
      <c r="A770" s="21">
        <f t="shared" si="16"/>
        <v>11</v>
      </c>
      <c r="B770" s="198" t="s">
        <v>6202</v>
      </c>
      <c r="C770" s="59" t="s">
        <v>6</v>
      </c>
      <c r="D770" s="59">
        <v>5</v>
      </c>
      <c r="E770" s="91">
        <v>90</v>
      </c>
    </row>
    <row r="771" spans="1:5">
      <c r="A771" s="21">
        <f t="shared" si="16"/>
        <v>12</v>
      </c>
      <c r="B771" s="198" t="s">
        <v>6203</v>
      </c>
      <c r="C771" s="59" t="s">
        <v>6</v>
      </c>
      <c r="D771" s="59">
        <v>2</v>
      </c>
      <c r="E771" s="91">
        <v>100</v>
      </c>
    </row>
    <row r="772" spans="1:5">
      <c r="A772" s="21">
        <f t="shared" si="16"/>
        <v>13</v>
      </c>
      <c r="B772" s="198" t="str">
        <f ca="1">IFERROR(__xludf.DUMMYFUNCTION("GOOGLETRANSLATE(B3289:B3304,""RU"",""UK"")"),"Борфрези Т-подібна d8х2х57мм Р6М5")</f>
        <v>Борфрези Т-подібна d8х2х57мм Р6М5</v>
      </c>
      <c r="C772" s="59" t="s">
        <v>6</v>
      </c>
      <c r="D772" s="59">
        <v>15</v>
      </c>
      <c r="E772" s="91">
        <v>75</v>
      </c>
    </row>
    <row r="773" spans="1:5">
      <c r="A773" s="21">
        <f t="shared" si="16"/>
        <v>14</v>
      </c>
      <c r="B773" s="85" t="str">
        <f ca="1">IFERROR(__xludf.DUMMYFUNCTION("GOOGLETRANSLATE(B3290:B3305,""RU"",""UK"")"),"Борфреза КМ5 Р6М5")</f>
        <v>Борфреза КМ5 Р6М5</v>
      </c>
      <c r="C773" s="59" t="s">
        <v>6</v>
      </c>
      <c r="D773" s="59">
        <v>1</v>
      </c>
      <c r="E773" s="91" t="s">
        <v>327</v>
      </c>
    </row>
    <row r="774" spans="1:5">
      <c r="A774" s="21">
        <f t="shared" si="16"/>
        <v>15</v>
      </c>
      <c r="B774" s="85" t="str">
        <f ca="1">IFERROR(__xludf.DUMMYFUNCTION("GOOGLETRANSLATE(B3291:B3306,""RU"",""UK"")"),"Фреза Т-подібна 10 мм (18х8х8)")</f>
        <v>Фреза Т-подібна 10 мм (18х8х8)</v>
      </c>
      <c r="C774" s="59" t="s">
        <v>6</v>
      </c>
      <c r="D774" s="59">
        <v>16</v>
      </c>
      <c r="E774" s="91" t="s">
        <v>319</v>
      </c>
    </row>
    <row r="775" spans="1:5">
      <c r="A775" s="21">
        <f t="shared" si="16"/>
        <v>16</v>
      </c>
      <c r="B775" s="85" t="str">
        <f ca="1">IFERROR(__xludf.DUMMYFUNCTION("GOOGLETRANSLATE(B3292:B3307,""RU"",""UK"")"),"Фреза Т-подібна 12 мм (21х10х9)")</f>
        <v>Фреза Т-подібна 12 мм (21х10х9)</v>
      </c>
      <c r="C775" s="59" t="s">
        <v>6</v>
      </c>
      <c r="D775" s="59">
        <v>9</v>
      </c>
      <c r="E775" s="91" t="s">
        <v>1053</v>
      </c>
    </row>
    <row r="776" spans="1:5">
      <c r="A776" s="21">
        <f t="shared" si="16"/>
        <v>17</v>
      </c>
      <c r="B776" s="85" t="str">
        <f ca="1">IFERROR(__xludf.DUMMYFUNCTION("GOOGLETRANSLATE(B3293:B3308,""RU"",""UK"")"),"Фреза Т-подібна 14 мм (25х12х12)")</f>
        <v>Фреза Т-подібна 14 мм (25х12х12)</v>
      </c>
      <c r="C776" s="59" t="s">
        <v>6</v>
      </c>
      <c r="D776" s="59">
        <v>9</v>
      </c>
      <c r="E776" s="91" t="s">
        <v>327</v>
      </c>
    </row>
    <row r="777" spans="1:5">
      <c r="A777" s="21">
        <f t="shared" si="16"/>
        <v>18</v>
      </c>
      <c r="B777" s="85" t="str">
        <f ca="1">IFERROR(__xludf.DUMMYFUNCTION("GOOGLETRANSLATE(B3294:B3309,""RU"",""UK"")"),"Фреза Т-подібна 16 мм (30х20) КМ4")</f>
        <v>Фреза Т-подібна 16 мм (30х20) КМ4</v>
      </c>
      <c r="C777" s="59" t="s">
        <v>6</v>
      </c>
      <c r="D777" s="59">
        <v>1</v>
      </c>
      <c r="E777" s="91" t="s">
        <v>140</v>
      </c>
    </row>
    <row r="778" spans="1:5">
      <c r="A778" s="21">
        <f t="shared" si="16"/>
        <v>19</v>
      </c>
      <c r="B778" s="85" t="str">
        <f ca="1">IFERROR(__xludf.DUMMYFUNCTION("GOOGLETRANSLATE(B3295:B3310,""RU"",""UK"")"),"Фреза Т-подібна 18 мм (32х15х14) КМ2/18мм ВК8 (32х15х14) КМ2")</f>
        <v>Фреза Т-подібна 18 мм (32х15х14) КМ2/18мм ВК8 (32х15х14) КМ2</v>
      </c>
      <c r="C778" s="59" t="s">
        <v>6</v>
      </c>
      <c r="D778" s="59" t="s">
        <v>899</v>
      </c>
      <c r="E778" s="91" t="s">
        <v>140</v>
      </c>
    </row>
    <row r="779" spans="1:5">
      <c r="A779" s="21">
        <f t="shared" si="16"/>
        <v>20</v>
      </c>
      <c r="B779" s="85" t="str">
        <f ca="1">IFERROR(__xludf.DUMMYFUNCTION("GOOGLETRANSLATE(B3296:B3311,""RU"",""UK"")"),"Фреза Т-подібна 22 мм (38х19х18) Р18 КМ3")</f>
        <v>Фреза Т-подібна 22 мм (38х19х18) Р18 КМ3</v>
      </c>
      <c r="C779" s="59" t="s">
        <v>6</v>
      </c>
      <c r="D779" s="59">
        <v>3</v>
      </c>
      <c r="E779" s="91" t="s">
        <v>162</v>
      </c>
    </row>
    <row r="780" spans="1:5">
      <c r="A780" s="21">
        <f t="shared" si="16"/>
        <v>21</v>
      </c>
      <c r="B780" s="85" t="str">
        <f ca="1">IFERROR(__xludf.DUMMYFUNCTION("GOOGLETRANSLATE(B3297:B3312,""RU"",""UK"")"),"Фреза Т-подібна 22 мм (40х18х18)")</f>
        <v>Фреза Т-подібна 22 мм (40х18х18)</v>
      </c>
      <c r="C780" s="59" t="s">
        <v>6</v>
      </c>
      <c r="D780" s="59">
        <v>14</v>
      </c>
      <c r="E780" s="91" t="s">
        <v>162</v>
      </c>
    </row>
    <row r="781" spans="1:5">
      <c r="A781" s="21">
        <f t="shared" si="16"/>
        <v>22</v>
      </c>
      <c r="B781" s="85" t="s">
        <v>6368</v>
      </c>
      <c r="C781" s="59" t="s">
        <v>6</v>
      </c>
      <c r="D781" s="59">
        <v>2</v>
      </c>
      <c r="E781" s="91">
        <v>330</v>
      </c>
    </row>
    <row r="782" spans="1:5">
      <c r="A782" s="21">
        <f t="shared" si="16"/>
        <v>23</v>
      </c>
      <c r="B782" s="85" t="str">
        <f ca="1">IFERROR(__xludf.DUMMYFUNCTION("GOOGLETRANSLATE(B3298:B3313,""RU"",""UK"")"),"Фреза Т-подібна 28 мм (50х25х22)")</f>
        <v>Фреза Т-подібна 28 мм (50х25х22)</v>
      </c>
      <c r="C782" s="59" t="s">
        <v>6</v>
      </c>
      <c r="D782" s="59">
        <v>0</v>
      </c>
      <c r="E782" s="91" t="s">
        <v>106</v>
      </c>
    </row>
    <row r="783" spans="1:5">
      <c r="A783" s="21">
        <f t="shared" si="16"/>
        <v>24</v>
      </c>
      <c r="B783" s="85" t="str">
        <f ca="1">IFERROR(__xludf.DUMMYFUNCTION("GOOGLETRANSLATE(B3299:B3314,""RU"",""UK"")"),"Фреза Т-подібна (30х20х16) КМ3")</f>
        <v>Фреза Т-подібна (30х20х16) КМ3</v>
      </c>
      <c r="C783" s="59" t="s">
        <v>6</v>
      </c>
      <c r="D783" s="59">
        <v>1</v>
      </c>
      <c r="E783" s="91" t="s">
        <v>24</v>
      </c>
    </row>
    <row r="784" spans="1:5">
      <c r="A784" s="21">
        <f t="shared" si="16"/>
        <v>25</v>
      </c>
      <c r="B784" s="224" t="str">
        <f ca="1">IFERROR(__xludf.DUMMYFUNCTION("GOOGLETRANSLATE(B3300:B3315,""RU"",""UK"")"),"Фреза пазовая для сегментних шпонок 13х4мм Р6М5")</f>
        <v>Фреза пазовая для сегментних шпонок 13х4мм Р6М5</v>
      </c>
      <c r="C784" s="71" t="s">
        <v>6</v>
      </c>
      <c r="D784" s="71">
        <v>11</v>
      </c>
      <c r="E784" s="107" t="s">
        <v>185</v>
      </c>
    </row>
    <row r="785" spans="1:5">
      <c r="A785" s="21">
        <f t="shared" si="16"/>
        <v>26</v>
      </c>
      <c r="B785" s="224" t="str">
        <f ca="1">IFERROR(__xludf.DUMMYFUNCTION("GOOGLETRANSLATE(B3301:B3316,""RU"",""UK"")"),"Фреза пазовая для сегментних шпонок 16х3мм Р6М5")</f>
        <v>Фреза пазовая для сегментних шпонок 16х3мм Р6М5</v>
      </c>
      <c r="C785" s="71" t="s">
        <v>6</v>
      </c>
      <c r="D785" s="71">
        <v>1</v>
      </c>
      <c r="E785" s="107" t="s">
        <v>319</v>
      </c>
    </row>
    <row r="786" spans="1:5">
      <c r="A786" s="21">
        <f t="shared" si="16"/>
        <v>27</v>
      </c>
      <c r="B786" s="224" t="str">
        <f ca="1">IFERROR(__xludf.DUMMYFUNCTION("GOOGLETRANSLATE(B3301:B3316,""RU"",""UK"")"),"Фреза пазовая для сегментних шпонок 16х4мм Р6М5")</f>
        <v>Фреза пазовая для сегментних шпонок 16х4мм Р6М5</v>
      </c>
      <c r="C786" s="71" t="s">
        <v>6</v>
      </c>
      <c r="D786" s="71">
        <v>6</v>
      </c>
      <c r="E786" s="107" t="s">
        <v>319</v>
      </c>
    </row>
    <row r="787" spans="1:5">
      <c r="A787" s="21">
        <f t="shared" si="16"/>
        <v>28</v>
      </c>
      <c r="B787" s="224" t="str">
        <f ca="1">IFERROR(__xludf.DUMMYFUNCTION("GOOGLETRANSLATE(B3301:B3316,""RU"",""UK"")"),"Фреза пазовая для сегментних шпонок 16х5мм Р6М5")</f>
        <v>Фреза пазовая для сегментних шпонок 16х5мм Р6М5</v>
      </c>
      <c r="C787" s="71" t="s">
        <v>6</v>
      </c>
      <c r="D787" s="71">
        <v>24</v>
      </c>
      <c r="E787" s="107" t="s">
        <v>319</v>
      </c>
    </row>
    <row r="788" spans="1:5">
      <c r="A788" s="21">
        <f t="shared" si="16"/>
        <v>29</v>
      </c>
      <c r="B788" s="224" t="str">
        <f ca="1">IFERROR(__xludf.DUMMYFUNCTION("GOOGLETRANSLATE(B3302:B3317,""RU"",""UK"")"),"Фреза пазовая для сегментних шпонок 19х5мм Р6м5")</f>
        <v>Фреза пазовая для сегментних шпонок 19х5мм Р6м5</v>
      </c>
      <c r="C788" s="71" t="s">
        <v>6</v>
      </c>
      <c r="D788" s="71">
        <v>3</v>
      </c>
      <c r="E788" s="107" t="s">
        <v>263</v>
      </c>
    </row>
    <row r="789" spans="1:5">
      <c r="A789" s="21">
        <f t="shared" si="16"/>
        <v>30</v>
      </c>
      <c r="B789" s="85" t="str">
        <f ca="1">IFERROR(__xludf.DUMMYFUNCTION("GOOGLETRANSLATE(B3302:B3317,""RU"",""UK"")"),"Фреза шп. Сегм. Пазова 20х5")</f>
        <v>Фреза шп. Сегм. Пазова 20х5</v>
      </c>
      <c r="C789" s="59" t="s">
        <v>6</v>
      </c>
      <c r="D789" s="37">
        <v>1</v>
      </c>
      <c r="E789" s="91" t="s">
        <v>263</v>
      </c>
    </row>
    <row r="790" spans="1:5">
      <c r="A790" s="21">
        <f t="shared" si="16"/>
        <v>31</v>
      </c>
      <c r="B790" s="224" t="str">
        <f ca="1">IFERROR(__xludf.DUMMYFUNCTION("GOOGLETRANSLATE(B3303:B3318,""RU"",""UK"")"),"Фреза пазовая для сегментних шпонок 22х4мм Р6м5")</f>
        <v>Фреза пазовая для сегментних шпонок 22х4мм Р6м5</v>
      </c>
      <c r="C790" s="71" t="s">
        <v>6</v>
      </c>
      <c r="D790" s="71">
        <v>2</v>
      </c>
      <c r="E790" s="107" t="s">
        <v>525</v>
      </c>
    </row>
    <row r="791" spans="1:5">
      <c r="A791" s="21">
        <f t="shared" si="16"/>
        <v>32</v>
      </c>
      <c r="B791" s="224" t="str">
        <f ca="1">IFERROR(__xludf.DUMMYFUNCTION("GOOGLETRANSLATE(B3303:B3318,""RU"",""UK"")"),"Фреза пазовая для сегментних шпонок 22х5мм р6М5")</f>
        <v>Фреза пазовая для сегментних шпонок 22х5мм р6М5</v>
      </c>
      <c r="C791" s="71" t="s">
        <v>6</v>
      </c>
      <c r="D791" s="71">
        <v>1</v>
      </c>
      <c r="E791" s="107" t="s">
        <v>525</v>
      </c>
    </row>
    <row r="792" spans="1:5">
      <c r="A792" s="21">
        <f t="shared" si="16"/>
        <v>33</v>
      </c>
      <c r="B792" s="224" t="str">
        <f ca="1">IFERROR(__xludf.DUMMYFUNCTION("GOOGLETRANSLATE(B3303:B3318,""RU"",""UK"")"),"Фреза пазовая для сегментних шпонок 22х6мм Р6М5")</f>
        <v>Фреза пазовая для сегментних шпонок 22х6мм Р6М5</v>
      </c>
      <c r="C792" s="71" t="s">
        <v>6</v>
      </c>
      <c r="D792" s="71">
        <v>26</v>
      </c>
      <c r="E792" s="107" t="s">
        <v>525</v>
      </c>
    </row>
    <row r="793" spans="1:5">
      <c r="A793" s="21">
        <f t="shared" si="16"/>
        <v>34</v>
      </c>
      <c r="B793" s="85" t="str">
        <f ca="1">IFERROR(__xludf.DUMMYFUNCTION("GOOGLETRANSLATE(B3304:B3319,""RU"",""UK"")"),"Фреза шп. Сегм. Пазова 25х5")</f>
        <v>Фреза шп. Сегм. Пазова 25х5</v>
      </c>
      <c r="C793" s="59" t="s">
        <v>6</v>
      </c>
      <c r="D793" s="59">
        <v>1</v>
      </c>
      <c r="E793" s="91" t="s">
        <v>220</v>
      </c>
    </row>
    <row r="794" spans="1:5">
      <c r="A794" s="21">
        <f t="shared" si="16"/>
        <v>35</v>
      </c>
      <c r="B794" s="224" t="str">
        <f ca="1">IFERROR(__xludf.DUMMYFUNCTION("GOOGLETRANSLATE(B3305:B3320,""RU"",""UK"")"),"Фреза пазовая для сегментних шпонок 28х8мм Р6М5")</f>
        <v>Фреза пазовая для сегментних шпонок 28х8мм Р6М5</v>
      </c>
      <c r="C794" s="71" t="s">
        <v>6</v>
      </c>
      <c r="D794" s="71">
        <v>39</v>
      </c>
      <c r="E794" s="107" t="s">
        <v>327</v>
      </c>
    </row>
    <row r="795" spans="1:5">
      <c r="A795" s="21">
        <f t="shared" si="16"/>
        <v>36</v>
      </c>
      <c r="B795" s="224" t="str">
        <f ca="1">IFERROR(__xludf.DUMMYFUNCTION("GOOGLETRANSLATE(B3305:B3320,""RU"",""UK"")"),"Фреза пазовая для сегментних шпонок 32х10мм Р6М5")</f>
        <v>Фреза пазовая для сегментних шпонок 32х10мм Р6М5</v>
      </c>
      <c r="C795" s="71" t="s">
        <v>6</v>
      </c>
      <c r="D795" s="71">
        <v>7</v>
      </c>
      <c r="E795" s="107">
        <v>222</v>
      </c>
    </row>
    <row r="796" spans="1:5">
      <c r="A796" s="21">
        <f t="shared" si="16"/>
        <v>37</v>
      </c>
      <c r="B796" s="115" t="str">
        <f ca="1">IFERROR(__xludf.DUMMYFUNCTION("GOOGLETRANSLATE(B3306:B3321,""RU"",""UK"")"),"Фреза шп. Сегм. Пазова 32х16Р18к/хв/34х6/34х8")</f>
        <v>Фреза шп. Сегм. Пазова 32х16Р18к/хв/34х6/34х8</v>
      </c>
      <c r="C796" s="59" t="s">
        <v>6</v>
      </c>
      <c r="D796" s="59" t="s">
        <v>4184</v>
      </c>
      <c r="E796" s="91" t="s">
        <v>140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31</vt:i4>
      </vt:variant>
    </vt:vector>
  </HeadingPairs>
  <TitlesOfParts>
    <vt:vector size="31" baseType="lpstr">
      <vt:lpstr>Старий прайс</vt:lpstr>
      <vt:lpstr>Абразивні круги, головки</vt:lpstr>
      <vt:lpstr>Алмазний і ельборовий інструм.</vt:lpstr>
      <vt:lpstr>Болти, гайки, шайби, цвяхи</vt:lpstr>
      <vt:lpstr>Вимірювальний інструмент</vt:lpstr>
      <vt:lpstr>Воротки, плашко-мітчикотримачі</vt:lpstr>
      <vt:lpstr>Відрізні,зачисні круги,шкурка</vt:lpstr>
      <vt:lpstr>Деревообний інструмент</vt:lpstr>
      <vt:lpstr>Довбяки</vt:lpstr>
      <vt:lpstr>Ел.обл, насоси, кол.мет</vt:lpstr>
      <vt:lpstr>Зінківки, зенкера, цековки</vt:lpstr>
      <vt:lpstr>Зварювальне обладнаня</vt:lpstr>
      <vt:lpstr>Ланцюги,набивка,сальники</vt:lpstr>
      <vt:lpstr> Мала механ., лещата, станочне </vt:lpstr>
      <vt:lpstr>Манометр,термометр, ареометр</vt:lpstr>
      <vt:lpstr>Мітчики</vt:lpstr>
      <vt:lpstr>Металоріжучий інструмент</vt:lpstr>
      <vt:lpstr>Оправки, головки,втулки,центра</vt:lpstr>
      <vt:lpstr>Патрони різьні</vt:lpstr>
      <vt:lpstr>Плашки, гребінки, ролики</vt:lpstr>
      <vt:lpstr>Пластини твердосплав.</vt:lpstr>
      <vt:lpstr>Пожеж інвентар</vt:lpstr>
      <vt:lpstr>Різці</vt:lpstr>
      <vt:lpstr>Ремені-техстропи, хомути</vt:lpstr>
      <vt:lpstr>Розгортки</vt:lpstr>
      <vt:lpstr>Сантехнічні матер.</vt:lpstr>
      <vt:lpstr>Свердла</vt:lpstr>
      <vt:lpstr>Слюсарний, ручний інструмент</vt:lpstr>
      <vt:lpstr>Спецодяг</vt:lpstr>
      <vt:lpstr>Хоз,хім товари, побут. хімія</vt:lpstr>
      <vt:lpstr>Фрези, борфрези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Саша</dc:creator>
  <cp:lastModifiedBy>Сашко</cp:lastModifiedBy>
  <dcterms:created xsi:type="dcterms:W3CDTF">2024-04-11T11:59:24Z</dcterms:created>
  <dcterms:modified xsi:type="dcterms:W3CDTF">2025-06-13T11:48:36Z</dcterms:modified>
</cp:coreProperties>
</file>