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tabRatio="69" activeTab="0"/>
  </bookViews>
  <sheets>
    <sheet name="ОПТ" sheetId="1" r:id="rId1"/>
  </sheets>
  <definedNames/>
  <calcPr fullCalcOnLoad="1" refMode="R1C1"/>
</workbook>
</file>

<file path=xl/sharedStrings.xml><?xml version="1.0" encoding="utf-8"?>
<sst xmlns="http://schemas.openxmlformats.org/spreadsheetml/2006/main" count="148" uniqueCount="123">
  <si>
    <t>ОПТОВЫЙ  ПРАЙС  НА  АРХИТЕКТУРНЫЕ  ПЛЁНКИ</t>
  </si>
  <si>
    <t>Украина,  г.Киев, 02002, ул. Е. Сверстюка, 21, офис 208</t>
  </si>
  <si>
    <t>Наименование</t>
  </si>
  <si>
    <t>ширина</t>
  </si>
  <si>
    <t>ЦЕНА</t>
  </si>
  <si>
    <t>за м2</t>
  </si>
  <si>
    <t>рулон</t>
  </si>
  <si>
    <t xml:space="preserve"> ЗЕРКАЛЬНЫЕ —  АRMOLAN </t>
  </si>
  <si>
    <t>МЕТАЛЛИЗИРОВАННЫЕ — ARMOLAN</t>
  </si>
  <si>
    <t>МАТОВЫЕ — ARMOLAN</t>
  </si>
  <si>
    <t>УДАРОПРОЧНЫЕ ПРОЗРАЧНЫЕ — ARMOLAN</t>
  </si>
  <si>
    <t xml:space="preserve"> R Silver 05 серебро 89%</t>
  </si>
  <si>
    <t xml:space="preserve"> HP Solar Bronze 20 бронз.83%</t>
  </si>
  <si>
    <t xml:space="preserve"> Matt White белый</t>
  </si>
  <si>
    <t xml:space="preserve"> Safety 2mil толщ. 70 мкм 6%</t>
  </si>
  <si>
    <t xml:space="preserve"> R Silver 15 серебро 85%</t>
  </si>
  <si>
    <t xml:space="preserve"> HP Solar Bronze 35 бронз.67%</t>
  </si>
  <si>
    <t xml:space="preserve"> Matt Silver серебро</t>
  </si>
  <si>
    <t xml:space="preserve"> Safety 4mil толщ. 115 мкм 6%</t>
  </si>
  <si>
    <t xml:space="preserve"> R Silver 35 серебро 66%</t>
  </si>
  <si>
    <t xml:space="preserve"> HP Solar Bronze 50 бронз.45%</t>
  </si>
  <si>
    <t xml:space="preserve"> Black Out чёрный глянец</t>
  </si>
  <si>
    <t xml:space="preserve"> Safety 7mil толщ. 200 мкм 6%</t>
  </si>
  <si>
    <t xml:space="preserve"> R Silver 50 серебро 45%</t>
  </si>
  <si>
    <t xml:space="preserve"> HP Platinum  20 серый 70%</t>
  </si>
  <si>
    <t xml:space="preserve"> White Out белый глянец</t>
  </si>
  <si>
    <t xml:space="preserve"> Safety 12mil толщ. 336Мкм 6%</t>
  </si>
  <si>
    <t xml:space="preserve"> R Gold 15 золото 78%</t>
  </si>
  <si>
    <t xml:space="preserve"> HP Platinum  35 серый 59%</t>
  </si>
  <si>
    <t>МАТОВЫЕ — SUN CONTROL — GLOBAL</t>
  </si>
  <si>
    <t xml:space="preserve"> R Bronze 15 бронза 80%</t>
  </si>
  <si>
    <t xml:space="preserve"> HP Platinum  50 серый 55%</t>
  </si>
  <si>
    <t xml:space="preserve"> Safety 4mil толщ.115 мкм 6%</t>
  </si>
  <si>
    <t xml:space="preserve"> R Blue 15 голубой 83%</t>
  </si>
  <si>
    <t xml:space="preserve"> ARM CH 05 черный 68%</t>
  </si>
  <si>
    <t xml:space="preserve"> Safety 8mil толщ.228 мкм 6%</t>
  </si>
  <si>
    <t xml:space="preserve"> R Grey 15 серый 83%</t>
  </si>
  <si>
    <t xml:space="preserve"> ARM CH 15 черный 67%</t>
  </si>
  <si>
    <t xml:space="preserve"> Matt Bronze бронза</t>
  </si>
  <si>
    <t xml:space="preserve"> Safety 12milтолщ.336мкм 6%</t>
  </si>
  <si>
    <t xml:space="preserve"> ЗЕРКАЛЬНЫЕ — SUN CONTROL  </t>
  </si>
  <si>
    <t xml:space="preserve"> ARM CH 20 черный 54%</t>
  </si>
  <si>
    <t xml:space="preserve"> УДАРОПРОЧНЫЕ ТОНИРОВОЧНЫЕ</t>
  </si>
  <si>
    <t xml:space="preserve"> R Silver 20 серебро 81%</t>
  </si>
  <si>
    <t xml:space="preserve">МЕТАЛЛИЗИРОВАННЫЕ — SUN CONTROL  </t>
  </si>
  <si>
    <t xml:space="preserve"> Matt Grey серый</t>
  </si>
  <si>
    <r>
      <t xml:space="preserve"> Silver 5mil серебро </t>
    </r>
    <r>
      <rPr>
        <sz val="9"/>
        <color indexed="8"/>
        <rFont val="Arial"/>
        <family val="2"/>
      </rPr>
      <t>77%</t>
    </r>
  </si>
  <si>
    <t xml:space="preserve"> HP Natural 20 серый 72%</t>
  </si>
  <si>
    <t>ДЕКОРАТИВНЫЕ — ARMOLAN</t>
  </si>
  <si>
    <t xml:space="preserve"> ST Black 05 100 мкм 52%</t>
  </si>
  <si>
    <t xml:space="preserve"> R Silver 50 серебро 50%</t>
  </si>
  <si>
    <t xml:space="preserve"> HP Natural 35 серый 60%</t>
  </si>
  <si>
    <t xml:space="preserve"> Квадраты</t>
  </si>
  <si>
    <t xml:space="preserve"> ST Black 15 100 мкм 42%</t>
  </si>
  <si>
    <t xml:space="preserve"> R Gold 15 золото 79%</t>
  </si>
  <si>
    <t xml:space="preserve"> HP Blue 35 голубой 60%</t>
  </si>
  <si>
    <t xml:space="preserve"> Полоса VB узкая</t>
  </si>
  <si>
    <t>УДАРОПРОЧНЫЕ ПРОЗРАЧНЫЕ ДЛЯ НАРУЖНОЙ УСТАНОВКИ —  ARMOLAN</t>
  </si>
  <si>
    <t xml:space="preserve"> R Gold 35 золото 65%</t>
  </si>
  <si>
    <t xml:space="preserve"> HP Green 30 зеленый 60%</t>
  </si>
  <si>
    <t xml:space="preserve"> УСТАНОВКИ —  ARMOLAN</t>
  </si>
  <si>
    <t xml:space="preserve"> R Gold 50 золото 48%</t>
  </si>
  <si>
    <r>
      <t xml:space="preserve"> HP Bronze 20 </t>
    </r>
    <r>
      <rPr>
        <sz val="9"/>
        <color indexed="8"/>
        <rFont val="Arial"/>
        <family val="2"/>
      </rPr>
      <t>бронза 69%</t>
    </r>
  </si>
  <si>
    <t xml:space="preserve"> Полоса переходная </t>
  </si>
  <si>
    <t xml:space="preserve"> Safety 4mil XT 115 мкм 6</t>
  </si>
  <si>
    <t xml:space="preserve"> R Bronze 10 бронза 87%</t>
  </si>
  <si>
    <r>
      <t xml:space="preserve"> HP Bronze </t>
    </r>
    <r>
      <rPr>
        <sz val="9"/>
        <color indexed="8"/>
        <rFont val="Arial"/>
        <family val="2"/>
      </rPr>
      <t>35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бронза 54%</t>
    </r>
  </si>
  <si>
    <t xml:space="preserve"> Венецианка </t>
  </si>
  <si>
    <t xml:space="preserve"> R Green 10 зеленый 88%</t>
  </si>
  <si>
    <t>ТОНИРУЮЩИЕ-ВИТРАЖНЫЕ-SUN CONTROL</t>
  </si>
  <si>
    <t xml:space="preserve"> Лён </t>
  </si>
  <si>
    <t>ТЕХНИЧЕСКАЯ    ДОКУМЕНТАЦИЯ</t>
  </si>
  <si>
    <t xml:space="preserve"> R Blue 15 голубой 86%</t>
  </si>
  <si>
    <t xml:space="preserve"> NR Green 20 зеленый 57%</t>
  </si>
  <si>
    <t xml:space="preserve"> Лилии </t>
  </si>
  <si>
    <t xml:space="preserve"> R Grey 10 серый 89%</t>
  </si>
  <si>
    <t xml:space="preserve"> NR Bronze 35 бронза 45%</t>
  </si>
  <si>
    <t xml:space="preserve"> Листья Искра </t>
  </si>
  <si>
    <t xml:space="preserve"> R Red 20 красный 78%</t>
  </si>
  <si>
    <t xml:space="preserve"> NR Yellow 80 желтый 8%</t>
  </si>
  <si>
    <t xml:space="preserve"> Одуванчики </t>
  </si>
  <si>
    <r>
      <t xml:space="preserve"> ЗЕРКАЛЬНЫЕ — SUN CONTROL</t>
    </r>
    <r>
      <rPr>
        <sz val="8"/>
        <rFont val="Arial Cyr"/>
        <family val="2"/>
      </rPr>
      <t xml:space="preserve">  </t>
    </r>
    <r>
      <rPr>
        <b/>
        <sz val="8"/>
        <color indexed="9"/>
        <rFont val="Arial Cyr"/>
        <family val="2"/>
      </rPr>
      <t>шириной 1,83</t>
    </r>
  </si>
  <si>
    <t xml:space="preserve"> NR Blue 20 синий 42%</t>
  </si>
  <si>
    <t xml:space="preserve"> Палуба </t>
  </si>
  <si>
    <t xml:space="preserve"> NR Red 20 красный 8%</t>
  </si>
  <si>
    <t xml:space="preserve"> Паутинка </t>
  </si>
  <si>
    <t>ЭФФЕКТ  ОДНОСТОРОННЕЙ  ВИДИМОСТИ</t>
  </si>
  <si>
    <t xml:space="preserve"> Перламутр </t>
  </si>
  <si>
    <t xml:space="preserve"> R Gold 15 золотой 79%</t>
  </si>
  <si>
    <t xml:space="preserve"> RA 10  чёрный 83%</t>
  </si>
  <si>
    <t xml:space="preserve"> Точки переходные</t>
  </si>
  <si>
    <t xml:space="preserve"> R Gold 50 золотой 48%</t>
  </si>
  <si>
    <t xml:space="preserve"> RA 20 чёрный 81%</t>
  </si>
  <si>
    <t xml:space="preserve"> Точки матовые </t>
  </si>
  <si>
    <t>ЭНЕРГОСБЕРЕГАЮЩИЕ — ARMOLAN</t>
  </si>
  <si>
    <t xml:space="preserve"> Точки прозрачные </t>
  </si>
  <si>
    <t xml:space="preserve"> Energy 50 золотой 49%</t>
  </si>
  <si>
    <t xml:space="preserve"> Жемчуг черный </t>
  </si>
  <si>
    <t xml:space="preserve">ДЛЯ НАРУЖНОЙ УСТАНОВКИ — SUN CONTROL  </t>
  </si>
  <si>
    <t xml:space="preserve"> Energy 75 золотой 39%</t>
  </si>
  <si>
    <t xml:space="preserve"> Frosted Sparkle</t>
  </si>
  <si>
    <t xml:space="preserve"> RS 20 EXT серебро 78%</t>
  </si>
  <si>
    <t xml:space="preserve"> Energy 75 BLUE голубой 37%</t>
  </si>
  <si>
    <t xml:space="preserve">Сертификаты СУ-01, 01.2, 1, 2, 2/1, 3, 3/1,       СМ-1, Р1А, Р2А, Р3А, </t>
  </si>
  <si>
    <t xml:space="preserve"> RS 40 EXT серебро 64%</t>
  </si>
  <si>
    <t xml:space="preserve"> Ice Cool 80 голубой 44%</t>
  </si>
  <si>
    <t>Супер цена на ударопрочные плёнки шириной 1830 мм. На эти позиции скидки не распространяются.</t>
  </si>
  <si>
    <t xml:space="preserve"> RS Blue 15 EXT голубой 88%</t>
  </si>
  <si>
    <t>в соответствии ДСТУ ЕN 356:2005.</t>
  </si>
  <si>
    <t xml:space="preserve"> RS Bronze 10 EXT бронза 87%</t>
  </si>
  <si>
    <t>Сертификат гигиены.</t>
  </si>
  <si>
    <t xml:space="preserve"> RS Gold 15 EXT золото 88%</t>
  </si>
  <si>
    <t>Заключение по пожаростойкости.</t>
  </si>
  <si>
    <t>Прайс сформирован исходя из курса</t>
  </si>
  <si>
    <t>Протоколы по энергосбережению.</t>
  </si>
  <si>
    <t>При покупке менее рулона наценка плюс 20%.</t>
  </si>
  <si>
    <t>Цена  указана  без  НДС  при  отгрузке со  склада  в  Киеве  и  оформлении через предпринимателя.</t>
  </si>
  <si>
    <t>Сертификат на услуги по инсталляции.</t>
  </si>
  <si>
    <t xml:space="preserve">В маркировке плёнки указано значение прохождение видимого света, а после маркировки — процент экранирования теплового излучения. </t>
  </si>
  <si>
    <t>Максимальное допустимое отклонение количества плёнки в рулоне не более 3%.</t>
  </si>
  <si>
    <t>Прайс лист  от  07.06.2019</t>
  </si>
  <si>
    <t>Менеджер Павел Гук, Тел: (095) 461-34-07, (093) 00-77-320, (098) 452-41-52</t>
  </si>
  <si>
    <t>e-mail: avtoplenka@bigmir.net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</si>
</sst>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;\-#,##0.00"/>
    <numFmt numFmtId="166" formatCode="#,##0.00;[Red]\-#,##0.00"/>
    <numFmt numFmtId="167" formatCode="#,###.00"/>
  </numFmts>
  <fonts count="67">
    <font>
      <sz val="10"/>
      <name val="Arial"/>
      <family val="2"/>
    </font>
    <font>
      <sz val="11.5"/>
      <name val="Arial Cyr"/>
      <family val="2"/>
    </font>
    <font>
      <b/>
      <sz val="11.5"/>
      <name val="Arial Cyr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.5"/>
      <name val="Arial"/>
      <family val="2"/>
    </font>
    <font>
      <sz val="18"/>
      <color indexed="30"/>
      <name val="Arial"/>
      <family val="2"/>
    </font>
    <font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9"/>
      <color indexed="9"/>
      <name val="Arial"/>
      <family val="2"/>
    </font>
    <font>
      <sz val="11.5"/>
      <name val="Arial Black"/>
      <family val="2"/>
    </font>
    <font>
      <sz val="11.5"/>
      <color indexed="12"/>
      <name val="Arial Black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sz val="8"/>
      <name val="Arial Cyr"/>
      <family val="2"/>
    </font>
    <font>
      <b/>
      <sz val="8"/>
      <color indexed="9"/>
      <name val="Arial Cyr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.5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shrinkToFit="1"/>
    </xf>
    <xf numFmtId="2" fontId="18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4" fillId="0" borderId="0" xfId="33" applyFont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center"/>
    </xf>
    <xf numFmtId="0" fontId="23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2" fontId="26" fillId="0" borderId="0" xfId="0" applyNumberFormat="1" applyFont="1" applyBorder="1" applyAlignment="1">
      <alignment/>
    </xf>
    <xf numFmtId="0" fontId="0" fillId="0" borderId="0" xfId="33" applyFont="1" applyBorder="1" applyAlignment="1">
      <alignment horizontal="left"/>
      <protection/>
    </xf>
    <xf numFmtId="0" fontId="0" fillId="0" borderId="0" xfId="33" applyFont="1" applyFill="1" applyBorder="1">
      <alignment/>
      <protection/>
    </xf>
    <xf numFmtId="0" fontId="27" fillId="0" borderId="0" xfId="33" applyFont="1" applyFill="1" applyBorder="1" applyAlignment="1">
      <alignment horizontal="center"/>
      <protection/>
    </xf>
    <xf numFmtId="0" fontId="28" fillId="33" borderId="0" xfId="0" applyFont="1" applyFill="1" applyBorder="1" applyAlignment="1">
      <alignment horizontal="left" vertical="center" wrapText="1"/>
    </xf>
    <xf numFmtId="0" fontId="0" fillId="0" borderId="0" xfId="33" applyFont="1" applyBorder="1" applyAlignment="1">
      <alignment horizontal="left" vertical="center" wrapText="1"/>
      <protection/>
    </xf>
    <xf numFmtId="0" fontId="0" fillId="0" borderId="0" xfId="33" applyFont="1" applyBorder="1" applyAlignment="1">
      <alignment horizontal="justify"/>
      <protection/>
    </xf>
    <xf numFmtId="0" fontId="2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9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/>
    </xf>
    <xf numFmtId="2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0</xdr:col>
      <xdr:colOff>1476375</xdr:colOff>
      <xdr:row>4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14573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1104900</xdr:colOff>
      <xdr:row>1</xdr:row>
      <xdr:rowOff>85725</xdr:rowOff>
    </xdr:from>
    <xdr:to>
      <xdr:col>18</xdr:col>
      <xdr:colOff>285750</xdr:colOff>
      <xdr:row>4</xdr:row>
      <xdr:rowOff>76200</xdr:rowOff>
    </xdr:to>
    <xdr:pic>
      <xdr:nvPicPr>
        <xdr:cNvPr id="2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171450"/>
          <a:ext cx="14763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38100</xdr:colOff>
      <xdr:row>26</xdr:row>
      <xdr:rowOff>133350</xdr:rowOff>
    </xdr:from>
    <xdr:to>
      <xdr:col>15</xdr:col>
      <xdr:colOff>1152525</xdr:colOff>
      <xdr:row>36</xdr:row>
      <xdr:rowOff>114300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4543425"/>
          <a:ext cx="1162050" cy="1695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1181100</xdr:colOff>
      <xdr:row>26</xdr:row>
      <xdr:rowOff>123825</xdr:rowOff>
    </xdr:from>
    <xdr:to>
      <xdr:col>18</xdr:col>
      <xdr:colOff>314325</xdr:colOff>
      <xdr:row>36</xdr:row>
      <xdr:rowOff>123825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4533900"/>
          <a:ext cx="142875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73323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zoomScale="115" zoomScaleNormal="115" zoomScalePageLayoutView="0" workbookViewId="0" topLeftCell="A1">
      <selection activeCell="A2" sqref="A2:S2"/>
    </sheetView>
  </sheetViews>
  <sheetFormatPr defaultColWidth="8.8515625" defaultRowHeight="12.75" outlineLevelRow="1"/>
  <cols>
    <col min="1" max="1" width="24.57421875" style="1" customWidth="1"/>
    <col min="2" max="2" width="5.00390625" style="2" customWidth="1"/>
    <col min="3" max="3" width="4.8515625" style="3" customWidth="1"/>
    <col min="4" max="4" width="5.00390625" style="4" customWidth="1"/>
    <col min="5" max="5" width="0.71875" style="1" customWidth="1"/>
    <col min="6" max="6" width="24.8515625" style="1" customWidth="1"/>
    <col min="7" max="7" width="5.00390625" style="5" customWidth="1"/>
    <col min="8" max="8" width="4.8515625" style="4" customWidth="1"/>
    <col min="9" max="9" width="5.00390625" style="4" customWidth="1"/>
    <col min="10" max="10" width="0.71875" style="1" customWidth="1"/>
    <col min="11" max="11" width="24.57421875" style="1" customWidth="1"/>
    <col min="12" max="12" width="5.00390625" style="6" customWidth="1"/>
    <col min="13" max="13" width="4.8515625" style="6" customWidth="1"/>
    <col min="14" max="14" width="5.00390625" style="6" customWidth="1"/>
    <col min="15" max="15" width="0.71875" style="7" customWidth="1"/>
    <col min="16" max="16" width="24.57421875" style="1" customWidth="1"/>
    <col min="17" max="17" width="5.00390625" style="8" customWidth="1"/>
    <col min="18" max="18" width="4.8515625" style="6" customWidth="1"/>
    <col min="19" max="19" width="5.00390625" style="6" customWidth="1"/>
    <col min="20" max="239" width="9.00390625" style="1" customWidth="1"/>
    <col min="240" max="241" width="9.00390625" style="9" customWidth="1"/>
  </cols>
  <sheetData>
    <row r="1" spans="1:19" ht="6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5.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3.5" customHeight="1">
      <c r="A3" s="100" t="s">
        <v>121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3.5" customHeight="1">
      <c r="A4" s="100" t="s">
        <v>122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s="13" customFormat="1" ht="13.5" customHeight="1">
      <c r="A5" s="101" t="s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s="13" customFormat="1" ht="6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 customHeight="1">
      <c r="A7" s="96" t="s">
        <v>2</v>
      </c>
      <c r="B7" s="97" t="s">
        <v>3</v>
      </c>
      <c r="C7" s="102" t="s">
        <v>4</v>
      </c>
      <c r="D7" s="102"/>
      <c r="E7" s="14"/>
      <c r="F7" s="96" t="s">
        <v>2</v>
      </c>
      <c r="G7" s="97" t="s">
        <v>3</v>
      </c>
      <c r="H7" s="102" t="s">
        <v>4</v>
      </c>
      <c r="I7" s="102"/>
      <c r="K7" s="96" t="s">
        <v>2</v>
      </c>
      <c r="L7" s="97" t="s">
        <v>3</v>
      </c>
      <c r="M7" s="98" t="s">
        <v>4</v>
      </c>
      <c r="N7" s="98"/>
      <c r="O7" s="14"/>
      <c r="P7" s="96" t="s">
        <v>2</v>
      </c>
      <c r="Q7" s="97" t="s">
        <v>3</v>
      </c>
      <c r="R7" s="98" t="s">
        <v>4</v>
      </c>
      <c r="S7" s="98"/>
    </row>
    <row r="8" spans="1:19" ht="12.75" customHeight="1">
      <c r="A8" s="96"/>
      <c r="B8" s="97"/>
      <c r="C8" s="15" t="s">
        <v>5</v>
      </c>
      <c r="D8" s="15" t="s">
        <v>6</v>
      </c>
      <c r="E8" s="14"/>
      <c r="F8" s="96"/>
      <c r="G8" s="97"/>
      <c r="H8" s="15" t="s">
        <v>5</v>
      </c>
      <c r="I8" s="15" t="s">
        <v>6</v>
      </c>
      <c r="K8" s="96"/>
      <c r="L8" s="97"/>
      <c r="M8" s="16" t="s">
        <v>5</v>
      </c>
      <c r="N8" s="16" t="s">
        <v>6</v>
      </c>
      <c r="O8" s="14"/>
      <c r="P8" s="96"/>
      <c r="Q8" s="97"/>
      <c r="R8" s="16" t="s">
        <v>5</v>
      </c>
      <c r="S8" s="16" t="s">
        <v>6</v>
      </c>
    </row>
    <row r="9" spans="1:19" ht="13.5" customHeight="1">
      <c r="A9" s="91" t="s">
        <v>7</v>
      </c>
      <c r="B9" s="91"/>
      <c r="C9" s="91"/>
      <c r="D9" s="91"/>
      <c r="E9" s="17"/>
      <c r="F9" s="91" t="s">
        <v>8</v>
      </c>
      <c r="G9" s="91"/>
      <c r="H9" s="91"/>
      <c r="I9" s="91"/>
      <c r="K9" s="91" t="s">
        <v>9</v>
      </c>
      <c r="L9" s="91"/>
      <c r="M9" s="91"/>
      <c r="N9" s="91"/>
      <c r="O9" s="18"/>
      <c r="P9" s="91" t="s">
        <v>10</v>
      </c>
      <c r="Q9" s="91"/>
      <c r="R9" s="91"/>
      <c r="S9" s="91"/>
    </row>
    <row r="10" spans="1:19" ht="13.5" customHeight="1">
      <c r="A10" s="19" t="s">
        <v>11</v>
      </c>
      <c r="B10" s="20">
        <v>1.524</v>
      </c>
      <c r="C10" s="21">
        <f aca="true" t="shared" si="0" ref="C10:C17">D10/46.45</f>
        <v>3.229278794402583</v>
      </c>
      <c r="D10" s="22">
        <f>150*D43</f>
        <v>150</v>
      </c>
      <c r="E10" s="23"/>
      <c r="F10" s="19" t="s">
        <v>12</v>
      </c>
      <c r="G10" s="24">
        <v>1.524</v>
      </c>
      <c r="H10" s="25">
        <f aca="true" t="shared" si="1" ref="H10:H18">I10/46.45</f>
        <v>6.3509149623250805</v>
      </c>
      <c r="I10" s="26">
        <f>295*D43</f>
        <v>295</v>
      </c>
      <c r="K10" s="27" t="s">
        <v>13</v>
      </c>
      <c r="L10" s="28">
        <v>1.524</v>
      </c>
      <c r="M10" s="28">
        <f>N10/46.45</f>
        <v>3.229278794402583</v>
      </c>
      <c r="N10" s="29">
        <f>150*D43</f>
        <v>150</v>
      </c>
      <c r="O10" s="30"/>
      <c r="P10" s="27" t="s">
        <v>14</v>
      </c>
      <c r="Q10" s="31">
        <v>1.524</v>
      </c>
      <c r="R10" s="32">
        <f>S10/46.45</f>
        <v>3.6813778256189447</v>
      </c>
      <c r="S10" s="33">
        <f>171*D43</f>
        <v>171</v>
      </c>
    </row>
    <row r="11" spans="1:19" ht="13.5" customHeight="1">
      <c r="A11" s="19" t="s">
        <v>15</v>
      </c>
      <c r="B11" s="20">
        <v>1.524</v>
      </c>
      <c r="C11" s="21">
        <f t="shared" si="0"/>
        <v>3.229278794402583</v>
      </c>
      <c r="D11" s="22">
        <f>150*D43</f>
        <v>150</v>
      </c>
      <c r="E11" s="23"/>
      <c r="F11" s="19" t="s">
        <v>16</v>
      </c>
      <c r="G11" s="24">
        <v>1.524</v>
      </c>
      <c r="H11" s="25">
        <f t="shared" si="1"/>
        <v>6.3509149623250805</v>
      </c>
      <c r="I11" s="26">
        <f>295*D43</f>
        <v>295</v>
      </c>
      <c r="K11" s="27" t="s">
        <v>17</v>
      </c>
      <c r="L11" s="34">
        <v>1.524</v>
      </c>
      <c r="M11" s="28">
        <f>N11/46.45</f>
        <v>4.090419806243272</v>
      </c>
      <c r="N11" s="29">
        <f>190*D43</f>
        <v>190</v>
      </c>
      <c r="O11" s="30"/>
      <c r="P11" s="27" t="s">
        <v>18</v>
      </c>
      <c r="Q11" s="35">
        <v>1.524</v>
      </c>
      <c r="R11" s="32">
        <f>S11/46.45</f>
        <v>3.8751345532831</v>
      </c>
      <c r="S11" s="36">
        <f>180*D43</f>
        <v>180</v>
      </c>
    </row>
    <row r="12" spans="1:19" ht="13.5" customHeight="1">
      <c r="A12" s="19" t="s">
        <v>19</v>
      </c>
      <c r="B12" s="20">
        <v>1.524</v>
      </c>
      <c r="C12" s="21">
        <f t="shared" si="0"/>
        <v>3.229278794402583</v>
      </c>
      <c r="D12" s="22">
        <f>150*D43</f>
        <v>150</v>
      </c>
      <c r="E12" s="23"/>
      <c r="F12" s="19" t="s">
        <v>20</v>
      </c>
      <c r="G12" s="24">
        <v>1.524</v>
      </c>
      <c r="H12" s="25">
        <f t="shared" si="1"/>
        <v>6.3509149623250805</v>
      </c>
      <c r="I12" s="26">
        <f>295*D43</f>
        <v>295</v>
      </c>
      <c r="K12" s="37" t="s">
        <v>21</v>
      </c>
      <c r="L12" s="21">
        <v>1.524</v>
      </c>
      <c r="M12" s="21">
        <v>4.95</v>
      </c>
      <c r="N12" s="38">
        <f>M12*1.524*30.48</f>
        <v>229.935024</v>
      </c>
      <c r="O12" s="30"/>
      <c r="P12" s="27" t="s">
        <v>22</v>
      </c>
      <c r="Q12" s="35">
        <v>1.524</v>
      </c>
      <c r="R12" s="32">
        <f>S12/46.45</f>
        <v>5.81270182992465</v>
      </c>
      <c r="S12" s="36">
        <f>270*D43</f>
        <v>270</v>
      </c>
    </row>
    <row r="13" spans="1:19" ht="13.5" customHeight="1">
      <c r="A13" s="19" t="s">
        <v>23</v>
      </c>
      <c r="B13" s="20">
        <v>1.524</v>
      </c>
      <c r="C13" s="21">
        <f t="shared" si="0"/>
        <v>3.229278794402583</v>
      </c>
      <c r="D13" s="22">
        <f>150*D43</f>
        <v>150</v>
      </c>
      <c r="E13" s="23"/>
      <c r="F13" s="19" t="s">
        <v>24</v>
      </c>
      <c r="G13" s="24">
        <v>1.524</v>
      </c>
      <c r="H13" s="25">
        <f t="shared" si="1"/>
        <v>6.3509149623250805</v>
      </c>
      <c r="I13" s="26">
        <f>295*D43</f>
        <v>295</v>
      </c>
      <c r="K13" s="37" t="s">
        <v>25</v>
      </c>
      <c r="L13" s="21">
        <v>1.524</v>
      </c>
      <c r="M13" s="21">
        <v>4.95</v>
      </c>
      <c r="N13" s="38">
        <f>M13*1.524*30.48</f>
        <v>229.935024</v>
      </c>
      <c r="O13" s="30"/>
      <c r="P13" s="27" t="s">
        <v>26</v>
      </c>
      <c r="Q13" s="35">
        <v>1.524</v>
      </c>
      <c r="R13" s="39">
        <f>S13/46.45</f>
        <v>9.687836383207749</v>
      </c>
      <c r="S13" s="36">
        <f>450*D43</f>
        <v>450</v>
      </c>
    </row>
    <row r="14" spans="1:19" ht="13.5" customHeight="1">
      <c r="A14" s="19" t="s">
        <v>27</v>
      </c>
      <c r="B14" s="20">
        <v>1.524</v>
      </c>
      <c r="C14" s="21">
        <f t="shared" si="0"/>
        <v>3.6598493003229278</v>
      </c>
      <c r="D14" s="22">
        <f>170*D43</f>
        <v>170</v>
      </c>
      <c r="E14" s="23"/>
      <c r="F14" s="19" t="s">
        <v>28</v>
      </c>
      <c r="G14" s="24">
        <v>1.524</v>
      </c>
      <c r="H14" s="25">
        <f t="shared" si="1"/>
        <v>6.3509149623250805</v>
      </c>
      <c r="I14" s="26">
        <f>295*D43</f>
        <v>295</v>
      </c>
      <c r="K14" s="91" t="s">
        <v>29</v>
      </c>
      <c r="L14" s="91"/>
      <c r="M14" s="91"/>
      <c r="N14" s="91"/>
      <c r="O14" s="30"/>
      <c r="P14" s="91" t="s">
        <v>10</v>
      </c>
      <c r="Q14" s="91"/>
      <c r="R14" s="91"/>
      <c r="S14" s="91"/>
    </row>
    <row r="15" spans="1:19" ht="13.5" customHeight="1">
      <c r="A15" s="19" t="s">
        <v>30</v>
      </c>
      <c r="B15" s="20">
        <v>1.524</v>
      </c>
      <c r="C15" s="21">
        <f t="shared" si="0"/>
        <v>3.6598493003229278</v>
      </c>
      <c r="D15" s="22">
        <f>170*D43</f>
        <v>170</v>
      </c>
      <c r="E15" s="40"/>
      <c r="F15" s="19" t="s">
        <v>31</v>
      </c>
      <c r="G15" s="24">
        <v>1.524</v>
      </c>
      <c r="H15" s="25">
        <f t="shared" si="1"/>
        <v>6.3509149623250805</v>
      </c>
      <c r="I15" s="26">
        <f>295*D43</f>
        <v>295</v>
      </c>
      <c r="K15" s="27" t="s">
        <v>13</v>
      </c>
      <c r="L15" s="34">
        <v>1.524</v>
      </c>
      <c r="M15" s="28">
        <f>N15/46.45</f>
        <v>4.951560818083961</v>
      </c>
      <c r="N15" s="29">
        <f>230*D43</f>
        <v>230</v>
      </c>
      <c r="O15" s="30"/>
      <c r="P15" s="41" t="s">
        <v>32</v>
      </c>
      <c r="Q15" s="42">
        <v>1.83</v>
      </c>
      <c r="R15" s="43">
        <f>S15/55.77</f>
        <v>4.662004662004661</v>
      </c>
      <c r="S15" s="22">
        <f>260*D43</f>
        <v>260</v>
      </c>
    </row>
    <row r="16" spans="1:19" ht="13.5" customHeight="1">
      <c r="A16" s="19" t="s">
        <v>33</v>
      </c>
      <c r="B16" s="20">
        <v>1.524</v>
      </c>
      <c r="C16" s="21">
        <f t="shared" si="0"/>
        <v>3.6598493003229278</v>
      </c>
      <c r="D16" s="22">
        <f>170*D43</f>
        <v>170</v>
      </c>
      <c r="E16" s="40"/>
      <c r="F16" s="44" t="s">
        <v>34</v>
      </c>
      <c r="G16" s="45">
        <v>1.524</v>
      </c>
      <c r="H16" s="28">
        <f t="shared" si="1"/>
        <v>5.382131324004305</v>
      </c>
      <c r="I16" s="36">
        <f>250*D43</f>
        <v>250</v>
      </c>
      <c r="K16" s="27" t="s">
        <v>13</v>
      </c>
      <c r="L16" s="46">
        <v>1.83</v>
      </c>
      <c r="M16" s="28">
        <f>N16/55.9</f>
        <v>4.937388193202147</v>
      </c>
      <c r="N16" s="29">
        <f>276*D43</f>
        <v>276</v>
      </c>
      <c r="O16" s="30"/>
      <c r="P16" s="41" t="s">
        <v>35</v>
      </c>
      <c r="Q16" s="42">
        <v>1.83</v>
      </c>
      <c r="R16" s="21">
        <f>S16/55.77</f>
        <v>6.95714541868388</v>
      </c>
      <c r="S16" s="22">
        <f>388*D43</f>
        <v>388</v>
      </c>
    </row>
    <row r="17" spans="1:19" ht="13.5" customHeight="1">
      <c r="A17" s="19" t="s">
        <v>36</v>
      </c>
      <c r="B17" s="20">
        <v>1.524</v>
      </c>
      <c r="C17" s="21">
        <f t="shared" si="0"/>
        <v>3.6598493003229278</v>
      </c>
      <c r="D17" s="22">
        <f>170*D43</f>
        <v>170</v>
      </c>
      <c r="E17" s="40"/>
      <c r="F17" s="44" t="s">
        <v>37</v>
      </c>
      <c r="G17" s="45">
        <v>1.524</v>
      </c>
      <c r="H17" s="28">
        <f t="shared" si="1"/>
        <v>5.382131324004305</v>
      </c>
      <c r="I17" s="36">
        <f>250*D43</f>
        <v>250</v>
      </c>
      <c r="K17" s="27" t="s">
        <v>38</v>
      </c>
      <c r="L17" s="34">
        <v>1.524</v>
      </c>
      <c r="M17" s="28">
        <f>N17/46.45</f>
        <v>5.705059203444564</v>
      </c>
      <c r="N17" s="29">
        <f>265*D43</f>
        <v>265</v>
      </c>
      <c r="O17" s="30"/>
      <c r="P17" s="41" t="s">
        <v>39</v>
      </c>
      <c r="Q17" s="42">
        <v>1.83</v>
      </c>
      <c r="R17" s="21">
        <f>S17/55.77</f>
        <v>11.619150080688541</v>
      </c>
      <c r="S17" s="22">
        <f>648*D43</f>
        <v>648</v>
      </c>
    </row>
    <row r="18" spans="1:19" ht="13.5" customHeight="1">
      <c r="A18" s="91" t="s">
        <v>40</v>
      </c>
      <c r="B18" s="91"/>
      <c r="C18" s="91"/>
      <c r="D18" s="91"/>
      <c r="E18" s="40"/>
      <c r="F18" s="44" t="s">
        <v>41</v>
      </c>
      <c r="G18" s="45">
        <v>1.524</v>
      </c>
      <c r="H18" s="28">
        <f t="shared" si="1"/>
        <v>5.382131324004305</v>
      </c>
      <c r="I18" s="36">
        <f>250*D43</f>
        <v>250</v>
      </c>
      <c r="K18" s="27" t="s">
        <v>17</v>
      </c>
      <c r="L18" s="28">
        <v>1.524</v>
      </c>
      <c r="M18" s="28">
        <f>N18/46.45</f>
        <v>5.705059203444564</v>
      </c>
      <c r="N18" s="29">
        <f>265*D43</f>
        <v>265</v>
      </c>
      <c r="O18" s="30"/>
      <c r="P18" s="91" t="s">
        <v>42</v>
      </c>
      <c r="Q18" s="91"/>
      <c r="R18" s="91"/>
      <c r="S18" s="91"/>
    </row>
    <row r="19" spans="1:19" ht="13.5" customHeight="1">
      <c r="A19" s="19" t="s">
        <v>43</v>
      </c>
      <c r="B19" s="47">
        <v>1.524</v>
      </c>
      <c r="C19" s="28">
        <f aca="true" t="shared" si="2" ref="C19:C29">D19/46.45</f>
        <v>4.8439181916038745</v>
      </c>
      <c r="D19" s="36">
        <f>225*D43</f>
        <v>225</v>
      </c>
      <c r="E19" s="40"/>
      <c r="F19" s="91" t="s">
        <v>44</v>
      </c>
      <c r="G19" s="91">
        <v>1.83</v>
      </c>
      <c r="H19" s="91" t="e">
        <f>7.49*#REF!</f>
        <v>#REF!</v>
      </c>
      <c r="I19" s="91" t="e">
        <f>348*#REF!</f>
        <v>#REF!</v>
      </c>
      <c r="K19" s="48" t="s">
        <v>45</v>
      </c>
      <c r="L19" s="28">
        <v>1.524</v>
      </c>
      <c r="M19" s="28">
        <f>N19/46.45</f>
        <v>5.705059203444564</v>
      </c>
      <c r="N19" s="29">
        <f>265*D43</f>
        <v>265</v>
      </c>
      <c r="O19" s="30"/>
      <c r="P19" s="37" t="s">
        <v>46</v>
      </c>
      <c r="Q19" s="49">
        <v>1.524</v>
      </c>
      <c r="R19" s="43">
        <f>S19/46.45</f>
        <v>6.027987082884822</v>
      </c>
      <c r="S19" s="22">
        <f>280*D43</f>
        <v>280</v>
      </c>
    </row>
    <row r="20" spans="1:19" ht="13.5" customHeight="1">
      <c r="A20" s="19" t="s">
        <v>19</v>
      </c>
      <c r="B20" s="50">
        <v>1.524</v>
      </c>
      <c r="C20" s="28">
        <f t="shared" si="2"/>
        <v>4.8439181916038745</v>
      </c>
      <c r="D20" s="36">
        <f>225*D43</f>
        <v>225</v>
      </c>
      <c r="E20" s="40"/>
      <c r="F20" s="51" t="s">
        <v>47</v>
      </c>
      <c r="G20" s="52">
        <v>1.524</v>
      </c>
      <c r="H20" s="21">
        <f aca="true" t="shared" si="3" ref="H20:H25">I20/46.45</f>
        <v>6.3509149623250805</v>
      </c>
      <c r="I20" s="22">
        <f>295*D43</f>
        <v>295</v>
      </c>
      <c r="K20" s="91" t="s">
        <v>48</v>
      </c>
      <c r="L20" s="91"/>
      <c r="M20" s="91"/>
      <c r="N20" s="91"/>
      <c r="O20" s="30"/>
      <c r="P20" s="37" t="s">
        <v>49</v>
      </c>
      <c r="Q20" s="49">
        <v>1.524</v>
      </c>
      <c r="R20" s="43">
        <f>S20/46.45</f>
        <v>6.027987082884822</v>
      </c>
      <c r="S20" s="22">
        <f>280*D43</f>
        <v>280</v>
      </c>
    </row>
    <row r="21" spans="1:19" ht="13.5" customHeight="1">
      <c r="A21" s="19" t="s">
        <v>50</v>
      </c>
      <c r="B21" s="50">
        <v>1.524</v>
      </c>
      <c r="C21" s="28">
        <f t="shared" si="2"/>
        <v>4.8439181916038745</v>
      </c>
      <c r="D21" s="36">
        <f>225*D43</f>
        <v>225</v>
      </c>
      <c r="E21" s="40"/>
      <c r="F21" s="19" t="s">
        <v>51</v>
      </c>
      <c r="G21" s="24">
        <v>1.524</v>
      </c>
      <c r="H21" s="21">
        <f t="shared" si="3"/>
        <v>6.3509149623250805</v>
      </c>
      <c r="I21" s="26">
        <f>295*D43</f>
        <v>295</v>
      </c>
      <c r="K21" s="37" t="s">
        <v>52</v>
      </c>
      <c r="L21" s="21">
        <v>0.92</v>
      </c>
      <c r="M21" s="21">
        <v>4.95</v>
      </c>
      <c r="N21" s="38">
        <f>M21*0.92*50</f>
        <v>227.70000000000002</v>
      </c>
      <c r="O21" s="30"/>
      <c r="P21" s="37" t="s">
        <v>53</v>
      </c>
      <c r="Q21" s="49">
        <v>1.524</v>
      </c>
      <c r="R21" s="43">
        <f>S21/46.45</f>
        <v>6.027987082884822</v>
      </c>
      <c r="S21" s="22">
        <f>280*D43</f>
        <v>280</v>
      </c>
    </row>
    <row r="22" spans="1:19" ht="13.5" customHeight="1">
      <c r="A22" s="19" t="s">
        <v>54</v>
      </c>
      <c r="B22" s="50">
        <v>1.524</v>
      </c>
      <c r="C22" s="28">
        <f t="shared" si="2"/>
        <v>4.8439181916038745</v>
      </c>
      <c r="D22" s="36">
        <f>225*D43</f>
        <v>225</v>
      </c>
      <c r="E22" s="40"/>
      <c r="F22" s="19" t="s">
        <v>55</v>
      </c>
      <c r="G22" s="24">
        <v>1.524</v>
      </c>
      <c r="H22" s="21">
        <f t="shared" si="3"/>
        <v>6.3509149623250805</v>
      </c>
      <c r="I22" s="26">
        <f>295*D43</f>
        <v>295</v>
      </c>
      <c r="K22" s="37" t="s">
        <v>56</v>
      </c>
      <c r="L22" s="21">
        <v>1.524</v>
      </c>
      <c r="M22" s="21">
        <v>4.95</v>
      </c>
      <c r="N22" s="38">
        <f>M22*1.524*30.48</f>
        <v>229.935024</v>
      </c>
      <c r="O22" s="30"/>
      <c r="P22" s="95" t="s">
        <v>57</v>
      </c>
      <c r="Q22" s="95"/>
      <c r="R22" s="95"/>
      <c r="S22" s="95"/>
    </row>
    <row r="23" spans="1:19" ht="13.5" customHeight="1">
      <c r="A23" s="19" t="s">
        <v>58</v>
      </c>
      <c r="B23" s="47">
        <v>1.524</v>
      </c>
      <c r="C23" s="28">
        <f t="shared" si="2"/>
        <v>5.618945102260494</v>
      </c>
      <c r="D23" s="36">
        <f>261*D43</f>
        <v>261</v>
      </c>
      <c r="E23" s="40"/>
      <c r="F23" s="19" t="s">
        <v>59</v>
      </c>
      <c r="G23" s="24">
        <v>1.524</v>
      </c>
      <c r="H23" s="21">
        <f t="shared" si="3"/>
        <v>6.3509149623250805</v>
      </c>
      <c r="I23" s="26">
        <f>295*D43</f>
        <v>295</v>
      </c>
      <c r="K23" s="37" t="s">
        <v>56</v>
      </c>
      <c r="L23" s="21">
        <v>0.93</v>
      </c>
      <c r="M23" s="21">
        <v>4.95</v>
      </c>
      <c r="N23" s="38">
        <f>M23*0.93*50</f>
        <v>230.175</v>
      </c>
      <c r="O23" s="30"/>
      <c r="P23" s="95" t="s">
        <v>60</v>
      </c>
      <c r="Q23" s="95"/>
      <c r="R23" s="95"/>
      <c r="S23" s="95"/>
    </row>
    <row r="24" spans="1:24" ht="13.5" customHeight="1">
      <c r="A24" s="19" t="s">
        <v>61</v>
      </c>
      <c r="B24" s="50">
        <v>1.524</v>
      </c>
      <c r="C24" s="28">
        <f t="shared" si="2"/>
        <v>5.618945102260494</v>
      </c>
      <c r="D24" s="36">
        <f>261*D43</f>
        <v>261</v>
      </c>
      <c r="E24" s="40"/>
      <c r="F24" s="19" t="s">
        <v>62</v>
      </c>
      <c r="G24" s="24">
        <v>1.524</v>
      </c>
      <c r="H24" s="21">
        <f t="shared" si="3"/>
        <v>6.3509149623250805</v>
      </c>
      <c r="I24" s="26">
        <f>295*D43</f>
        <v>295</v>
      </c>
      <c r="K24" s="19" t="s">
        <v>63</v>
      </c>
      <c r="L24" s="21">
        <v>1.27</v>
      </c>
      <c r="M24" s="21">
        <v>4.95</v>
      </c>
      <c r="N24" s="38">
        <f>M24*1.27*30</f>
        <v>188.595</v>
      </c>
      <c r="O24" s="30"/>
      <c r="P24" s="37" t="s">
        <v>64</v>
      </c>
      <c r="Q24" s="42">
        <v>1.83</v>
      </c>
      <c r="R24" s="43">
        <f>S24/55.77</f>
        <v>5.199928276851353</v>
      </c>
      <c r="S24" s="22">
        <f>290*D43</f>
        <v>290</v>
      </c>
      <c r="X24"/>
    </row>
    <row r="25" spans="1:19" ht="13.5" customHeight="1">
      <c r="A25" s="19" t="s">
        <v>65</v>
      </c>
      <c r="B25" s="47">
        <v>1.524</v>
      </c>
      <c r="C25" s="28">
        <f t="shared" si="2"/>
        <v>4.8439181916038745</v>
      </c>
      <c r="D25" s="36">
        <f>225*D43</f>
        <v>225</v>
      </c>
      <c r="E25" s="40"/>
      <c r="F25" s="19" t="s">
        <v>66</v>
      </c>
      <c r="G25" s="24">
        <v>1.524</v>
      </c>
      <c r="H25" s="21">
        <f t="shared" si="3"/>
        <v>6.3509149623250805</v>
      </c>
      <c r="I25" s="26">
        <f>295*D43</f>
        <v>295</v>
      </c>
      <c r="K25" s="37" t="s">
        <v>67</v>
      </c>
      <c r="L25" s="21">
        <v>0.92</v>
      </c>
      <c r="M25" s="21">
        <v>4.95</v>
      </c>
      <c r="N25" s="38">
        <f>M25*0.92*50</f>
        <v>227.70000000000002</v>
      </c>
      <c r="O25" s="30"/>
      <c r="P25" s="53"/>
      <c r="Q25" s="54"/>
      <c r="R25" s="55"/>
      <c r="S25" s="56"/>
    </row>
    <row r="26" spans="1:19" ht="13.5" customHeight="1">
      <c r="A26" s="19" t="s">
        <v>68</v>
      </c>
      <c r="B26" s="57">
        <v>1.524</v>
      </c>
      <c r="C26" s="28">
        <f t="shared" si="2"/>
        <v>4.8439181916038745</v>
      </c>
      <c r="D26" s="36">
        <f>225*D43</f>
        <v>225</v>
      </c>
      <c r="E26" s="40"/>
      <c r="F26" s="91" t="s">
        <v>69</v>
      </c>
      <c r="G26" s="91"/>
      <c r="H26" s="91"/>
      <c r="I26" s="91"/>
      <c r="K26" s="37" t="s">
        <v>70</v>
      </c>
      <c r="L26" s="21">
        <v>0.92</v>
      </c>
      <c r="M26" s="28">
        <f>N26/46</f>
        <v>6.782608695652174</v>
      </c>
      <c r="N26" s="38">
        <f>312*D43</f>
        <v>312</v>
      </c>
      <c r="O26" s="30"/>
      <c r="P26" s="91" t="s">
        <v>71</v>
      </c>
      <c r="Q26" s="91"/>
      <c r="R26" s="91"/>
      <c r="S26" s="91"/>
    </row>
    <row r="27" spans="1:19" ht="13.5" customHeight="1">
      <c r="A27" s="19" t="s">
        <v>72</v>
      </c>
      <c r="B27" s="57">
        <v>1.524</v>
      </c>
      <c r="C27" s="28">
        <f t="shared" si="2"/>
        <v>4.8439181916038745</v>
      </c>
      <c r="D27" s="36">
        <f>225*D43</f>
        <v>225</v>
      </c>
      <c r="E27" s="40"/>
      <c r="F27" s="58" t="s">
        <v>73</v>
      </c>
      <c r="G27" s="59">
        <v>1.524</v>
      </c>
      <c r="H27" s="21">
        <f>I27/46.45</f>
        <v>5.834230355220667</v>
      </c>
      <c r="I27" s="22">
        <f>271*D43</f>
        <v>271</v>
      </c>
      <c r="K27" s="37" t="s">
        <v>74</v>
      </c>
      <c r="L27" s="60">
        <v>0.92</v>
      </c>
      <c r="M27" s="21">
        <v>4.95</v>
      </c>
      <c r="N27" s="38">
        <f>M27*0.92*50</f>
        <v>227.70000000000002</v>
      </c>
      <c r="O27" s="61"/>
      <c r="P27" s="90"/>
      <c r="Q27" s="90"/>
      <c r="R27" s="90"/>
      <c r="S27" s="90"/>
    </row>
    <row r="28" spans="1:19" ht="13.5" customHeight="1">
      <c r="A28" s="19" t="s">
        <v>75</v>
      </c>
      <c r="B28" s="57">
        <v>1.524</v>
      </c>
      <c r="C28" s="28">
        <f t="shared" si="2"/>
        <v>4.8439181916038745</v>
      </c>
      <c r="D28" s="36">
        <f>225*D43</f>
        <v>225</v>
      </c>
      <c r="E28" s="40"/>
      <c r="F28" s="58" t="s">
        <v>76</v>
      </c>
      <c r="G28" s="59">
        <v>1.524</v>
      </c>
      <c r="H28" s="21">
        <f>I28/46.45</f>
        <v>5.834230355220667</v>
      </c>
      <c r="I28" s="22">
        <f>271*D43</f>
        <v>271</v>
      </c>
      <c r="K28" s="37" t="s">
        <v>77</v>
      </c>
      <c r="L28" s="21">
        <v>1</v>
      </c>
      <c r="M28" s="21">
        <v>4.95</v>
      </c>
      <c r="N28" s="38">
        <f>M28*1*30</f>
        <v>148.5</v>
      </c>
      <c r="O28" s="61"/>
      <c r="P28" s="90"/>
      <c r="Q28" s="90"/>
      <c r="R28" s="90"/>
      <c r="S28" s="90"/>
    </row>
    <row r="29" spans="1:19" ht="13.5" customHeight="1">
      <c r="A29" s="19" t="s">
        <v>78</v>
      </c>
      <c r="B29" s="57">
        <v>1.524</v>
      </c>
      <c r="C29" s="28">
        <f t="shared" si="2"/>
        <v>5.618945102260494</v>
      </c>
      <c r="D29" s="36">
        <f>261*D43</f>
        <v>261</v>
      </c>
      <c r="E29" s="40"/>
      <c r="F29" s="37" t="s">
        <v>79</v>
      </c>
      <c r="G29" s="59">
        <v>1.524</v>
      </c>
      <c r="H29" s="21">
        <f>I29/46.45</f>
        <v>5.834230355220667</v>
      </c>
      <c r="I29" s="22">
        <f>271*D43</f>
        <v>271</v>
      </c>
      <c r="K29" s="37" t="s">
        <v>80</v>
      </c>
      <c r="L29" s="21">
        <v>0.92</v>
      </c>
      <c r="M29" s="21">
        <v>4.95</v>
      </c>
      <c r="N29" s="38">
        <f>M29*0.92*50</f>
        <v>227.70000000000002</v>
      </c>
      <c r="O29" s="30"/>
      <c r="P29" s="90"/>
      <c r="Q29" s="90"/>
      <c r="R29" s="90"/>
      <c r="S29" s="90"/>
    </row>
    <row r="30" spans="1:19" ht="13.5" customHeight="1">
      <c r="A30" s="91" t="s">
        <v>81</v>
      </c>
      <c r="B30" s="91"/>
      <c r="C30" s="91"/>
      <c r="D30" s="91"/>
      <c r="E30" s="40"/>
      <c r="F30" s="58" t="s">
        <v>82</v>
      </c>
      <c r="G30" s="59">
        <v>1.524</v>
      </c>
      <c r="H30" s="21">
        <f>I30/46.45</f>
        <v>5.834230355220667</v>
      </c>
      <c r="I30" s="22">
        <f>271*D43</f>
        <v>271</v>
      </c>
      <c r="K30" s="37" t="s">
        <v>83</v>
      </c>
      <c r="L30" s="21">
        <v>0.92</v>
      </c>
      <c r="M30" s="21">
        <v>4.95</v>
      </c>
      <c r="N30" s="38">
        <f>M30*0.92*50</f>
        <v>227.70000000000002</v>
      </c>
      <c r="O30" s="30"/>
      <c r="P30" s="90"/>
      <c r="Q30" s="90"/>
      <c r="R30" s="90"/>
      <c r="S30" s="90"/>
    </row>
    <row r="31" spans="1:19" ht="13.5" customHeight="1">
      <c r="A31" s="19" t="s">
        <v>43</v>
      </c>
      <c r="B31" s="62">
        <v>1.83</v>
      </c>
      <c r="C31" s="28">
        <f aca="true" t="shared" si="4" ref="C31:C36">D31/55.77</f>
        <v>4.841312533620226</v>
      </c>
      <c r="D31" s="36">
        <f>270*D43</f>
        <v>270</v>
      </c>
      <c r="E31" s="40"/>
      <c r="F31" s="58" t="s">
        <v>84</v>
      </c>
      <c r="G31" s="59">
        <v>1.524</v>
      </c>
      <c r="H31" s="21">
        <f>I31/46.45</f>
        <v>5.834230355220667</v>
      </c>
      <c r="I31" s="22">
        <f>271*D43</f>
        <v>271</v>
      </c>
      <c r="K31" s="37" t="s">
        <v>85</v>
      </c>
      <c r="L31" s="21">
        <v>0.92</v>
      </c>
      <c r="M31" s="21">
        <v>4.95</v>
      </c>
      <c r="N31" s="38">
        <f>M31*0.92*50</f>
        <v>227.70000000000002</v>
      </c>
      <c r="O31" s="30"/>
      <c r="P31" s="90"/>
      <c r="Q31" s="90"/>
      <c r="R31" s="90"/>
      <c r="S31" s="90"/>
    </row>
    <row r="32" spans="1:19" ht="13.5" customHeight="1">
      <c r="A32" s="19" t="s">
        <v>19</v>
      </c>
      <c r="B32" s="63">
        <v>1.83</v>
      </c>
      <c r="C32" s="28">
        <f t="shared" si="4"/>
        <v>4.841312533620226</v>
      </c>
      <c r="D32" s="36">
        <f>270*D43</f>
        <v>270</v>
      </c>
      <c r="E32" s="40"/>
      <c r="F32" s="91" t="s">
        <v>86</v>
      </c>
      <c r="G32" s="91"/>
      <c r="H32" s="91"/>
      <c r="I32" s="91"/>
      <c r="K32" s="37" t="s">
        <v>87</v>
      </c>
      <c r="L32" s="21">
        <v>1.22</v>
      </c>
      <c r="M32" s="28">
        <f>N32/54.9</f>
        <v>6.794171220400729</v>
      </c>
      <c r="N32" s="38">
        <f>373*D43</f>
        <v>373</v>
      </c>
      <c r="O32" s="30"/>
      <c r="P32" s="90"/>
      <c r="Q32" s="90"/>
      <c r="R32" s="90"/>
      <c r="S32" s="90"/>
    </row>
    <row r="33" spans="1:19" ht="13.5" customHeight="1">
      <c r="A33" s="19" t="s">
        <v>88</v>
      </c>
      <c r="B33" s="63">
        <v>1.83</v>
      </c>
      <c r="C33" s="28">
        <f t="shared" si="4"/>
        <v>4.841312533620226</v>
      </c>
      <c r="D33" s="36">
        <f>270*D43</f>
        <v>270</v>
      </c>
      <c r="E33" s="40"/>
      <c r="F33" s="37" t="s">
        <v>89</v>
      </c>
      <c r="G33" s="59">
        <v>1.524</v>
      </c>
      <c r="H33" s="21">
        <f>I33/46.45</f>
        <v>6.8891280947255105</v>
      </c>
      <c r="I33" s="22">
        <f>320*D43</f>
        <v>320</v>
      </c>
      <c r="K33" s="64" t="s">
        <v>90</v>
      </c>
      <c r="L33" s="21">
        <v>1.27</v>
      </c>
      <c r="M33" s="60">
        <v>4.95</v>
      </c>
      <c r="N33" s="38">
        <f>M33*1.27*30</f>
        <v>188.595</v>
      </c>
      <c r="O33" s="30"/>
      <c r="P33" s="90"/>
      <c r="Q33" s="90"/>
      <c r="R33" s="90"/>
      <c r="S33" s="90"/>
    </row>
    <row r="34" spans="1:19" ht="13.5" customHeight="1">
      <c r="A34" s="19" t="s">
        <v>91</v>
      </c>
      <c r="B34" s="62">
        <v>1.83</v>
      </c>
      <c r="C34" s="28">
        <f t="shared" si="4"/>
        <v>5.594405594405594</v>
      </c>
      <c r="D34" s="36">
        <f>312*D43</f>
        <v>312</v>
      </c>
      <c r="E34" s="40"/>
      <c r="F34" s="37" t="s">
        <v>92</v>
      </c>
      <c r="G34" s="59">
        <v>1.524</v>
      </c>
      <c r="H34" s="21">
        <f>I34/46.45</f>
        <v>6.8891280947255105</v>
      </c>
      <c r="I34" s="22">
        <f>320*D43</f>
        <v>320</v>
      </c>
      <c r="K34" s="64" t="s">
        <v>93</v>
      </c>
      <c r="L34" s="21">
        <v>1.27</v>
      </c>
      <c r="M34" s="65">
        <v>4.95</v>
      </c>
      <c r="N34" s="38">
        <f>M34*1.27*30</f>
        <v>188.595</v>
      </c>
      <c r="O34" s="30"/>
      <c r="P34" s="90"/>
      <c r="Q34" s="90"/>
      <c r="R34" s="90"/>
      <c r="S34" s="90"/>
    </row>
    <row r="35" spans="1:19" ht="13.5" customHeight="1">
      <c r="A35" s="19" t="s">
        <v>65</v>
      </c>
      <c r="B35" s="62">
        <v>1.83</v>
      </c>
      <c r="C35" s="28">
        <f t="shared" si="4"/>
        <v>4.841312533620226</v>
      </c>
      <c r="D35" s="36">
        <f>270*D43</f>
        <v>270</v>
      </c>
      <c r="E35" s="66"/>
      <c r="F35" s="91" t="s">
        <v>94</v>
      </c>
      <c r="G35" s="91"/>
      <c r="H35" s="91"/>
      <c r="I35" s="91"/>
      <c r="K35" s="64" t="s">
        <v>95</v>
      </c>
      <c r="L35" s="60">
        <v>1.27</v>
      </c>
      <c r="M35" s="60">
        <v>4.95</v>
      </c>
      <c r="N35" s="38">
        <f>M35*1.27*30</f>
        <v>188.595</v>
      </c>
      <c r="O35" s="30"/>
      <c r="P35" s="90"/>
      <c r="Q35" s="90"/>
      <c r="R35" s="90"/>
      <c r="S35" s="90"/>
    </row>
    <row r="36" spans="1:19" ht="13.5" customHeight="1" outlineLevel="1">
      <c r="A36" s="19" t="s">
        <v>72</v>
      </c>
      <c r="B36" s="62">
        <v>1.83</v>
      </c>
      <c r="C36" s="28">
        <f t="shared" si="4"/>
        <v>4.841312533620226</v>
      </c>
      <c r="D36" s="36">
        <f>270*D43</f>
        <v>270</v>
      </c>
      <c r="E36"/>
      <c r="F36" s="37" t="s">
        <v>96</v>
      </c>
      <c r="G36" s="59">
        <v>1.524</v>
      </c>
      <c r="H36" s="67">
        <f>I36/46.45</f>
        <v>9.041980624327232</v>
      </c>
      <c r="I36" s="22">
        <f>420*D43</f>
        <v>420</v>
      </c>
      <c r="J36"/>
      <c r="K36" s="37" t="s">
        <v>97</v>
      </c>
      <c r="L36" s="60">
        <v>1.2</v>
      </c>
      <c r="M36" s="60">
        <v>4.95</v>
      </c>
      <c r="N36" s="38">
        <f>M36*1.2*30</f>
        <v>178.20000000000002</v>
      </c>
      <c r="O36" s="30"/>
      <c r="P36" s="90"/>
      <c r="Q36" s="90"/>
      <c r="R36" s="90"/>
      <c r="S36" s="90"/>
    </row>
    <row r="37" spans="1:19" ht="13.5" customHeight="1">
      <c r="A37" s="91" t="s">
        <v>98</v>
      </c>
      <c r="B37" s="91"/>
      <c r="C37" s="91"/>
      <c r="D37" s="91"/>
      <c r="E37" s="68"/>
      <c r="F37" s="69" t="s">
        <v>99</v>
      </c>
      <c r="G37" s="59">
        <v>1.524</v>
      </c>
      <c r="H37" s="67">
        <f>I37/46.45</f>
        <v>11.194833153928956</v>
      </c>
      <c r="I37" s="22">
        <f>520*D43</f>
        <v>520</v>
      </c>
      <c r="K37" s="64" t="s">
        <v>100</v>
      </c>
      <c r="L37" s="25">
        <v>1.22</v>
      </c>
      <c r="M37" s="39">
        <f>N37/37.19</f>
        <v>23.097606883570855</v>
      </c>
      <c r="N37" s="22">
        <f>859*D43</f>
        <v>859</v>
      </c>
      <c r="O37" s="70"/>
      <c r="P37" s="90"/>
      <c r="Q37" s="90"/>
      <c r="R37" s="90"/>
      <c r="S37" s="90"/>
    </row>
    <row r="38" spans="1:19" ht="13.5" customHeight="1">
      <c r="A38" s="58" t="s">
        <v>101</v>
      </c>
      <c r="B38" s="59">
        <v>1.524</v>
      </c>
      <c r="C38" s="71">
        <f>D38/46.45</f>
        <v>7.104413347685683</v>
      </c>
      <c r="D38" s="22">
        <f>330*D43</f>
        <v>330</v>
      </c>
      <c r="E38" s="68"/>
      <c r="F38" s="69" t="s">
        <v>102</v>
      </c>
      <c r="G38" s="59">
        <v>1.524</v>
      </c>
      <c r="H38" s="67">
        <f>I38/46.45</f>
        <v>11.194833153928956</v>
      </c>
      <c r="I38" s="22">
        <f>520*D43</f>
        <v>520</v>
      </c>
      <c r="K38"/>
      <c r="L38"/>
      <c r="M38"/>
      <c r="N38"/>
      <c r="O38" s="70"/>
      <c r="P38" s="92" t="s">
        <v>103</v>
      </c>
      <c r="Q38" s="92"/>
      <c r="R38" s="92"/>
      <c r="S38" s="92"/>
    </row>
    <row r="39" spans="1:19" ht="13.5" customHeight="1">
      <c r="A39" s="64" t="s">
        <v>104</v>
      </c>
      <c r="B39" s="59">
        <v>1.524</v>
      </c>
      <c r="C39" s="71">
        <f>D39/46.45</f>
        <v>7.104413347685683</v>
      </c>
      <c r="D39" s="22">
        <f>330*D43</f>
        <v>330</v>
      </c>
      <c r="F39" s="37" t="s">
        <v>105</v>
      </c>
      <c r="G39" s="72">
        <v>0.915</v>
      </c>
      <c r="H39" s="67">
        <f>I39/27.88</f>
        <v>21.41319942611191</v>
      </c>
      <c r="I39" s="22">
        <f>597*D43</f>
        <v>597</v>
      </c>
      <c r="K39" s="93" t="s">
        <v>106</v>
      </c>
      <c r="L39" s="93"/>
      <c r="M39" s="93"/>
      <c r="N39" s="93"/>
      <c r="O39" s="70"/>
      <c r="P39" s="92"/>
      <c r="Q39" s="92"/>
      <c r="R39" s="92"/>
      <c r="S39" s="92"/>
    </row>
    <row r="40" spans="1:19" ht="13.5" customHeight="1">
      <c r="A40" s="64" t="s">
        <v>107</v>
      </c>
      <c r="B40" s="20">
        <v>1.524</v>
      </c>
      <c r="C40" s="73">
        <f>D40/46.45</f>
        <v>7.965554359526372</v>
      </c>
      <c r="D40" s="20">
        <f>370*D43</f>
        <v>370</v>
      </c>
      <c r="E40" s="74"/>
      <c r="F40" s="74"/>
      <c r="G40" s="74"/>
      <c r="H40" s="74"/>
      <c r="I40" s="74"/>
      <c r="J40" s="74"/>
      <c r="K40" s="93"/>
      <c r="L40" s="93"/>
      <c r="M40" s="93"/>
      <c r="N40" s="93"/>
      <c r="O40" s="30"/>
      <c r="P40" s="94" t="s">
        <v>108</v>
      </c>
      <c r="Q40" s="94"/>
      <c r="R40" s="94"/>
      <c r="S40" s="94"/>
    </row>
    <row r="41" spans="1:19" ht="13.5" customHeight="1">
      <c r="A41" s="64" t="s">
        <v>109</v>
      </c>
      <c r="B41" s="20">
        <v>1.524</v>
      </c>
      <c r="C41" s="60">
        <f>D41/46.45</f>
        <v>7.965554359526372</v>
      </c>
      <c r="D41" s="75">
        <f>370*D43</f>
        <v>370</v>
      </c>
      <c r="E41" s="76"/>
      <c r="F41" s="76"/>
      <c r="G41" s="76"/>
      <c r="H41" s="76"/>
      <c r="I41" s="76"/>
      <c r="J41" s="76"/>
      <c r="K41" s="93"/>
      <c r="L41" s="93"/>
      <c r="M41" s="93"/>
      <c r="N41" s="93"/>
      <c r="O41" s="77"/>
      <c r="P41" s="87" t="s">
        <v>110</v>
      </c>
      <c r="Q41" s="87"/>
      <c r="R41" s="87"/>
      <c r="S41" s="87"/>
    </row>
    <row r="42" spans="1:19" ht="12.75" customHeight="1">
      <c r="A42" s="64" t="s">
        <v>111</v>
      </c>
      <c r="B42" s="20">
        <v>1.524</v>
      </c>
      <c r="C42" s="60">
        <f>D42/46.45</f>
        <v>7.965554359526372</v>
      </c>
      <c r="D42" s="75">
        <f>370*D43</f>
        <v>370</v>
      </c>
      <c r="E42"/>
      <c r="F42"/>
      <c r="G42"/>
      <c r="H42"/>
      <c r="I42"/>
      <c r="J42"/>
      <c r="K42"/>
      <c r="L42"/>
      <c r="M42"/>
      <c r="N42"/>
      <c r="O42"/>
      <c r="P42" s="87" t="s">
        <v>112</v>
      </c>
      <c r="Q42" s="87"/>
      <c r="R42" s="87"/>
      <c r="S42" s="87"/>
    </row>
    <row r="43" spans="1:19" ht="12.75" customHeight="1">
      <c r="A43" s="88" t="s">
        <v>113</v>
      </c>
      <c r="B43" s="88"/>
      <c r="C43" s="88"/>
      <c r="D43" s="78">
        <v>1</v>
      </c>
      <c r="E43" s="79"/>
      <c r="F43" s="80"/>
      <c r="G43" s="81"/>
      <c r="H43" s="81"/>
      <c r="I43" s="81"/>
      <c r="J43" s="81"/>
      <c r="K43" s="81"/>
      <c r="L43" s="81"/>
      <c r="M43" s="82"/>
      <c r="N43" s="82"/>
      <c r="O43" s="30"/>
      <c r="P43" s="87" t="s">
        <v>114</v>
      </c>
      <c r="Q43" s="87"/>
      <c r="R43" s="87"/>
      <c r="S43" s="87"/>
    </row>
    <row r="44" spans="1:19" ht="12.75" customHeight="1">
      <c r="A44" s="84" t="s">
        <v>115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77"/>
      <c r="N44" s="77"/>
      <c r="O44" s="77"/>
      <c r="P44"/>
      <c r="Q44"/>
      <c r="R44"/>
      <c r="S44"/>
    </row>
    <row r="45" spans="1:19" ht="12.75" customHeight="1">
      <c r="A45" s="89" t="s">
        <v>116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/>
      <c r="N45"/>
      <c r="O45"/>
      <c r="P45" s="87" t="s">
        <v>117</v>
      </c>
      <c r="Q45" s="87"/>
      <c r="R45" s="87"/>
      <c r="S45" s="87"/>
    </row>
    <row r="46" spans="1:19" ht="12.75" customHeight="1">
      <c r="A46" s="83" t="s">
        <v>118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ht="15.75" customHeight="1">
      <c r="A47" s="84" t="s">
        <v>119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/>
      <c r="N47"/>
      <c r="O47" s="70"/>
      <c r="P47" s="85" t="s">
        <v>120</v>
      </c>
      <c r="Q47" s="85"/>
      <c r="R47" s="85"/>
      <c r="S47" s="85"/>
    </row>
    <row r="48" spans="1:12" ht="14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16:19" ht="15">
      <c r="P49"/>
      <c r="Q49"/>
      <c r="R49"/>
      <c r="S49"/>
    </row>
    <row r="50" spans="1:4" ht="14.25">
      <c r="A50" s="86"/>
      <c r="B50" s="86"/>
      <c r="C50" s="86"/>
      <c r="D50" s="86"/>
    </row>
  </sheetData>
  <sheetProtection selectLockedCells="1" selectUnlockedCells="1"/>
  <mergeCells count="49">
    <mergeCell ref="A2:S2"/>
    <mergeCell ref="A3:S3"/>
    <mergeCell ref="A4:S4"/>
    <mergeCell ref="A5:S5"/>
    <mergeCell ref="A7:A8"/>
    <mergeCell ref="B7:B8"/>
    <mergeCell ref="C7:D7"/>
    <mergeCell ref="F7:F8"/>
    <mergeCell ref="G7:G8"/>
    <mergeCell ref="H7:I7"/>
    <mergeCell ref="K7:K8"/>
    <mergeCell ref="L7:L8"/>
    <mergeCell ref="M7:N7"/>
    <mergeCell ref="P7:P8"/>
    <mergeCell ref="Q7:Q8"/>
    <mergeCell ref="R7:S7"/>
    <mergeCell ref="A9:D9"/>
    <mergeCell ref="F9:I9"/>
    <mergeCell ref="K9:N9"/>
    <mergeCell ref="P9:S9"/>
    <mergeCell ref="K14:N14"/>
    <mergeCell ref="P14:S14"/>
    <mergeCell ref="A18:D18"/>
    <mergeCell ref="P18:S18"/>
    <mergeCell ref="F19:I19"/>
    <mergeCell ref="K20:N20"/>
    <mergeCell ref="P22:S23"/>
    <mergeCell ref="F26:I26"/>
    <mergeCell ref="P26:S26"/>
    <mergeCell ref="P45:S45"/>
    <mergeCell ref="P27:S37"/>
    <mergeCell ref="A30:D30"/>
    <mergeCell ref="F32:I32"/>
    <mergeCell ref="F35:I35"/>
    <mergeCell ref="A37:D37"/>
    <mergeCell ref="P38:S39"/>
    <mergeCell ref="K39:N41"/>
    <mergeCell ref="P40:S40"/>
    <mergeCell ref="P41:S41"/>
    <mergeCell ref="A46:S46"/>
    <mergeCell ref="A47:L47"/>
    <mergeCell ref="P47:S47"/>
    <mergeCell ref="A48:L48"/>
    <mergeCell ref="A50:D50"/>
    <mergeCell ref="P42:S42"/>
    <mergeCell ref="A43:C43"/>
    <mergeCell ref="P43:S43"/>
    <mergeCell ref="A44:L44"/>
    <mergeCell ref="A45:L45"/>
  </mergeCells>
  <hyperlinks>
    <hyperlink ref="A4" r:id="rId1" display="www.komfort-plus.kiev.ua,    е-mail: 2073323@gmail.com"/>
  </hyperlinks>
  <printOptions/>
  <pageMargins left="0.4597222222222222" right="0.19652777777777777" top="0.19652777777777777" bottom="0.03958333333333333" header="0.5118055555555555" footer="0.5118055555555555"/>
  <pageSetup firstPageNumber="1" useFirstPageNumber="1" fitToHeight="1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2019-07-04T12:43:05Z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